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codeName="ThisWorkbook"/>
  <bookViews>
    <workbookView xWindow="3135" yWindow="405" windowWidth="13815" windowHeight="7005" tabRatio="923" firstSheet="1" activeTab="1"/>
  </bookViews>
  <sheets>
    <sheet name="Paramètres" sheetId="40" r:id="rId1"/>
    <sheet name="Recherche" sheetId="48" r:id="rId2"/>
    <sheet name="A) Base RI" sheetId="42" r:id="rId3"/>
    <sheet name="B) D RI" sheetId="19" r:id="rId4"/>
    <sheet name="C) Prél. conj." sheetId="32" r:id="rId5"/>
    <sheet name="D) Ecrêtage" sheetId="33" r:id="rId6"/>
    <sheet name="E) Fact soc" sheetId="9" r:id="rId7"/>
    <sheet name="F) Population" sheetId="36" r:id="rId8"/>
    <sheet name="G) Solidarité" sheetId="37" r:id="rId9"/>
    <sheet name="H) Péréquation directe" sheetId="34" r:id="rId10"/>
    <sheet name="I) Dépenses thématiques" sheetId="11" r:id="rId11"/>
    <sheet name="J) Plafonnement effort" sheetId="12" r:id="rId12"/>
    <sheet name="K) Plafonnement aide" sheetId="39" r:id="rId13"/>
    <sheet name="L) Plafonnement taux" sheetId="13" r:id="rId14"/>
    <sheet name="M) Police" sheetId="49" r:id="rId15"/>
    <sheet name="Synthèse" sheetId="25" r:id="rId16"/>
    <sheet name="Acomptes vs Décompte" sheetId="51" r:id="rId17"/>
    <sheet name="Feuil1" sheetId="52" r:id="rId18"/>
  </sheets>
  <definedNames>
    <definedName name="_xlnm._FilterDatabase" localSheetId="4" hidden="1">'C) Prél. conj.'!$A$3:$H$314</definedName>
    <definedName name="_xlnm._FilterDatabase" localSheetId="6" hidden="1">'E) Fact soc'!$A$9:$G$320</definedName>
    <definedName name="_xlnm._FilterDatabase" localSheetId="9" hidden="1">'H) Péréquation directe'!$A$14:$I$325</definedName>
    <definedName name="_xlnm._FilterDatabase" localSheetId="15" hidden="1">Synthèse!$A$4:$L$317</definedName>
    <definedName name="_xlnm.Database">#REF!</definedName>
    <definedName name="_xlnm.Print_Titles" localSheetId="4">'C) Prél. conj.'!$3:$4</definedName>
    <definedName name="_xlnm.Print_Titles" localSheetId="6">'E) Fact soc'!$9:$10</definedName>
    <definedName name="_xlnm.Print_Titles" localSheetId="10">'I) Dépenses thématiques'!$3:$4</definedName>
    <definedName name="_xlnm.Print_Titles" localSheetId="11">'J) Plafonnement effort'!$3:$4</definedName>
    <definedName name="_xlnm.Print_Titles" localSheetId="13">'L) Plafonnement taux'!$4:$5</definedName>
    <definedName name="_xlnm.Print_Titles" localSheetId="14">'M) Police'!$4:$4</definedName>
    <definedName name="_xlnm.Print_Titles" localSheetId="15">Synthèse!$4:$5</definedName>
    <definedName name="ind">2</definedName>
    <definedName name="_xlnm.Print_Area" localSheetId="2">'A) Base RI'!#REF!</definedName>
    <definedName name="_xlnm.Print_Area" localSheetId="9">'H) Péréquation directe'!$316:$347</definedName>
    <definedName name="_xlnm.Print_Area" localSheetId="13">'L) Plafonnement taux'!$A$1:$R$316</definedName>
    <definedName name="_xlnm.Print_Area" localSheetId="14">'M) Police'!$A$1:$O$315</definedName>
    <definedName name="_xlnm.Print_Area" localSheetId="1">Recherche!$B$6:$F$68</definedName>
    <definedName name="_xlnm.Print_Area" localSheetId="15">Synthèse!$A$1:$N$315</definedName>
  </definedNames>
  <calcPr calcId="145621"/>
</workbook>
</file>

<file path=xl/calcChain.xml><?xml version="1.0" encoding="utf-8"?>
<calcChain xmlns="http://schemas.openxmlformats.org/spreadsheetml/2006/main">
  <c r="D168" i="11" l="1"/>
  <c r="D7" i="49" l="1"/>
  <c r="E7" i="49"/>
  <c r="F7" i="49"/>
  <c r="G7" i="49"/>
  <c r="H7" i="49"/>
  <c r="K7" i="49"/>
  <c r="M7" i="49"/>
  <c r="D8" i="49"/>
  <c r="E8" i="49"/>
  <c r="F8" i="49"/>
  <c r="G8" i="49"/>
  <c r="H8" i="49"/>
  <c r="M8" i="49"/>
  <c r="D9" i="49"/>
  <c r="E9" i="49"/>
  <c r="F9" i="49"/>
  <c r="G9" i="49"/>
  <c r="H9" i="49"/>
  <c r="M9" i="49"/>
  <c r="D10" i="49"/>
  <c r="E10" i="49"/>
  <c r="F10" i="49"/>
  <c r="G10" i="49"/>
  <c r="H10" i="49"/>
  <c r="M10" i="49"/>
  <c r="D11" i="49"/>
  <c r="E11" i="49"/>
  <c r="F11" i="49"/>
  <c r="G11" i="49"/>
  <c r="H11" i="49"/>
  <c r="M11" i="49"/>
  <c r="D12" i="49"/>
  <c r="E12" i="49"/>
  <c r="F12" i="49"/>
  <c r="G12" i="49"/>
  <c r="H12" i="49"/>
  <c r="M12" i="49"/>
  <c r="D13" i="49"/>
  <c r="E13" i="49"/>
  <c r="F13" i="49"/>
  <c r="G13" i="49"/>
  <c r="H13" i="49"/>
  <c r="M13" i="49"/>
  <c r="D14" i="49"/>
  <c r="E14" i="49"/>
  <c r="F14" i="49"/>
  <c r="G14" i="49"/>
  <c r="H14" i="49"/>
  <c r="K14" i="49"/>
  <c r="M14" i="49"/>
  <c r="D15" i="49"/>
  <c r="E15" i="49"/>
  <c r="F15" i="49"/>
  <c r="G15" i="49"/>
  <c r="H15" i="49"/>
  <c r="M15" i="49"/>
  <c r="D16" i="49"/>
  <c r="E16" i="49"/>
  <c r="F16" i="49"/>
  <c r="G16" i="49"/>
  <c r="H16" i="49"/>
  <c r="M16" i="49"/>
  <c r="D17" i="49"/>
  <c r="E17" i="49"/>
  <c r="F17" i="49"/>
  <c r="G17" i="49"/>
  <c r="H17" i="49"/>
  <c r="M17" i="49"/>
  <c r="D18" i="49"/>
  <c r="E18" i="49"/>
  <c r="F18" i="49"/>
  <c r="G18" i="49"/>
  <c r="H18" i="49"/>
  <c r="M18" i="49"/>
  <c r="D19" i="49"/>
  <c r="E19" i="49"/>
  <c r="F19" i="49"/>
  <c r="G19" i="49"/>
  <c r="H19" i="49"/>
  <c r="M19" i="49"/>
  <c r="D20" i="49"/>
  <c r="E20" i="49"/>
  <c r="F20" i="49"/>
  <c r="G20" i="49"/>
  <c r="H20" i="49"/>
  <c r="M20" i="49"/>
  <c r="D21" i="49"/>
  <c r="E21" i="49"/>
  <c r="F21" i="49"/>
  <c r="G21" i="49"/>
  <c r="H21" i="49"/>
  <c r="M21" i="49"/>
  <c r="D22" i="49"/>
  <c r="E22" i="49"/>
  <c r="F22" i="49"/>
  <c r="G22" i="49"/>
  <c r="H22" i="49"/>
  <c r="M22" i="49"/>
  <c r="D23" i="49"/>
  <c r="E23" i="49"/>
  <c r="F23" i="49"/>
  <c r="G23" i="49"/>
  <c r="H23" i="49"/>
  <c r="M23" i="49"/>
  <c r="D24" i="49"/>
  <c r="E24" i="49"/>
  <c r="F24" i="49"/>
  <c r="G24" i="49"/>
  <c r="H24" i="49"/>
  <c r="M24" i="49"/>
  <c r="D25" i="49"/>
  <c r="E25" i="49"/>
  <c r="F25" i="49"/>
  <c r="G25" i="49"/>
  <c r="H25" i="49"/>
  <c r="M25" i="49"/>
  <c r="D26" i="49"/>
  <c r="E26" i="49"/>
  <c r="F26" i="49"/>
  <c r="G26" i="49"/>
  <c r="H26" i="49"/>
  <c r="M26" i="49"/>
  <c r="D27" i="49"/>
  <c r="E27" i="49"/>
  <c r="F27" i="49"/>
  <c r="G27" i="49"/>
  <c r="H27" i="49"/>
  <c r="M27" i="49"/>
  <c r="D28" i="49"/>
  <c r="E28" i="49"/>
  <c r="F28" i="49"/>
  <c r="G28" i="49"/>
  <c r="H28" i="49"/>
  <c r="M28" i="49"/>
  <c r="D29" i="49"/>
  <c r="E29" i="49"/>
  <c r="F29" i="49"/>
  <c r="G29" i="49"/>
  <c r="H29" i="49"/>
  <c r="M29" i="49"/>
  <c r="D30" i="49"/>
  <c r="E30" i="49"/>
  <c r="F30" i="49"/>
  <c r="G30" i="49"/>
  <c r="H30" i="49"/>
  <c r="M30" i="49"/>
  <c r="D31" i="49"/>
  <c r="E31" i="49"/>
  <c r="F31" i="49"/>
  <c r="G31" i="49"/>
  <c r="H31" i="49"/>
  <c r="M31" i="49"/>
  <c r="D32" i="49"/>
  <c r="E32" i="49"/>
  <c r="F32" i="49"/>
  <c r="G32" i="49"/>
  <c r="H32" i="49"/>
  <c r="M32" i="49"/>
  <c r="D33" i="49"/>
  <c r="E33" i="49"/>
  <c r="F33" i="49"/>
  <c r="G33" i="49"/>
  <c r="H33" i="49"/>
  <c r="M33" i="49"/>
  <c r="D34" i="49"/>
  <c r="E34" i="49"/>
  <c r="F34" i="49"/>
  <c r="G34" i="49"/>
  <c r="H34" i="49"/>
  <c r="M34" i="49"/>
  <c r="D35" i="49"/>
  <c r="E35" i="49"/>
  <c r="F35" i="49"/>
  <c r="G35" i="49"/>
  <c r="H35" i="49"/>
  <c r="M35" i="49"/>
  <c r="D36" i="49"/>
  <c r="E36" i="49"/>
  <c r="F36" i="49"/>
  <c r="G36" i="49"/>
  <c r="H36" i="49"/>
  <c r="M36" i="49"/>
  <c r="D37" i="49"/>
  <c r="E37" i="49"/>
  <c r="F37" i="49"/>
  <c r="G37" i="49"/>
  <c r="H37" i="49"/>
  <c r="M37" i="49"/>
  <c r="D38" i="49"/>
  <c r="E38" i="49"/>
  <c r="F38" i="49"/>
  <c r="G38" i="49"/>
  <c r="H38" i="49"/>
  <c r="M38" i="49"/>
  <c r="D39" i="49"/>
  <c r="E39" i="49"/>
  <c r="F39" i="49"/>
  <c r="G39" i="49"/>
  <c r="H39" i="49"/>
  <c r="M39" i="49"/>
  <c r="D40" i="49"/>
  <c r="E40" i="49"/>
  <c r="F40" i="49"/>
  <c r="G40" i="49"/>
  <c r="H40" i="49"/>
  <c r="M40" i="49"/>
  <c r="D41" i="49"/>
  <c r="E41" i="49"/>
  <c r="F41" i="49"/>
  <c r="G41" i="49"/>
  <c r="H41" i="49"/>
  <c r="M41" i="49"/>
  <c r="D42" i="49"/>
  <c r="E42" i="49"/>
  <c r="F42" i="49"/>
  <c r="G42" i="49"/>
  <c r="H42" i="49"/>
  <c r="M42" i="49"/>
  <c r="D43" i="49"/>
  <c r="E43" i="49"/>
  <c r="F43" i="49"/>
  <c r="G43" i="49"/>
  <c r="H43" i="49"/>
  <c r="M43" i="49"/>
  <c r="D44" i="49"/>
  <c r="E44" i="49"/>
  <c r="F44" i="49"/>
  <c r="G44" i="49"/>
  <c r="H44" i="49"/>
  <c r="M44" i="49"/>
  <c r="D45" i="49"/>
  <c r="E45" i="49"/>
  <c r="F45" i="49"/>
  <c r="G45" i="49"/>
  <c r="H45" i="49"/>
  <c r="M45" i="49"/>
  <c r="D46" i="49"/>
  <c r="E46" i="49"/>
  <c r="F46" i="49"/>
  <c r="G46" i="49"/>
  <c r="H46" i="49"/>
  <c r="M46" i="49"/>
  <c r="D47" i="49"/>
  <c r="E47" i="49"/>
  <c r="F47" i="49"/>
  <c r="G47" i="49"/>
  <c r="H47" i="49"/>
  <c r="M47" i="49"/>
  <c r="D48" i="49"/>
  <c r="E48" i="49"/>
  <c r="F48" i="49"/>
  <c r="G48" i="49"/>
  <c r="H48" i="49"/>
  <c r="M48" i="49"/>
  <c r="D49" i="49"/>
  <c r="E49" i="49"/>
  <c r="F49" i="49"/>
  <c r="G49" i="49"/>
  <c r="H49" i="49"/>
  <c r="M49" i="49"/>
  <c r="D50" i="49"/>
  <c r="E50" i="49"/>
  <c r="F50" i="49"/>
  <c r="G50" i="49"/>
  <c r="H50" i="49"/>
  <c r="M50" i="49"/>
  <c r="D51" i="49"/>
  <c r="E51" i="49"/>
  <c r="F51" i="49"/>
  <c r="G51" i="49"/>
  <c r="H51" i="49"/>
  <c r="M51" i="49"/>
  <c r="D52" i="49"/>
  <c r="E52" i="49"/>
  <c r="F52" i="49"/>
  <c r="G52" i="49"/>
  <c r="H52" i="49"/>
  <c r="M52" i="49"/>
  <c r="D53" i="49"/>
  <c r="E53" i="49"/>
  <c r="F53" i="49"/>
  <c r="G53" i="49"/>
  <c r="H53" i="49"/>
  <c r="M53" i="49"/>
  <c r="D54" i="49"/>
  <c r="E54" i="49"/>
  <c r="F54" i="49"/>
  <c r="G54" i="49"/>
  <c r="H54" i="49"/>
  <c r="M54" i="49"/>
  <c r="D55" i="49"/>
  <c r="E55" i="49"/>
  <c r="F55" i="49"/>
  <c r="G55" i="49"/>
  <c r="H55" i="49"/>
  <c r="M55" i="49"/>
  <c r="D56" i="49"/>
  <c r="E56" i="49"/>
  <c r="F56" i="49"/>
  <c r="G56" i="49"/>
  <c r="H56" i="49"/>
  <c r="M56" i="49"/>
  <c r="D57" i="49"/>
  <c r="E57" i="49"/>
  <c r="F57" i="49"/>
  <c r="G57" i="49"/>
  <c r="H57" i="49"/>
  <c r="M57" i="49"/>
  <c r="D58" i="49"/>
  <c r="E58" i="49"/>
  <c r="F58" i="49"/>
  <c r="G58" i="49"/>
  <c r="H58" i="49"/>
  <c r="M58" i="49"/>
  <c r="D59" i="49"/>
  <c r="E59" i="49"/>
  <c r="F59" i="49"/>
  <c r="G59" i="49"/>
  <c r="H59" i="49"/>
  <c r="M59" i="49"/>
  <c r="D60" i="49"/>
  <c r="E60" i="49"/>
  <c r="F60" i="49"/>
  <c r="G60" i="49"/>
  <c r="H60" i="49"/>
  <c r="M60" i="49"/>
  <c r="D61" i="49"/>
  <c r="E61" i="49"/>
  <c r="F61" i="49"/>
  <c r="G61" i="49"/>
  <c r="H61" i="49"/>
  <c r="M61" i="49"/>
  <c r="D62" i="49"/>
  <c r="E62" i="49"/>
  <c r="F62" i="49"/>
  <c r="G62" i="49"/>
  <c r="H62" i="49"/>
  <c r="M62" i="49"/>
  <c r="D63" i="49"/>
  <c r="E63" i="49"/>
  <c r="F63" i="49"/>
  <c r="G63" i="49"/>
  <c r="H63" i="49"/>
  <c r="M63" i="49"/>
  <c r="D64" i="49"/>
  <c r="E64" i="49"/>
  <c r="F64" i="49"/>
  <c r="G64" i="49"/>
  <c r="H64" i="49"/>
  <c r="M64" i="49"/>
  <c r="D65" i="49"/>
  <c r="E65" i="49"/>
  <c r="F65" i="49"/>
  <c r="G65" i="49"/>
  <c r="H65" i="49"/>
  <c r="M65" i="49"/>
  <c r="D66" i="49"/>
  <c r="E66" i="49"/>
  <c r="F66" i="49"/>
  <c r="G66" i="49"/>
  <c r="H66" i="49"/>
  <c r="M66" i="49"/>
  <c r="D67" i="49"/>
  <c r="E67" i="49"/>
  <c r="F67" i="49"/>
  <c r="G67" i="49"/>
  <c r="H67" i="49"/>
  <c r="M67" i="49"/>
  <c r="D68" i="49"/>
  <c r="E68" i="49"/>
  <c r="F68" i="49"/>
  <c r="G68" i="49"/>
  <c r="H68" i="49"/>
  <c r="M68" i="49"/>
  <c r="D69" i="49"/>
  <c r="E69" i="49"/>
  <c r="F69" i="49"/>
  <c r="G69" i="49"/>
  <c r="H69" i="49"/>
  <c r="M69" i="49"/>
  <c r="D70" i="49"/>
  <c r="E70" i="49"/>
  <c r="F70" i="49"/>
  <c r="G70" i="49"/>
  <c r="H70" i="49"/>
  <c r="M70" i="49"/>
  <c r="D71" i="49"/>
  <c r="E71" i="49"/>
  <c r="F71" i="49"/>
  <c r="G71" i="49"/>
  <c r="H71" i="49"/>
  <c r="M71" i="49"/>
  <c r="D72" i="49"/>
  <c r="E72" i="49"/>
  <c r="F72" i="49"/>
  <c r="G72" i="49"/>
  <c r="H72" i="49"/>
  <c r="M72" i="49"/>
  <c r="D73" i="49"/>
  <c r="E73" i="49"/>
  <c r="F73" i="49"/>
  <c r="G73" i="49"/>
  <c r="H73" i="49"/>
  <c r="M73" i="49"/>
  <c r="D74" i="49"/>
  <c r="E74" i="49"/>
  <c r="F74" i="49"/>
  <c r="G74" i="49"/>
  <c r="H74" i="49"/>
  <c r="M74" i="49"/>
  <c r="D75" i="49"/>
  <c r="E75" i="49"/>
  <c r="F75" i="49"/>
  <c r="G75" i="49"/>
  <c r="H75" i="49"/>
  <c r="M75" i="49"/>
  <c r="D76" i="49"/>
  <c r="E76" i="49"/>
  <c r="F76" i="49"/>
  <c r="G76" i="49"/>
  <c r="H76" i="49"/>
  <c r="M76" i="49"/>
  <c r="D77" i="49"/>
  <c r="E77" i="49"/>
  <c r="F77" i="49"/>
  <c r="G77" i="49"/>
  <c r="H77" i="49"/>
  <c r="M77" i="49"/>
  <c r="D78" i="49"/>
  <c r="E78" i="49"/>
  <c r="F78" i="49"/>
  <c r="G78" i="49"/>
  <c r="H78" i="49"/>
  <c r="M78" i="49"/>
  <c r="D79" i="49"/>
  <c r="E79" i="49"/>
  <c r="F79" i="49"/>
  <c r="G79" i="49"/>
  <c r="H79" i="49"/>
  <c r="M79" i="49"/>
  <c r="D80" i="49"/>
  <c r="E80" i="49"/>
  <c r="F80" i="49"/>
  <c r="G80" i="49"/>
  <c r="H80" i="49"/>
  <c r="M80" i="49"/>
  <c r="D81" i="49"/>
  <c r="E81" i="49"/>
  <c r="F81" i="49"/>
  <c r="G81" i="49"/>
  <c r="H81" i="49"/>
  <c r="M81" i="49"/>
  <c r="D82" i="49"/>
  <c r="E82" i="49"/>
  <c r="F82" i="49"/>
  <c r="G82" i="49"/>
  <c r="H82" i="49"/>
  <c r="M82" i="49"/>
  <c r="D83" i="49"/>
  <c r="E83" i="49"/>
  <c r="F83" i="49"/>
  <c r="G83" i="49"/>
  <c r="H83" i="49"/>
  <c r="M83" i="49"/>
  <c r="D84" i="49"/>
  <c r="E84" i="49"/>
  <c r="F84" i="49"/>
  <c r="G84" i="49"/>
  <c r="H84" i="49"/>
  <c r="M84" i="49"/>
  <c r="D85" i="49"/>
  <c r="E85" i="49"/>
  <c r="F85" i="49"/>
  <c r="G85" i="49"/>
  <c r="H85" i="49"/>
  <c r="M85" i="49"/>
  <c r="D86" i="49"/>
  <c r="E86" i="49"/>
  <c r="F86" i="49"/>
  <c r="G86" i="49"/>
  <c r="H86" i="49"/>
  <c r="M86" i="49"/>
  <c r="D87" i="49"/>
  <c r="E87" i="49"/>
  <c r="F87" i="49"/>
  <c r="G87" i="49"/>
  <c r="H87" i="49"/>
  <c r="M87" i="49"/>
  <c r="D88" i="49"/>
  <c r="E88" i="49"/>
  <c r="F88" i="49"/>
  <c r="G88" i="49"/>
  <c r="H88" i="49"/>
  <c r="M88" i="49"/>
  <c r="D89" i="49"/>
  <c r="E89" i="49"/>
  <c r="F89" i="49"/>
  <c r="G89" i="49"/>
  <c r="H89" i="49"/>
  <c r="M89" i="49"/>
  <c r="D90" i="49"/>
  <c r="E90" i="49"/>
  <c r="F90" i="49"/>
  <c r="G90" i="49"/>
  <c r="H90" i="49"/>
  <c r="M90" i="49"/>
  <c r="D91" i="49"/>
  <c r="E91" i="49"/>
  <c r="F91" i="49"/>
  <c r="G91" i="49"/>
  <c r="H91" i="49"/>
  <c r="M91" i="49"/>
  <c r="D92" i="49"/>
  <c r="E92" i="49"/>
  <c r="F92" i="49"/>
  <c r="G92" i="49"/>
  <c r="H92" i="49"/>
  <c r="M92" i="49"/>
  <c r="D93" i="49"/>
  <c r="E93" i="49"/>
  <c r="F93" i="49"/>
  <c r="G93" i="49"/>
  <c r="H93" i="49"/>
  <c r="M93" i="49"/>
  <c r="D94" i="49"/>
  <c r="E94" i="49"/>
  <c r="F94" i="49"/>
  <c r="G94" i="49"/>
  <c r="H94" i="49"/>
  <c r="M94" i="49"/>
  <c r="D95" i="49"/>
  <c r="E95" i="49"/>
  <c r="F95" i="49"/>
  <c r="G95" i="49"/>
  <c r="H95" i="49"/>
  <c r="M95" i="49"/>
  <c r="D96" i="49"/>
  <c r="E96" i="49"/>
  <c r="F96" i="49"/>
  <c r="G96" i="49"/>
  <c r="H96" i="49"/>
  <c r="M96" i="49"/>
  <c r="D97" i="49"/>
  <c r="E97" i="49"/>
  <c r="F97" i="49"/>
  <c r="G97" i="49"/>
  <c r="H97" i="49"/>
  <c r="M97" i="49"/>
  <c r="D98" i="49"/>
  <c r="E98" i="49"/>
  <c r="F98" i="49"/>
  <c r="G98" i="49"/>
  <c r="H98" i="49"/>
  <c r="M98" i="49"/>
  <c r="D99" i="49"/>
  <c r="E99" i="49"/>
  <c r="F99" i="49"/>
  <c r="G99" i="49"/>
  <c r="H99" i="49"/>
  <c r="M99" i="49"/>
  <c r="D100" i="49"/>
  <c r="E100" i="49"/>
  <c r="F100" i="49"/>
  <c r="G100" i="49"/>
  <c r="H100" i="49"/>
  <c r="M100" i="49"/>
  <c r="D101" i="49"/>
  <c r="E101" i="49"/>
  <c r="F101" i="49"/>
  <c r="G101" i="49"/>
  <c r="H101" i="49"/>
  <c r="M101" i="49"/>
  <c r="D102" i="49"/>
  <c r="E102" i="49"/>
  <c r="F102" i="49"/>
  <c r="G102" i="49"/>
  <c r="H102" i="49"/>
  <c r="M102" i="49"/>
  <c r="D103" i="49"/>
  <c r="E103" i="49"/>
  <c r="F103" i="49"/>
  <c r="G103" i="49"/>
  <c r="H103" i="49"/>
  <c r="M103" i="49"/>
  <c r="D104" i="49"/>
  <c r="E104" i="49"/>
  <c r="F104" i="49"/>
  <c r="G104" i="49"/>
  <c r="H104" i="49"/>
  <c r="M104" i="49"/>
  <c r="D105" i="49"/>
  <c r="E105" i="49"/>
  <c r="F105" i="49"/>
  <c r="G105" i="49"/>
  <c r="H105" i="49"/>
  <c r="M105" i="49"/>
  <c r="D106" i="49"/>
  <c r="E106" i="49"/>
  <c r="F106" i="49"/>
  <c r="G106" i="49"/>
  <c r="H106" i="49"/>
  <c r="M106" i="49"/>
  <c r="D107" i="49"/>
  <c r="E107" i="49"/>
  <c r="F107" i="49"/>
  <c r="G107" i="49"/>
  <c r="H107" i="49"/>
  <c r="M107" i="49"/>
  <c r="D108" i="49"/>
  <c r="E108" i="49"/>
  <c r="F108" i="49"/>
  <c r="G108" i="49"/>
  <c r="H108" i="49"/>
  <c r="M108" i="49"/>
  <c r="D109" i="49"/>
  <c r="E109" i="49"/>
  <c r="F109" i="49"/>
  <c r="G109" i="49"/>
  <c r="H109" i="49"/>
  <c r="M109" i="49"/>
  <c r="D110" i="49"/>
  <c r="E110" i="49"/>
  <c r="F110" i="49"/>
  <c r="G110" i="49"/>
  <c r="H110" i="49"/>
  <c r="M110" i="49"/>
  <c r="D111" i="49"/>
  <c r="E111" i="49"/>
  <c r="F111" i="49"/>
  <c r="G111" i="49"/>
  <c r="H111" i="49"/>
  <c r="M111" i="49"/>
  <c r="D112" i="49"/>
  <c r="E112" i="49"/>
  <c r="F112" i="49"/>
  <c r="G112" i="49"/>
  <c r="H112" i="49"/>
  <c r="K112" i="49"/>
  <c r="M112" i="49"/>
  <c r="D113" i="49"/>
  <c r="E113" i="49"/>
  <c r="F113" i="49"/>
  <c r="G113" i="49"/>
  <c r="H113" i="49"/>
  <c r="M113" i="49"/>
  <c r="D114" i="49"/>
  <c r="E114" i="49"/>
  <c r="F114" i="49"/>
  <c r="G114" i="49"/>
  <c r="H114" i="49"/>
  <c r="K114" i="49"/>
  <c r="M114" i="49"/>
  <c r="D115" i="49"/>
  <c r="E115" i="49"/>
  <c r="F115" i="49"/>
  <c r="G115" i="49"/>
  <c r="H115" i="49"/>
  <c r="M115" i="49"/>
  <c r="D116" i="49"/>
  <c r="E116" i="49"/>
  <c r="F116" i="49"/>
  <c r="G116" i="49"/>
  <c r="H116" i="49"/>
  <c r="M116" i="49"/>
  <c r="D117" i="49"/>
  <c r="E117" i="49"/>
  <c r="F117" i="49"/>
  <c r="G117" i="49"/>
  <c r="H117" i="49"/>
  <c r="K117" i="49"/>
  <c r="M117" i="49"/>
  <c r="D118" i="49"/>
  <c r="E118" i="49"/>
  <c r="F118" i="49"/>
  <c r="G118" i="49"/>
  <c r="H118" i="49"/>
  <c r="M118" i="49"/>
  <c r="D119" i="49"/>
  <c r="E119" i="49"/>
  <c r="F119" i="49"/>
  <c r="G119" i="49"/>
  <c r="H119" i="49"/>
  <c r="K119" i="49"/>
  <c r="M119" i="49"/>
  <c r="D120" i="49"/>
  <c r="E120" i="49"/>
  <c r="F120" i="49"/>
  <c r="G120" i="49"/>
  <c r="H120" i="49"/>
  <c r="K120" i="49"/>
  <c r="M120" i="49"/>
  <c r="D121" i="49"/>
  <c r="E121" i="49"/>
  <c r="F121" i="49"/>
  <c r="G121" i="49"/>
  <c r="H121" i="49"/>
  <c r="K121" i="49"/>
  <c r="M121" i="49"/>
  <c r="D122" i="49"/>
  <c r="E122" i="49"/>
  <c r="F122" i="49"/>
  <c r="G122" i="49"/>
  <c r="H122" i="49"/>
  <c r="K122" i="49"/>
  <c r="M122" i="49"/>
  <c r="D123" i="49"/>
  <c r="E123" i="49"/>
  <c r="F123" i="49"/>
  <c r="G123" i="49"/>
  <c r="H123" i="49"/>
  <c r="M123" i="49"/>
  <c r="D124" i="49"/>
  <c r="E124" i="49"/>
  <c r="F124" i="49"/>
  <c r="G124" i="49"/>
  <c r="H124" i="49"/>
  <c r="K124" i="49"/>
  <c r="M124" i="49"/>
  <c r="D125" i="49"/>
  <c r="E125" i="49"/>
  <c r="F125" i="49"/>
  <c r="G125" i="49"/>
  <c r="H125" i="49"/>
  <c r="M125" i="49"/>
  <c r="D126" i="49"/>
  <c r="E126" i="49"/>
  <c r="F126" i="49"/>
  <c r="G126" i="49"/>
  <c r="H126" i="49"/>
  <c r="K126" i="49"/>
  <c r="M126" i="49"/>
  <c r="D127" i="49"/>
  <c r="E127" i="49"/>
  <c r="F127" i="49"/>
  <c r="G127" i="49"/>
  <c r="H127" i="49"/>
  <c r="K127" i="49"/>
  <c r="M127" i="49"/>
  <c r="D128" i="49"/>
  <c r="E128" i="49"/>
  <c r="F128" i="49"/>
  <c r="G128" i="49"/>
  <c r="H128" i="49"/>
  <c r="K128" i="49"/>
  <c r="M128" i="49"/>
  <c r="D129" i="49"/>
  <c r="E129" i="49"/>
  <c r="F129" i="49"/>
  <c r="G129" i="49"/>
  <c r="H129" i="49"/>
  <c r="K129" i="49"/>
  <c r="M129" i="49"/>
  <c r="D130" i="49"/>
  <c r="E130" i="49"/>
  <c r="F130" i="49"/>
  <c r="G130" i="49"/>
  <c r="H130" i="49"/>
  <c r="K130" i="49"/>
  <c r="M130" i="49"/>
  <c r="D131" i="49"/>
  <c r="E131" i="49"/>
  <c r="F131" i="49"/>
  <c r="G131" i="49"/>
  <c r="H131" i="49"/>
  <c r="K131" i="49"/>
  <c r="M131" i="49"/>
  <c r="D132" i="49"/>
  <c r="E132" i="49"/>
  <c r="F132" i="49"/>
  <c r="G132" i="49"/>
  <c r="H132" i="49"/>
  <c r="M132" i="49"/>
  <c r="D133" i="49"/>
  <c r="E133" i="49"/>
  <c r="F133" i="49"/>
  <c r="G133" i="49"/>
  <c r="H133" i="49"/>
  <c r="M133" i="49"/>
  <c r="D134" i="49"/>
  <c r="E134" i="49"/>
  <c r="F134" i="49"/>
  <c r="G134" i="49"/>
  <c r="H134" i="49"/>
  <c r="K134" i="49"/>
  <c r="M134" i="49"/>
  <c r="D135" i="49"/>
  <c r="E135" i="49"/>
  <c r="F135" i="49"/>
  <c r="G135" i="49"/>
  <c r="H135" i="49"/>
  <c r="K135" i="49"/>
  <c r="M135" i="49"/>
  <c r="D136" i="49"/>
  <c r="E136" i="49"/>
  <c r="F136" i="49"/>
  <c r="G136" i="49"/>
  <c r="H136" i="49"/>
  <c r="M136" i="49"/>
  <c r="D137" i="49"/>
  <c r="E137" i="49"/>
  <c r="F137" i="49"/>
  <c r="G137" i="49"/>
  <c r="H137" i="49"/>
  <c r="K137" i="49"/>
  <c r="M137" i="49"/>
  <c r="D138" i="49"/>
  <c r="E138" i="49"/>
  <c r="F138" i="49"/>
  <c r="G138" i="49"/>
  <c r="H138" i="49"/>
  <c r="M138" i="49"/>
  <c r="D139" i="49"/>
  <c r="E139" i="49"/>
  <c r="F139" i="49"/>
  <c r="G139" i="49"/>
  <c r="H139" i="49"/>
  <c r="M139" i="49"/>
  <c r="D140" i="49"/>
  <c r="E140" i="49"/>
  <c r="F140" i="49"/>
  <c r="G140" i="49"/>
  <c r="H140" i="49"/>
  <c r="M140" i="49"/>
  <c r="D141" i="49"/>
  <c r="E141" i="49"/>
  <c r="F141" i="49"/>
  <c r="G141" i="49"/>
  <c r="H141" i="49"/>
  <c r="M141" i="49"/>
  <c r="D142" i="49"/>
  <c r="E142" i="49"/>
  <c r="F142" i="49"/>
  <c r="G142" i="49"/>
  <c r="H142" i="49"/>
  <c r="M142" i="49"/>
  <c r="D143" i="49"/>
  <c r="E143" i="49"/>
  <c r="F143" i="49"/>
  <c r="G143" i="49"/>
  <c r="H143" i="49"/>
  <c r="M143" i="49"/>
  <c r="D144" i="49"/>
  <c r="E144" i="49"/>
  <c r="F144" i="49"/>
  <c r="G144" i="49"/>
  <c r="H144" i="49"/>
  <c r="K144" i="49"/>
  <c r="M144" i="49"/>
  <c r="D145" i="49"/>
  <c r="E145" i="49"/>
  <c r="F145" i="49"/>
  <c r="G145" i="49"/>
  <c r="H145" i="49"/>
  <c r="M145" i="49"/>
  <c r="D146" i="49"/>
  <c r="E146" i="49"/>
  <c r="F146" i="49"/>
  <c r="G146" i="49"/>
  <c r="H146" i="49"/>
  <c r="M146" i="49"/>
  <c r="D147" i="49"/>
  <c r="E147" i="49"/>
  <c r="F147" i="49"/>
  <c r="G147" i="49"/>
  <c r="H147" i="49"/>
  <c r="M147" i="49"/>
  <c r="D148" i="49"/>
  <c r="E148" i="49"/>
  <c r="F148" i="49"/>
  <c r="G148" i="49"/>
  <c r="H148" i="49"/>
  <c r="M148" i="49"/>
  <c r="D149" i="49"/>
  <c r="E149" i="49"/>
  <c r="F149" i="49"/>
  <c r="G149" i="49"/>
  <c r="H149" i="49"/>
  <c r="K149" i="49"/>
  <c r="M149" i="49"/>
  <c r="D150" i="49"/>
  <c r="E150" i="49"/>
  <c r="F150" i="49"/>
  <c r="G150" i="49"/>
  <c r="H150" i="49"/>
  <c r="K150" i="49"/>
  <c r="M150" i="49"/>
  <c r="D151" i="49"/>
  <c r="E151" i="49"/>
  <c r="F151" i="49"/>
  <c r="G151" i="49"/>
  <c r="H151" i="49"/>
  <c r="K151" i="49"/>
  <c r="M151" i="49"/>
  <c r="D152" i="49"/>
  <c r="E152" i="49"/>
  <c r="F152" i="49"/>
  <c r="G152" i="49"/>
  <c r="H152" i="49"/>
  <c r="M152" i="49"/>
  <c r="D153" i="49"/>
  <c r="E153" i="49"/>
  <c r="F153" i="49"/>
  <c r="G153" i="49"/>
  <c r="H153" i="49"/>
  <c r="M153" i="49"/>
  <c r="D154" i="49"/>
  <c r="E154" i="49"/>
  <c r="F154" i="49"/>
  <c r="G154" i="49"/>
  <c r="H154" i="49"/>
  <c r="K154" i="49"/>
  <c r="M154" i="49"/>
  <c r="D155" i="49"/>
  <c r="E155" i="49"/>
  <c r="F155" i="49"/>
  <c r="G155" i="49"/>
  <c r="H155" i="49"/>
  <c r="K155" i="49"/>
  <c r="M155" i="49"/>
  <c r="D156" i="49"/>
  <c r="E156" i="49"/>
  <c r="F156" i="49"/>
  <c r="G156" i="49"/>
  <c r="H156" i="49"/>
  <c r="K156" i="49"/>
  <c r="M156" i="49"/>
  <c r="D157" i="49"/>
  <c r="E157" i="49"/>
  <c r="F157" i="49"/>
  <c r="G157" i="49"/>
  <c r="H157" i="49"/>
  <c r="M157" i="49"/>
  <c r="D158" i="49"/>
  <c r="E158" i="49"/>
  <c r="F158" i="49"/>
  <c r="G158" i="49"/>
  <c r="H158" i="49"/>
  <c r="K158" i="49"/>
  <c r="M158" i="49"/>
  <c r="D159" i="49"/>
  <c r="E159" i="49"/>
  <c r="F159" i="49"/>
  <c r="G159" i="49"/>
  <c r="H159" i="49"/>
  <c r="M159" i="49"/>
  <c r="D160" i="49"/>
  <c r="E160" i="49"/>
  <c r="F160" i="49"/>
  <c r="G160" i="49"/>
  <c r="H160" i="49"/>
  <c r="M160" i="49"/>
  <c r="D161" i="49"/>
  <c r="E161" i="49"/>
  <c r="F161" i="49"/>
  <c r="G161" i="49"/>
  <c r="H161" i="49"/>
  <c r="M161" i="49"/>
  <c r="D162" i="49"/>
  <c r="E162" i="49"/>
  <c r="F162" i="49"/>
  <c r="G162" i="49"/>
  <c r="H162" i="49"/>
  <c r="M162" i="49"/>
  <c r="D163" i="49"/>
  <c r="E163" i="49"/>
  <c r="F163" i="49"/>
  <c r="G163" i="49"/>
  <c r="H163" i="49"/>
  <c r="M163" i="49"/>
  <c r="D164" i="49"/>
  <c r="E164" i="49"/>
  <c r="F164" i="49"/>
  <c r="G164" i="49"/>
  <c r="H164" i="49"/>
  <c r="M164" i="49"/>
  <c r="D165" i="49"/>
  <c r="E165" i="49"/>
  <c r="F165" i="49"/>
  <c r="G165" i="49"/>
  <c r="H165" i="49"/>
  <c r="M165" i="49"/>
  <c r="D166" i="49"/>
  <c r="E166" i="49"/>
  <c r="F166" i="49"/>
  <c r="G166" i="49"/>
  <c r="H166" i="49"/>
  <c r="M166" i="49"/>
  <c r="D167" i="49"/>
  <c r="E167" i="49"/>
  <c r="F167" i="49"/>
  <c r="G167" i="49"/>
  <c r="H167" i="49"/>
  <c r="M167" i="49"/>
  <c r="D168" i="49"/>
  <c r="E168" i="49"/>
  <c r="F168" i="49"/>
  <c r="G168" i="49"/>
  <c r="H168" i="49"/>
  <c r="M168" i="49"/>
  <c r="D169" i="49"/>
  <c r="E169" i="49"/>
  <c r="F169" i="49"/>
  <c r="G169" i="49"/>
  <c r="H169" i="49"/>
  <c r="M169" i="49"/>
  <c r="D170" i="49"/>
  <c r="E170" i="49"/>
  <c r="F170" i="49"/>
  <c r="G170" i="49"/>
  <c r="H170" i="49"/>
  <c r="M170" i="49"/>
  <c r="D171" i="49"/>
  <c r="E171" i="49"/>
  <c r="F171" i="49"/>
  <c r="G171" i="49"/>
  <c r="H171" i="49"/>
  <c r="M171" i="49"/>
  <c r="D172" i="49"/>
  <c r="E172" i="49"/>
  <c r="F172" i="49"/>
  <c r="G172" i="49"/>
  <c r="H172" i="49"/>
  <c r="M172" i="49"/>
  <c r="D173" i="49"/>
  <c r="E173" i="49"/>
  <c r="F173" i="49"/>
  <c r="G173" i="49"/>
  <c r="H173" i="49"/>
  <c r="M173" i="49"/>
  <c r="D174" i="49"/>
  <c r="E174" i="49"/>
  <c r="F174" i="49"/>
  <c r="G174" i="49"/>
  <c r="H174" i="49"/>
  <c r="M174" i="49"/>
  <c r="D175" i="49"/>
  <c r="E175" i="49"/>
  <c r="F175" i="49"/>
  <c r="G175" i="49"/>
  <c r="H175" i="49"/>
  <c r="M175" i="49"/>
  <c r="D176" i="49"/>
  <c r="E176" i="49"/>
  <c r="F176" i="49"/>
  <c r="G176" i="49"/>
  <c r="H176" i="49"/>
  <c r="M176" i="49"/>
  <c r="D177" i="49"/>
  <c r="E177" i="49"/>
  <c r="F177" i="49"/>
  <c r="G177" i="49"/>
  <c r="H177" i="49"/>
  <c r="M177" i="49"/>
  <c r="D178" i="49"/>
  <c r="E178" i="49"/>
  <c r="F178" i="49"/>
  <c r="G178" i="49"/>
  <c r="H178" i="49"/>
  <c r="M178" i="49"/>
  <c r="D179" i="49"/>
  <c r="E179" i="49"/>
  <c r="F179" i="49"/>
  <c r="G179" i="49"/>
  <c r="H179" i="49"/>
  <c r="M179" i="49"/>
  <c r="D180" i="49"/>
  <c r="E180" i="49"/>
  <c r="F180" i="49"/>
  <c r="G180" i="49"/>
  <c r="H180" i="49"/>
  <c r="M180" i="49"/>
  <c r="D181" i="49"/>
  <c r="E181" i="49"/>
  <c r="F181" i="49"/>
  <c r="G181" i="49"/>
  <c r="H181" i="49"/>
  <c r="M181" i="49"/>
  <c r="D182" i="49"/>
  <c r="E182" i="49"/>
  <c r="F182" i="49"/>
  <c r="G182" i="49"/>
  <c r="H182" i="49"/>
  <c r="M182" i="49"/>
  <c r="D183" i="49"/>
  <c r="E183" i="49"/>
  <c r="F183" i="49"/>
  <c r="G183" i="49"/>
  <c r="H183" i="49"/>
  <c r="M183" i="49"/>
  <c r="D184" i="49"/>
  <c r="E184" i="49"/>
  <c r="F184" i="49"/>
  <c r="G184" i="49"/>
  <c r="H184" i="49"/>
  <c r="M184" i="49"/>
  <c r="D185" i="49"/>
  <c r="E185" i="49"/>
  <c r="F185" i="49"/>
  <c r="G185" i="49"/>
  <c r="H185" i="49"/>
  <c r="M185" i="49"/>
  <c r="D186" i="49"/>
  <c r="E186" i="49"/>
  <c r="F186" i="49"/>
  <c r="G186" i="49"/>
  <c r="H186" i="49"/>
  <c r="M186" i="49"/>
  <c r="D187" i="49"/>
  <c r="E187" i="49"/>
  <c r="F187" i="49"/>
  <c r="G187" i="49"/>
  <c r="H187" i="49"/>
  <c r="M187" i="49"/>
  <c r="D188" i="49"/>
  <c r="E188" i="49"/>
  <c r="F188" i="49"/>
  <c r="G188" i="49"/>
  <c r="H188" i="49"/>
  <c r="M188" i="49"/>
  <c r="D189" i="49"/>
  <c r="E189" i="49"/>
  <c r="F189" i="49"/>
  <c r="G189" i="49"/>
  <c r="H189" i="49"/>
  <c r="M189" i="49"/>
  <c r="D190" i="49"/>
  <c r="E190" i="49"/>
  <c r="F190" i="49"/>
  <c r="G190" i="49"/>
  <c r="H190" i="49"/>
  <c r="M190" i="49"/>
  <c r="D191" i="49"/>
  <c r="E191" i="49"/>
  <c r="F191" i="49"/>
  <c r="G191" i="49"/>
  <c r="H191" i="49"/>
  <c r="K191" i="49"/>
  <c r="M191" i="49"/>
  <c r="D192" i="49"/>
  <c r="E192" i="49"/>
  <c r="F192" i="49"/>
  <c r="G192" i="49"/>
  <c r="H192" i="49"/>
  <c r="M192" i="49"/>
  <c r="D193" i="49"/>
  <c r="E193" i="49"/>
  <c r="F193" i="49"/>
  <c r="G193" i="49"/>
  <c r="H193" i="49"/>
  <c r="M193" i="49"/>
  <c r="D194" i="49"/>
  <c r="E194" i="49"/>
  <c r="F194" i="49"/>
  <c r="G194" i="49"/>
  <c r="H194" i="49"/>
  <c r="M194" i="49"/>
  <c r="D195" i="49"/>
  <c r="E195" i="49"/>
  <c r="F195" i="49"/>
  <c r="G195" i="49"/>
  <c r="H195" i="49"/>
  <c r="M195" i="49"/>
  <c r="D196" i="49"/>
  <c r="E196" i="49"/>
  <c r="F196" i="49"/>
  <c r="G196" i="49"/>
  <c r="H196" i="49"/>
  <c r="M196" i="49"/>
  <c r="D197" i="49"/>
  <c r="E197" i="49"/>
  <c r="F197" i="49"/>
  <c r="G197" i="49"/>
  <c r="H197" i="49"/>
  <c r="M197" i="49"/>
  <c r="D198" i="49"/>
  <c r="E198" i="49"/>
  <c r="F198" i="49"/>
  <c r="G198" i="49"/>
  <c r="H198" i="49"/>
  <c r="M198" i="49"/>
  <c r="D199" i="49"/>
  <c r="E199" i="49"/>
  <c r="F199" i="49"/>
  <c r="G199" i="49"/>
  <c r="H199" i="49"/>
  <c r="M199" i="49"/>
  <c r="D200" i="49"/>
  <c r="E200" i="49"/>
  <c r="F200" i="49"/>
  <c r="G200" i="49"/>
  <c r="H200" i="49"/>
  <c r="M200" i="49"/>
  <c r="D201" i="49"/>
  <c r="E201" i="49"/>
  <c r="F201" i="49"/>
  <c r="G201" i="49"/>
  <c r="H201" i="49"/>
  <c r="M201" i="49"/>
  <c r="D202" i="49"/>
  <c r="E202" i="49"/>
  <c r="F202" i="49"/>
  <c r="G202" i="49"/>
  <c r="H202" i="49"/>
  <c r="K202" i="49"/>
  <c r="M202" i="49"/>
  <c r="D203" i="49"/>
  <c r="E203" i="49"/>
  <c r="F203" i="49"/>
  <c r="G203" i="49"/>
  <c r="H203" i="49"/>
  <c r="K203" i="49"/>
  <c r="M203" i="49"/>
  <c r="D204" i="49"/>
  <c r="E204" i="49"/>
  <c r="F204" i="49"/>
  <c r="G204" i="49"/>
  <c r="H204" i="49"/>
  <c r="M204" i="49"/>
  <c r="D205" i="49"/>
  <c r="E205" i="49"/>
  <c r="F205" i="49"/>
  <c r="G205" i="49"/>
  <c r="H205" i="49"/>
  <c r="M205" i="49"/>
  <c r="D206" i="49"/>
  <c r="E206" i="49"/>
  <c r="F206" i="49"/>
  <c r="G206" i="49"/>
  <c r="H206" i="49"/>
  <c r="M206" i="49"/>
  <c r="D207" i="49"/>
  <c r="E207" i="49"/>
  <c r="F207" i="49"/>
  <c r="G207" i="49"/>
  <c r="H207" i="49"/>
  <c r="M207" i="49"/>
  <c r="D208" i="49"/>
  <c r="E208" i="49"/>
  <c r="F208" i="49"/>
  <c r="G208" i="49"/>
  <c r="H208" i="49"/>
  <c r="M208" i="49"/>
  <c r="D209" i="49"/>
  <c r="E209" i="49"/>
  <c r="F209" i="49"/>
  <c r="G209" i="49"/>
  <c r="H209" i="49"/>
  <c r="M209" i="49"/>
  <c r="D210" i="49"/>
  <c r="E210" i="49"/>
  <c r="F210" i="49"/>
  <c r="G210" i="49"/>
  <c r="H210" i="49"/>
  <c r="M210" i="49"/>
  <c r="D211" i="49"/>
  <c r="E211" i="49"/>
  <c r="F211" i="49"/>
  <c r="G211" i="49"/>
  <c r="H211" i="49"/>
  <c r="M211" i="49"/>
  <c r="D212" i="49"/>
  <c r="E212" i="49"/>
  <c r="F212" i="49"/>
  <c r="G212" i="49"/>
  <c r="H212" i="49"/>
  <c r="M212" i="49"/>
  <c r="D213" i="49"/>
  <c r="E213" i="49"/>
  <c r="F213" i="49"/>
  <c r="G213" i="49"/>
  <c r="H213" i="49"/>
  <c r="M213" i="49"/>
  <c r="D214" i="49"/>
  <c r="E214" i="49"/>
  <c r="F214" i="49"/>
  <c r="G214" i="49"/>
  <c r="H214" i="49"/>
  <c r="M214" i="49"/>
  <c r="D215" i="49"/>
  <c r="E215" i="49"/>
  <c r="F215" i="49"/>
  <c r="G215" i="49"/>
  <c r="H215" i="49"/>
  <c r="M215" i="49"/>
  <c r="D216" i="49"/>
  <c r="E216" i="49"/>
  <c r="F216" i="49"/>
  <c r="G216" i="49"/>
  <c r="H216" i="49"/>
  <c r="M216" i="49"/>
  <c r="D217" i="49"/>
  <c r="E217" i="49"/>
  <c r="F217" i="49"/>
  <c r="G217" i="49"/>
  <c r="H217" i="49"/>
  <c r="M217" i="49"/>
  <c r="D218" i="49"/>
  <c r="E218" i="49"/>
  <c r="F218" i="49"/>
  <c r="G218" i="49"/>
  <c r="H218" i="49"/>
  <c r="M218" i="49"/>
  <c r="D219" i="49"/>
  <c r="E219" i="49"/>
  <c r="F219" i="49"/>
  <c r="G219" i="49"/>
  <c r="H219" i="49"/>
  <c r="M219" i="49"/>
  <c r="D220" i="49"/>
  <c r="E220" i="49"/>
  <c r="F220" i="49"/>
  <c r="G220" i="49"/>
  <c r="H220" i="49"/>
  <c r="M220" i="49"/>
  <c r="D221" i="49"/>
  <c r="E221" i="49"/>
  <c r="F221" i="49"/>
  <c r="G221" i="49"/>
  <c r="H221" i="49"/>
  <c r="M221" i="49"/>
  <c r="D222" i="49"/>
  <c r="E222" i="49"/>
  <c r="F222" i="49"/>
  <c r="G222" i="49"/>
  <c r="H222" i="49"/>
  <c r="M222" i="49"/>
  <c r="D223" i="49"/>
  <c r="E223" i="49"/>
  <c r="F223" i="49"/>
  <c r="G223" i="49"/>
  <c r="H223" i="49"/>
  <c r="M223" i="49"/>
  <c r="D224" i="49"/>
  <c r="E224" i="49"/>
  <c r="F224" i="49"/>
  <c r="G224" i="49"/>
  <c r="H224" i="49"/>
  <c r="K224" i="49"/>
  <c r="M224" i="49"/>
  <c r="D225" i="49"/>
  <c r="E225" i="49"/>
  <c r="F225" i="49"/>
  <c r="G225" i="49"/>
  <c r="H225" i="49"/>
  <c r="K225" i="49"/>
  <c r="M225" i="49"/>
  <c r="D226" i="49"/>
  <c r="E226" i="49"/>
  <c r="F226" i="49"/>
  <c r="G226" i="49"/>
  <c r="H226" i="49"/>
  <c r="M226" i="49"/>
  <c r="D227" i="49"/>
  <c r="E227" i="49"/>
  <c r="F227" i="49"/>
  <c r="G227" i="49"/>
  <c r="H227" i="49"/>
  <c r="M227" i="49"/>
  <c r="D228" i="49"/>
  <c r="E228" i="49"/>
  <c r="F228" i="49"/>
  <c r="G228" i="49"/>
  <c r="H228" i="49"/>
  <c r="M228" i="49"/>
  <c r="D229" i="49"/>
  <c r="E229" i="49"/>
  <c r="F229" i="49"/>
  <c r="G229" i="49"/>
  <c r="H229" i="49"/>
  <c r="M229" i="49"/>
  <c r="D230" i="49"/>
  <c r="E230" i="49"/>
  <c r="F230" i="49"/>
  <c r="G230" i="49"/>
  <c r="H230" i="49"/>
  <c r="M230" i="49"/>
  <c r="D231" i="49"/>
  <c r="E231" i="49"/>
  <c r="F231" i="49"/>
  <c r="G231" i="49"/>
  <c r="H231" i="49"/>
  <c r="M231" i="49"/>
  <c r="D232" i="49"/>
  <c r="E232" i="49"/>
  <c r="F232" i="49"/>
  <c r="G232" i="49"/>
  <c r="H232" i="49"/>
  <c r="M232" i="49"/>
  <c r="D233" i="49"/>
  <c r="E233" i="49"/>
  <c r="F233" i="49"/>
  <c r="G233" i="49"/>
  <c r="H233" i="49"/>
  <c r="M233" i="49"/>
  <c r="D234" i="49"/>
  <c r="E234" i="49"/>
  <c r="F234" i="49"/>
  <c r="G234" i="49"/>
  <c r="H234" i="49"/>
  <c r="M234" i="49"/>
  <c r="D235" i="49"/>
  <c r="E235" i="49"/>
  <c r="F235" i="49"/>
  <c r="G235" i="49"/>
  <c r="H235" i="49"/>
  <c r="M235" i="49"/>
  <c r="D236" i="49"/>
  <c r="E236" i="49"/>
  <c r="F236" i="49"/>
  <c r="G236" i="49"/>
  <c r="H236" i="49"/>
  <c r="M236" i="49"/>
  <c r="D237" i="49"/>
  <c r="E237" i="49"/>
  <c r="F237" i="49"/>
  <c r="G237" i="49"/>
  <c r="H237" i="49"/>
  <c r="M237" i="49"/>
  <c r="D238" i="49"/>
  <c r="E238" i="49"/>
  <c r="F238" i="49"/>
  <c r="G238" i="49"/>
  <c r="H238" i="49"/>
  <c r="M238" i="49"/>
  <c r="D239" i="49"/>
  <c r="E239" i="49"/>
  <c r="F239" i="49"/>
  <c r="G239" i="49"/>
  <c r="H239" i="49"/>
  <c r="M239" i="49"/>
  <c r="D240" i="49"/>
  <c r="E240" i="49"/>
  <c r="F240" i="49"/>
  <c r="G240" i="49"/>
  <c r="H240" i="49"/>
  <c r="M240" i="49"/>
  <c r="D241" i="49"/>
  <c r="E241" i="49"/>
  <c r="F241" i="49"/>
  <c r="G241" i="49"/>
  <c r="H241" i="49"/>
  <c r="M241" i="49"/>
  <c r="D242" i="49"/>
  <c r="E242" i="49"/>
  <c r="F242" i="49"/>
  <c r="G242" i="49"/>
  <c r="H242" i="49"/>
  <c r="M242" i="49"/>
  <c r="D243" i="49"/>
  <c r="E243" i="49"/>
  <c r="F243" i="49"/>
  <c r="G243" i="49"/>
  <c r="H243" i="49"/>
  <c r="M243" i="49"/>
  <c r="D244" i="49"/>
  <c r="E244" i="49"/>
  <c r="F244" i="49"/>
  <c r="G244" i="49"/>
  <c r="H244" i="49"/>
  <c r="M244" i="49"/>
  <c r="D245" i="49"/>
  <c r="E245" i="49"/>
  <c r="F245" i="49"/>
  <c r="G245" i="49"/>
  <c r="H245" i="49"/>
  <c r="M245" i="49"/>
  <c r="D246" i="49"/>
  <c r="E246" i="49"/>
  <c r="F246" i="49"/>
  <c r="G246" i="49"/>
  <c r="H246" i="49"/>
  <c r="M246" i="49"/>
  <c r="D247" i="49"/>
  <c r="E247" i="49"/>
  <c r="F247" i="49"/>
  <c r="G247" i="49"/>
  <c r="H247" i="49"/>
  <c r="M247" i="49"/>
  <c r="D248" i="49"/>
  <c r="E248" i="49"/>
  <c r="F248" i="49"/>
  <c r="G248" i="49"/>
  <c r="H248" i="49"/>
  <c r="M248" i="49"/>
  <c r="D249" i="49"/>
  <c r="E249" i="49"/>
  <c r="F249" i="49"/>
  <c r="G249" i="49"/>
  <c r="H249" i="49"/>
  <c r="M249" i="49"/>
  <c r="D250" i="49"/>
  <c r="E250" i="49"/>
  <c r="F250" i="49"/>
  <c r="G250" i="49"/>
  <c r="H250" i="49"/>
  <c r="M250" i="49"/>
  <c r="D251" i="49"/>
  <c r="E251" i="49"/>
  <c r="F251" i="49"/>
  <c r="G251" i="49"/>
  <c r="H251" i="49"/>
  <c r="M251" i="49"/>
  <c r="D252" i="49"/>
  <c r="E252" i="49"/>
  <c r="F252" i="49"/>
  <c r="G252" i="49"/>
  <c r="H252" i="49"/>
  <c r="M252" i="49"/>
  <c r="D253" i="49"/>
  <c r="E253" i="49"/>
  <c r="F253" i="49"/>
  <c r="G253" i="49"/>
  <c r="H253" i="49"/>
  <c r="M253" i="49"/>
  <c r="D254" i="49"/>
  <c r="E254" i="49"/>
  <c r="F254" i="49"/>
  <c r="G254" i="49"/>
  <c r="H254" i="49"/>
  <c r="M254" i="49"/>
  <c r="D255" i="49"/>
  <c r="E255" i="49"/>
  <c r="F255" i="49"/>
  <c r="G255" i="49"/>
  <c r="H255" i="49"/>
  <c r="M255" i="49"/>
  <c r="D256" i="49"/>
  <c r="E256" i="49"/>
  <c r="F256" i="49"/>
  <c r="G256" i="49"/>
  <c r="H256" i="49"/>
  <c r="M256" i="49"/>
  <c r="D257" i="49"/>
  <c r="E257" i="49"/>
  <c r="F257" i="49"/>
  <c r="G257" i="49"/>
  <c r="H257" i="49"/>
  <c r="M257" i="49"/>
  <c r="D258" i="49"/>
  <c r="E258" i="49"/>
  <c r="F258" i="49"/>
  <c r="G258" i="49"/>
  <c r="H258" i="49"/>
  <c r="M258" i="49"/>
  <c r="D259" i="49"/>
  <c r="E259" i="49"/>
  <c r="F259" i="49"/>
  <c r="G259" i="49"/>
  <c r="H259" i="49"/>
  <c r="M259" i="49"/>
  <c r="D260" i="49"/>
  <c r="E260" i="49"/>
  <c r="F260" i="49"/>
  <c r="G260" i="49"/>
  <c r="H260" i="49"/>
  <c r="M260" i="49"/>
  <c r="D261" i="49"/>
  <c r="E261" i="49"/>
  <c r="F261" i="49"/>
  <c r="G261" i="49"/>
  <c r="H261" i="49"/>
  <c r="M261" i="49"/>
  <c r="D262" i="49"/>
  <c r="E262" i="49"/>
  <c r="F262" i="49"/>
  <c r="G262" i="49"/>
  <c r="H262" i="49"/>
  <c r="M262" i="49"/>
  <c r="D263" i="49"/>
  <c r="E263" i="49"/>
  <c r="F263" i="49"/>
  <c r="G263" i="49"/>
  <c r="H263" i="49"/>
  <c r="M263" i="49"/>
  <c r="D264" i="49"/>
  <c r="E264" i="49"/>
  <c r="F264" i="49"/>
  <c r="G264" i="49"/>
  <c r="H264" i="49"/>
  <c r="M264" i="49"/>
  <c r="D265" i="49"/>
  <c r="E265" i="49"/>
  <c r="F265" i="49"/>
  <c r="G265" i="49"/>
  <c r="H265" i="49"/>
  <c r="M265" i="49"/>
  <c r="D266" i="49"/>
  <c r="E266" i="49"/>
  <c r="F266" i="49"/>
  <c r="G266" i="49"/>
  <c r="H266" i="49"/>
  <c r="M266" i="49"/>
  <c r="D267" i="49"/>
  <c r="E267" i="49"/>
  <c r="F267" i="49"/>
  <c r="G267" i="49"/>
  <c r="H267" i="49"/>
  <c r="M267" i="49"/>
  <c r="D268" i="49"/>
  <c r="E268" i="49"/>
  <c r="F268" i="49"/>
  <c r="G268" i="49"/>
  <c r="H268" i="49"/>
  <c r="M268" i="49"/>
  <c r="D269" i="49"/>
  <c r="E269" i="49"/>
  <c r="F269" i="49"/>
  <c r="G269" i="49"/>
  <c r="H269" i="49"/>
  <c r="M269" i="49"/>
  <c r="D270" i="49"/>
  <c r="E270" i="49"/>
  <c r="F270" i="49"/>
  <c r="G270" i="49"/>
  <c r="H270" i="49"/>
  <c r="M270" i="49"/>
  <c r="D271" i="49"/>
  <c r="E271" i="49"/>
  <c r="F271" i="49"/>
  <c r="G271" i="49"/>
  <c r="H271" i="49"/>
  <c r="M271" i="49"/>
  <c r="D272" i="49"/>
  <c r="E272" i="49"/>
  <c r="F272" i="49"/>
  <c r="G272" i="49"/>
  <c r="H272" i="49"/>
  <c r="M272" i="49"/>
  <c r="D273" i="49"/>
  <c r="E273" i="49"/>
  <c r="F273" i="49"/>
  <c r="G273" i="49"/>
  <c r="H273" i="49"/>
  <c r="M273" i="49"/>
  <c r="D274" i="49"/>
  <c r="E274" i="49"/>
  <c r="F274" i="49"/>
  <c r="G274" i="49"/>
  <c r="H274" i="49"/>
  <c r="M274" i="49"/>
  <c r="D275" i="49"/>
  <c r="E275" i="49"/>
  <c r="F275" i="49"/>
  <c r="G275" i="49"/>
  <c r="H275" i="49"/>
  <c r="K275" i="49"/>
  <c r="M275" i="49"/>
  <c r="D276" i="49"/>
  <c r="E276" i="49"/>
  <c r="F276" i="49"/>
  <c r="G276" i="49"/>
  <c r="H276" i="49"/>
  <c r="K276" i="49"/>
  <c r="M276" i="49"/>
  <c r="D277" i="49"/>
  <c r="E277" i="49"/>
  <c r="F277" i="49"/>
  <c r="G277" i="49"/>
  <c r="H277" i="49"/>
  <c r="K277" i="49"/>
  <c r="M277" i="49"/>
  <c r="D278" i="49"/>
  <c r="E278" i="49"/>
  <c r="F278" i="49"/>
  <c r="G278" i="49"/>
  <c r="H278" i="49"/>
  <c r="K278" i="49"/>
  <c r="M278" i="49"/>
  <c r="D279" i="49"/>
  <c r="E279" i="49"/>
  <c r="F279" i="49"/>
  <c r="G279" i="49"/>
  <c r="H279" i="49"/>
  <c r="K279" i="49"/>
  <c r="M279" i="49"/>
  <c r="D280" i="49"/>
  <c r="E280" i="49"/>
  <c r="F280" i="49"/>
  <c r="G280" i="49"/>
  <c r="H280" i="49"/>
  <c r="K280" i="49"/>
  <c r="M280" i="49"/>
  <c r="D281" i="49"/>
  <c r="E281" i="49"/>
  <c r="F281" i="49"/>
  <c r="G281" i="49"/>
  <c r="H281" i="49"/>
  <c r="K281" i="49"/>
  <c r="M281" i="49"/>
  <c r="D282" i="49"/>
  <c r="E282" i="49"/>
  <c r="F282" i="49"/>
  <c r="G282" i="49"/>
  <c r="H282" i="49"/>
  <c r="K282" i="49"/>
  <c r="M282" i="49"/>
  <c r="D283" i="49"/>
  <c r="E283" i="49"/>
  <c r="F283" i="49"/>
  <c r="G283" i="49"/>
  <c r="H283" i="49"/>
  <c r="K283" i="49"/>
  <c r="M283" i="49"/>
  <c r="D284" i="49"/>
  <c r="E284" i="49"/>
  <c r="F284" i="49"/>
  <c r="G284" i="49"/>
  <c r="H284" i="49"/>
  <c r="K284" i="49"/>
  <c r="M284" i="49"/>
  <c r="D285" i="49"/>
  <c r="E285" i="49"/>
  <c r="F285" i="49"/>
  <c r="G285" i="49"/>
  <c r="H285" i="49"/>
  <c r="M285" i="49"/>
  <c r="D286" i="49"/>
  <c r="E286" i="49"/>
  <c r="F286" i="49"/>
  <c r="G286" i="49"/>
  <c r="H286" i="49"/>
  <c r="M286" i="49"/>
  <c r="D287" i="49"/>
  <c r="E287" i="49"/>
  <c r="F287" i="49"/>
  <c r="G287" i="49"/>
  <c r="H287" i="49"/>
  <c r="K287" i="49"/>
  <c r="M287" i="49"/>
  <c r="D288" i="49"/>
  <c r="E288" i="49"/>
  <c r="F288" i="49"/>
  <c r="G288" i="49"/>
  <c r="H288" i="49"/>
  <c r="M288" i="49"/>
  <c r="D289" i="49"/>
  <c r="E289" i="49"/>
  <c r="F289" i="49"/>
  <c r="G289" i="49"/>
  <c r="H289" i="49"/>
  <c r="M289" i="49"/>
  <c r="D290" i="49"/>
  <c r="E290" i="49"/>
  <c r="F290" i="49"/>
  <c r="G290" i="49"/>
  <c r="H290" i="49"/>
  <c r="M290" i="49"/>
  <c r="D291" i="49"/>
  <c r="E291" i="49"/>
  <c r="F291" i="49"/>
  <c r="G291" i="49"/>
  <c r="H291" i="49"/>
  <c r="K291" i="49"/>
  <c r="M291" i="49"/>
  <c r="D292" i="49"/>
  <c r="E292" i="49"/>
  <c r="F292" i="49"/>
  <c r="G292" i="49"/>
  <c r="H292" i="49"/>
  <c r="M292" i="49"/>
  <c r="D293" i="49"/>
  <c r="E293" i="49"/>
  <c r="F293" i="49"/>
  <c r="G293" i="49"/>
  <c r="H293" i="49"/>
  <c r="M293" i="49"/>
  <c r="D294" i="49"/>
  <c r="E294" i="49"/>
  <c r="F294" i="49"/>
  <c r="G294" i="49"/>
  <c r="H294" i="49"/>
  <c r="M294" i="49"/>
  <c r="D295" i="49"/>
  <c r="E295" i="49"/>
  <c r="F295" i="49"/>
  <c r="G295" i="49"/>
  <c r="H295" i="49"/>
  <c r="M295" i="49"/>
  <c r="D296" i="49"/>
  <c r="E296" i="49"/>
  <c r="F296" i="49"/>
  <c r="G296" i="49"/>
  <c r="H296" i="49"/>
  <c r="K296" i="49"/>
  <c r="M296" i="49"/>
  <c r="D297" i="49"/>
  <c r="E297" i="49"/>
  <c r="F297" i="49"/>
  <c r="G297" i="49"/>
  <c r="H297" i="49"/>
  <c r="K297" i="49"/>
  <c r="M297" i="49"/>
  <c r="D298" i="49"/>
  <c r="E298" i="49"/>
  <c r="F298" i="49"/>
  <c r="G298" i="49"/>
  <c r="H298" i="49"/>
  <c r="M298" i="49"/>
  <c r="D299" i="49"/>
  <c r="E299" i="49"/>
  <c r="F299" i="49"/>
  <c r="G299" i="49"/>
  <c r="H299" i="49"/>
  <c r="M299" i="49"/>
  <c r="D300" i="49"/>
  <c r="E300" i="49"/>
  <c r="F300" i="49"/>
  <c r="G300" i="49"/>
  <c r="H300" i="49"/>
  <c r="M300" i="49"/>
  <c r="D301" i="49"/>
  <c r="E301" i="49"/>
  <c r="F301" i="49"/>
  <c r="G301" i="49"/>
  <c r="H301" i="49"/>
  <c r="M301" i="49"/>
  <c r="D302" i="49"/>
  <c r="E302" i="49"/>
  <c r="F302" i="49"/>
  <c r="G302" i="49"/>
  <c r="H302" i="49"/>
  <c r="M302" i="49"/>
  <c r="D303" i="49"/>
  <c r="E303" i="49"/>
  <c r="F303" i="49"/>
  <c r="G303" i="49"/>
  <c r="H303" i="49"/>
  <c r="K303" i="49"/>
  <c r="M303" i="49"/>
  <c r="D304" i="49"/>
  <c r="E304" i="49"/>
  <c r="F304" i="49"/>
  <c r="G304" i="49"/>
  <c r="H304" i="49"/>
  <c r="M304" i="49"/>
  <c r="D305" i="49"/>
  <c r="E305" i="49"/>
  <c r="F305" i="49"/>
  <c r="G305" i="49"/>
  <c r="H305" i="49"/>
  <c r="K305" i="49"/>
  <c r="M305" i="49"/>
  <c r="D306" i="49"/>
  <c r="E306" i="49"/>
  <c r="F306" i="49"/>
  <c r="G306" i="49"/>
  <c r="H306" i="49"/>
  <c r="K306" i="49"/>
  <c r="M306" i="49"/>
  <c r="D307" i="49"/>
  <c r="E307" i="49"/>
  <c r="F307" i="49"/>
  <c r="G307" i="49"/>
  <c r="H307" i="49"/>
  <c r="K307" i="49"/>
  <c r="M307" i="49"/>
  <c r="D308" i="49"/>
  <c r="E308" i="49"/>
  <c r="F308" i="49"/>
  <c r="G308" i="49"/>
  <c r="H308" i="49"/>
  <c r="M308" i="49"/>
  <c r="D309" i="49"/>
  <c r="E309" i="49"/>
  <c r="F309" i="49"/>
  <c r="G309" i="49"/>
  <c r="H309" i="49"/>
  <c r="M309" i="49"/>
  <c r="D310" i="49"/>
  <c r="E310" i="49"/>
  <c r="F310" i="49"/>
  <c r="G310" i="49"/>
  <c r="H310" i="49"/>
  <c r="M310" i="49"/>
  <c r="D311" i="49"/>
  <c r="E311" i="49"/>
  <c r="F311" i="49"/>
  <c r="G311" i="49"/>
  <c r="H311" i="49"/>
  <c r="M311" i="49"/>
  <c r="D312" i="49"/>
  <c r="E312" i="49"/>
  <c r="F312" i="49"/>
  <c r="G312" i="49"/>
  <c r="H312" i="49"/>
  <c r="M312" i="49"/>
  <c r="D313" i="49"/>
  <c r="E313" i="49"/>
  <c r="F313" i="49"/>
  <c r="G313" i="49"/>
  <c r="H313" i="49"/>
  <c r="K313" i="49"/>
  <c r="M313" i="49"/>
  <c r="D314" i="49"/>
  <c r="E314" i="49"/>
  <c r="F314" i="49"/>
  <c r="G314" i="49"/>
  <c r="H314" i="49"/>
  <c r="M314" i="49"/>
  <c r="A6" i="39" l="1"/>
  <c r="B6" i="39"/>
  <c r="C6" i="39"/>
  <c r="D6" i="39" s="1"/>
  <c r="A7" i="39"/>
  <c r="B7" i="39"/>
  <c r="C7" i="39"/>
  <c r="D7" i="39"/>
  <c r="A8" i="39"/>
  <c r="B8" i="39"/>
  <c r="C8" i="39"/>
  <c r="D8" i="39" s="1"/>
  <c r="A9" i="39"/>
  <c r="B9" i="39"/>
  <c r="C9" i="39"/>
  <c r="D9" i="39" s="1"/>
  <c r="A10" i="39"/>
  <c r="B10" i="39"/>
  <c r="C10" i="39"/>
  <c r="D10" i="39" s="1"/>
  <c r="A11" i="39"/>
  <c r="B11" i="39"/>
  <c r="C11" i="39"/>
  <c r="D11" i="39" s="1"/>
  <c r="A12" i="39"/>
  <c r="B12" i="39"/>
  <c r="C12" i="39"/>
  <c r="D12" i="39" s="1"/>
  <c r="A13" i="39"/>
  <c r="B13" i="39"/>
  <c r="C13" i="39"/>
  <c r="D13" i="39"/>
  <c r="A14" i="39"/>
  <c r="B14" i="39"/>
  <c r="C14" i="39"/>
  <c r="D14" i="39" s="1"/>
  <c r="A15" i="39"/>
  <c r="B15" i="39"/>
  <c r="C15" i="39"/>
  <c r="D15" i="39"/>
  <c r="A16" i="39"/>
  <c r="B16" i="39"/>
  <c r="C16" i="39"/>
  <c r="D16" i="39" s="1"/>
  <c r="A17" i="39"/>
  <c r="B17" i="39"/>
  <c r="C17" i="39"/>
  <c r="D17" i="39"/>
  <c r="A18" i="39"/>
  <c r="B18" i="39"/>
  <c r="C18" i="39"/>
  <c r="D18" i="39" s="1"/>
  <c r="A19" i="39"/>
  <c r="B19" i="39"/>
  <c r="C19" i="39"/>
  <c r="D19" i="39"/>
  <c r="A20" i="39"/>
  <c r="B20" i="39"/>
  <c r="C20" i="39"/>
  <c r="D20" i="39" s="1"/>
  <c r="A21" i="39"/>
  <c r="B21" i="39"/>
  <c r="C21" i="39"/>
  <c r="D21" i="39"/>
  <c r="A22" i="39"/>
  <c r="B22" i="39"/>
  <c r="C22" i="39"/>
  <c r="D22" i="39" s="1"/>
  <c r="A23" i="39"/>
  <c r="B23" i="39"/>
  <c r="C23" i="39"/>
  <c r="D23" i="39"/>
  <c r="A24" i="39"/>
  <c r="B24" i="39"/>
  <c r="C24" i="39"/>
  <c r="D24" i="39" s="1"/>
  <c r="A25" i="39"/>
  <c r="B25" i="39"/>
  <c r="C25" i="39"/>
  <c r="D25" i="39"/>
  <c r="A26" i="39"/>
  <c r="B26" i="39"/>
  <c r="C26" i="39"/>
  <c r="D26" i="39" s="1"/>
  <c r="A27" i="39"/>
  <c r="B27" i="39"/>
  <c r="C27" i="39"/>
  <c r="D27" i="39" s="1"/>
  <c r="A28" i="39"/>
  <c r="B28" i="39"/>
  <c r="C28" i="39"/>
  <c r="D28" i="39" s="1"/>
  <c r="A29" i="39"/>
  <c r="B29" i="39"/>
  <c r="C29" i="39"/>
  <c r="D29" i="39"/>
  <c r="A30" i="39"/>
  <c r="B30" i="39"/>
  <c r="C30" i="39"/>
  <c r="D30" i="39" s="1"/>
  <c r="A31" i="39"/>
  <c r="B31" i="39"/>
  <c r="C31" i="39"/>
  <c r="D31" i="39"/>
  <c r="A32" i="39"/>
  <c r="B32" i="39"/>
  <c r="C32" i="39"/>
  <c r="D32" i="39" s="1"/>
  <c r="A33" i="39"/>
  <c r="B33" i="39"/>
  <c r="C33" i="39"/>
  <c r="D33" i="39"/>
  <c r="A34" i="39"/>
  <c r="B34" i="39"/>
  <c r="C34" i="39"/>
  <c r="D34" i="39" s="1"/>
  <c r="A35" i="39"/>
  <c r="B35" i="39"/>
  <c r="C35" i="39"/>
  <c r="D35" i="39"/>
  <c r="A36" i="39"/>
  <c r="B36" i="39"/>
  <c r="C36" i="39"/>
  <c r="D36" i="39" s="1"/>
  <c r="A37" i="39"/>
  <c r="B37" i="39"/>
  <c r="C37" i="39"/>
  <c r="D37" i="39"/>
  <c r="A38" i="39"/>
  <c r="B38" i="39"/>
  <c r="C38" i="39"/>
  <c r="D38" i="39" s="1"/>
  <c r="A39" i="39"/>
  <c r="B39" i="39"/>
  <c r="C39" i="39"/>
  <c r="D39" i="39"/>
  <c r="A40" i="39"/>
  <c r="B40" i="39"/>
  <c r="C40" i="39"/>
  <c r="D40" i="39" s="1"/>
  <c r="A41" i="39"/>
  <c r="B41" i="39"/>
  <c r="C41" i="39"/>
  <c r="D41" i="39" s="1"/>
  <c r="A42" i="39"/>
  <c r="B42" i="39"/>
  <c r="C42" i="39"/>
  <c r="D42" i="39" s="1"/>
  <c r="A43" i="39"/>
  <c r="B43" i="39"/>
  <c r="C43" i="39"/>
  <c r="D43" i="39" s="1"/>
  <c r="A44" i="39"/>
  <c r="B44" i="39"/>
  <c r="C44" i="39"/>
  <c r="D44" i="39"/>
  <c r="A45" i="39"/>
  <c r="B45" i="39"/>
  <c r="C45" i="39"/>
  <c r="D45" i="39"/>
  <c r="A46" i="39"/>
  <c r="B46" i="39"/>
  <c r="C46" i="39"/>
  <c r="D46" i="39"/>
  <c r="A47" i="39"/>
  <c r="B47" i="39"/>
  <c r="C47" i="39"/>
  <c r="D47" i="39"/>
  <c r="A48" i="39"/>
  <c r="B48" i="39"/>
  <c r="C48" i="39"/>
  <c r="D48" i="39"/>
  <c r="A49" i="39"/>
  <c r="B49" i="39"/>
  <c r="C49" i="39"/>
  <c r="D49" i="39"/>
  <c r="A50" i="39"/>
  <c r="B50" i="39"/>
  <c r="C50" i="39"/>
  <c r="D50" i="39"/>
  <c r="A51" i="39"/>
  <c r="B51" i="39"/>
  <c r="C51" i="39"/>
  <c r="D51" i="39"/>
  <c r="A52" i="39"/>
  <c r="B52" i="39"/>
  <c r="C52" i="39"/>
  <c r="D52" i="39"/>
  <c r="A53" i="39"/>
  <c r="B53" i="39"/>
  <c r="C53" i="39"/>
  <c r="D53" i="39"/>
  <c r="A54" i="39"/>
  <c r="B54" i="39"/>
  <c r="C54" i="39"/>
  <c r="D54" i="39"/>
  <c r="A55" i="39"/>
  <c r="B55" i="39"/>
  <c r="C55" i="39"/>
  <c r="A56" i="39"/>
  <c r="B56" i="39"/>
  <c r="C56" i="39"/>
  <c r="D56" i="39"/>
  <c r="A57" i="39"/>
  <c r="B57" i="39"/>
  <c r="C57" i="39"/>
  <c r="D57" i="39" s="1"/>
  <c r="A58" i="39"/>
  <c r="B58" i="39"/>
  <c r="C58" i="39"/>
  <c r="D58" i="39" s="1"/>
  <c r="A59" i="39"/>
  <c r="B59" i="39"/>
  <c r="C59" i="39"/>
  <c r="D59" i="39" s="1"/>
  <c r="A60" i="39"/>
  <c r="B60" i="39"/>
  <c r="C60" i="39"/>
  <c r="D60" i="39" s="1"/>
  <c r="A61" i="39"/>
  <c r="B61" i="39"/>
  <c r="C61" i="39"/>
  <c r="D61" i="39" s="1"/>
  <c r="A62" i="39"/>
  <c r="B62" i="39"/>
  <c r="C62" i="39"/>
  <c r="D62" i="39" s="1"/>
  <c r="A63" i="39"/>
  <c r="B63" i="39"/>
  <c r="C63" i="39"/>
  <c r="D63" i="39" s="1"/>
  <c r="A64" i="39"/>
  <c r="B64" i="39"/>
  <c r="C64" i="39"/>
  <c r="D64" i="39" s="1"/>
  <c r="A65" i="39"/>
  <c r="B65" i="39"/>
  <c r="C65" i="39"/>
  <c r="D65" i="39" s="1"/>
  <c r="A66" i="39"/>
  <c r="B66" i="39"/>
  <c r="C66" i="39"/>
  <c r="D66" i="39"/>
  <c r="A67" i="39"/>
  <c r="B67" i="39"/>
  <c r="C67" i="39"/>
  <c r="D67" i="39" s="1"/>
  <c r="A68" i="39"/>
  <c r="B68" i="39"/>
  <c r="C68" i="39"/>
  <c r="D68" i="39"/>
  <c r="A69" i="39"/>
  <c r="B69" i="39"/>
  <c r="C69" i="39"/>
  <c r="D69" i="39" s="1"/>
  <c r="A70" i="39"/>
  <c r="B70" i="39"/>
  <c r="C70" i="39"/>
  <c r="D70" i="39"/>
  <c r="A71" i="39"/>
  <c r="B71" i="39"/>
  <c r="C71" i="39"/>
  <c r="D71" i="39" s="1"/>
  <c r="A72" i="39"/>
  <c r="B72" i="39"/>
  <c r="C72" i="39"/>
  <c r="D72" i="39"/>
  <c r="A73" i="39"/>
  <c r="B73" i="39"/>
  <c r="C73" i="39"/>
  <c r="D73" i="39" s="1"/>
  <c r="A74" i="39"/>
  <c r="B74" i="39"/>
  <c r="C74" i="39"/>
  <c r="D74" i="39"/>
  <c r="A75" i="39"/>
  <c r="B75" i="39"/>
  <c r="C75" i="39"/>
  <c r="D75" i="39" s="1"/>
  <c r="A76" i="39"/>
  <c r="B76" i="39"/>
  <c r="C76" i="39"/>
  <c r="D76" i="39"/>
  <c r="A77" i="39"/>
  <c r="B77" i="39"/>
  <c r="C77" i="39"/>
  <c r="D77" i="39"/>
  <c r="A78" i="39"/>
  <c r="B78" i="39"/>
  <c r="C78" i="39"/>
  <c r="D78" i="39"/>
  <c r="A79" i="39"/>
  <c r="B79" i="39"/>
  <c r="C79" i="39"/>
  <c r="D79" i="39" s="1"/>
  <c r="A80" i="39"/>
  <c r="B80" i="39"/>
  <c r="C80" i="39"/>
  <c r="D80" i="39"/>
  <c r="A81" i="39"/>
  <c r="B81" i="39"/>
  <c r="C81" i="39"/>
  <c r="D81" i="39" s="1"/>
  <c r="A82" i="39"/>
  <c r="B82" i="39"/>
  <c r="C82" i="39"/>
  <c r="D82" i="39"/>
  <c r="A83" i="39"/>
  <c r="B83" i="39"/>
  <c r="C83" i="39"/>
  <c r="D83" i="39"/>
  <c r="A84" i="39"/>
  <c r="B84" i="39"/>
  <c r="C84" i="39"/>
  <c r="D84" i="39" s="1"/>
  <c r="A85" i="39"/>
  <c r="B85" i="39"/>
  <c r="C85" i="39"/>
  <c r="D85" i="39"/>
  <c r="A86" i="39"/>
  <c r="B86" i="39"/>
  <c r="C86" i="39"/>
  <c r="D86" i="39" s="1"/>
  <c r="A87" i="39"/>
  <c r="B87" i="39"/>
  <c r="C87" i="39"/>
  <c r="D87" i="39" s="1"/>
  <c r="A88" i="39"/>
  <c r="B88" i="39"/>
  <c r="C88" i="39"/>
  <c r="D88" i="39" s="1"/>
  <c r="A89" i="39"/>
  <c r="B89" i="39"/>
  <c r="C89" i="39"/>
  <c r="D89" i="39" s="1"/>
  <c r="A90" i="39"/>
  <c r="B90" i="39"/>
  <c r="C90" i="39"/>
  <c r="D90" i="39" s="1"/>
  <c r="A91" i="39"/>
  <c r="B91" i="39"/>
  <c r="C91" i="39"/>
  <c r="D91" i="39" s="1"/>
  <c r="A92" i="39"/>
  <c r="B92" i="39"/>
  <c r="C92" i="39"/>
  <c r="D92" i="39"/>
  <c r="A93" i="39"/>
  <c r="B93" i="39"/>
  <c r="C93" i="39"/>
  <c r="D93" i="39"/>
  <c r="A94" i="39"/>
  <c r="B94" i="39"/>
  <c r="C94" i="39"/>
  <c r="D94" i="39"/>
  <c r="A95" i="39"/>
  <c r="B95" i="39"/>
  <c r="C95" i="39"/>
  <c r="D95" i="39"/>
  <c r="A96" i="39"/>
  <c r="B96" i="39"/>
  <c r="C96" i="39"/>
  <c r="D96" i="39" s="1"/>
  <c r="A97" i="39"/>
  <c r="B97" i="39"/>
  <c r="C97" i="39"/>
  <c r="D97" i="39"/>
  <c r="A98" i="39"/>
  <c r="B98" i="39"/>
  <c r="C98" i="39"/>
  <c r="D98" i="39"/>
  <c r="A99" i="39"/>
  <c r="B99" i="39"/>
  <c r="C99" i="39"/>
  <c r="D99" i="39"/>
  <c r="A100" i="39"/>
  <c r="B100" i="39"/>
  <c r="C100" i="39"/>
  <c r="D100" i="39"/>
  <c r="A101" i="39"/>
  <c r="B101" i="39"/>
  <c r="C101" i="39"/>
  <c r="D101" i="39"/>
  <c r="A102" i="39"/>
  <c r="B102" i="39"/>
  <c r="C102" i="39"/>
  <c r="D102" i="39"/>
  <c r="A103" i="39"/>
  <c r="B103" i="39"/>
  <c r="C103" i="39"/>
  <c r="D103" i="39"/>
  <c r="A104" i="39"/>
  <c r="B104" i="39"/>
  <c r="C104" i="39"/>
  <c r="D104" i="39"/>
  <c r="A105" i="39"/>
  <c r="B105" i="39"/>
  <c r="C105" i="39"/>
  <c r="D105" i="39"/>
  <c r="A106" i="39"/>
  <c r="B106" i="39"/>
  <c r="C106" i="39"/>
  <c r="D106" i="39"/>
  <c r="A107" i="39"/>
  <c r="B107" i="39"/>
  <c r="C107" i="39"/>
  <c r="D107" i="39"/>
  <c r="A108" i="39"/>
  <c r="B108" i="39"/>
  <c r="C108" i="39"/>
  <c r="D108" i="39"/>
  <c r="A109" i="39"/>
  <c r="B109" i="39"/>
  <c r="C109" i="39"/>
  <c r="D109" i="39"/>
  <c r="A110" i="39"/>
  <c r="B110" i="39"/>
  <c r="C110" i="39"/>
  <c r="D110" i="39"/>
  <c r="A111" i="39"/>
  <c r="B111" i="39"/>
  <c r="C111" i="39"/>
  <c r="D111" i="39"/>
  <c r="A112" i="39"/>
  <c r="B112" i="39"/>
  <c r="C112" i="39"/>
  <c r="D112" i="39"/>
  <c r="A113" i="39"/>
  <c r="B113" i="39"/>
  <c r="C113" i="39"/>
  <c r="D113" i="39"/>
  <c r="A114" i="39"/>
  <c r="B114" i="39"/>
  <c r="C114" i="39"/>
  <c r="D114" i="39"/>
  <c r="A115" i="39"/>
  <c r="B115" i="39"/>
  <c r="C115" i="39"/>
  <c r="D115" i="39"/>
  <c r="A116" i="39"/>
  <c r="B116" i="39"/>
  <c r="C116" i="39"/>
  <c r="D116" i="39"/>
  <c r="A117" i="39"/>
  <c r="B117" i="39"/>
  <c r="C117" i="39"/>
  <c r="D117" i="39"/>
  <c r="A118" i="39"/>
  <c r="B118" i="39"/>
  <c r="C118" i="39"/>
  <c r="D118" i="39"/>
  <c r="A119" i="39"/>
  <c r="B119" i="39"/>
  <c r="C119" i="39"/>
  <c r="D119" i="39"/>
  <c r="A120" i="39"/>
  <c r="B120" i="39"/>
  <c r="C120" i="39"/>
  <c r="D120" i="39"/>
  <c r="A121" i="39"/>
  <c r="B121" i="39"/>
  <c r="C121" i="39"/>
  <c r="D121" i="39"/>
  <c r="A122" i="39"/>
  <c r="B122" i="39"/>
  <c r="C122" i="39"/>
  <c r="D122" i="39"/>
  <c r="A123" i="39"/>
  <c r="B123" i="39"/>
  <c r="C123" i="39"/>
  <c r="D123" i="39"/>
  <c r="A124" i="39"/>
  <c r="B124" i="39"/>
  <c r="C124" i="39"/>
  <c r="D124" i="39"/>
  <c r="A125" i="39"/>
  <c r="B125" i="39"/>
  <c r="C125" i="39"/>
  <c r="D125" i="39"/>
  <c r="A126" i="39"/>
  <c r="B126" i="39"/>
  <c r="C126" i="39"/>
  <c r="D126" i="39"/>
  <c r="A127" i="39"/>
  <c r="B127" i="39"/>
  <c r="C127" i="39"/>
  <c r="D127" i="39"/>
  <c r="A128" i="39"/>
  <c r="B128" i="39"/>
  <c r="C128" i="39"/>
  <c r="D128" i="39"/>
  <c r="A129" i="39"/>
  <c r="B129" i="39"/>
  <c r="C129" i="39"/>
  <c r="D129" i="39"/>
  <c r="A130" i="39"/>
  <c r="B130" i="39"/>
  <c r="C130" i="39"/>
  <c r="D130" i="39"/>
  <c r="A131" i="39"/>
  <c r="B131" i="39"/>
  <c r="C131" i="39"/>
  <c r="D131" i="39"/>
  <c r="A132" i="39"/>
  <c r="B132" i="39"/>
  <c r="C132" i="39"/>
  <c r="D132" i="39"/>
  <c r="A133" i="39"/>
  <c r="B133" i="39"/>
  <c r="C133" i="39"/>
  <c r="D133" i="39"/>
  <c r="A134" i="39"/>
  <c r="B134" i="39"/>
  <c r="C134" i="39"/>
  <c r="D134" i="39"/>
  <c r="A135" i="39"/>
  <c r="B135" i="39"/>
  <c r="C135" i="39"/>
  <c r="D135" i="39"/>
  <c r="A136" i="39"/>
  <c r="B136" i="39"/>
  <c r="C136" i="39"/>
  <c r="D136" i="39"/>
  <c r="A137" i="39"/>
  <c r="B137" i="39"/>
  <c r="C137" i="39"/>
  <c r="D137" i="39"/>
  <c r="A138" i="39"/>
  <c r="B138" i="39"/>
  <c r="C138" i="39"/>
  <c r="D138" i="39"/>
  <c r="A139" i="39"/>
  <c r="B139" i="39"/>
  <c r="C139" i="39"/>
  <c r="D139" i="39"/>
  <c r="A140" i="39"/>
  <c r="B140" i="39"/>
  <c r="C140" i="39"/>
  <c r="D140" i="39"/>
  <c r="A141" i="39"/>
  <c r="B141" i="39"/>
  <c r="C141" i="39"/>
  <c r="D141" i="39"/>
  <c r="A142" i="39"/>
  <c r="B142" i="39"/>
  <c r="C142" i="39"/>
  <c r="D142" i="39"/>
  <c r="A143" i="39"/>
  <c r="B143" i="39"/>
  <c r="C143" i="39"/>
  <c r="D143" i="39"/>
  <c r="A144" i="39"/>
  <c r="B144" i="39"/>
  <c r="C144" i="39"/>
  <c r="D144" i="39"/>
  <c r="A145" i="39"/>
  <c r="B145" i="39"/>
  <c r="C145" i="39"/>
  <c r="D145" i="39"/>
  <c r="A146" i="39"/>
  <c r="B146" i="39"/>
  <c r="C146" i="39"/>
  <c r="D146" i="39"/>
  <c r="A147" i="39"/>
  <c r="B147" i="39"/>
  <c r="C147" i="39"/>
  <c r="D147" i="39"/>
  <c r="A148" i="39"/>
  <c r="B148" i="39"/>
  <c r="C148" i="39"/>
  <c r="D148" i="39"/>
  <c r="A149" i="39"/>
  <c r="B149" i="39"/>
  <c r="C149" i="39"/>
  <c r="D149" i="39"/>
  <c r="A150" i="39"/>
  <c r="B150" i="39"/>
  <c r="C150" i="39"/>
  <c r="D150" i="39"/>
  <c r="A151" i="39"/>
  <c r="B151" i="39"/>
  <c r="C151" i="39"/>
  <c r="D151" i="39"/>
  <c r="A152" i="39"/>
  <c r="B152" i="39"/>
  <c r="C152" i="39"/>
  <c r="D152" i="39"/>
  <c r="A153" i="39"/>
  <c r="B153" i="39"/>
  <c r="C153" i="39"/>
  <c r="D153" i="39"/>
  <c r="A154" i="39"/>
  <c r="B154" i="39"/>
  <c r="C154" i="39"/>
  <c r="D154" i="39"/>
  <c r="A155" i="39"/>
  <c r="B155" i="39"/>
  <c r="C155" i="39"/>
  <c r="D155" i="39"/>
  <c r="A156" i="39"/>
  <c r="B156" i="39"/>
  <c r="C156" i="39"/>
  <c r="D156" i="39"/>
  <c r="A157" i="39"/>
  <c r="B157" i="39"/>
  <c r="C157" i="39"/>
  <c r="D157" i="39"/>
  <c r="A158" i="39"/>
  <c r="B158" i="39"/>
  <c r="C158" i="39"/>
  <c r="D158" i="39"/>
  <c r="A159" i="39"/>
  <c r="B159" i="39"/>
  <c r="C159" i="39"/>
  <c r="A160" i="39"/>
  <c r="B160" i="39"/>
  <c r="C160" i="39"/>
  <c r="D160" i="39"/>
  <c r="A161" i="39"/>
  <c r="B161" i="39"/>
  <c r="C161" i="39"/>
  <c r="D161" i="39"/>
  <c r="A162" i="39"/>
  <c r="B162" i="39"/>
  <c r="C162" i="39"/>
  <c r="D162" i="39"/>
  <c r="A163" i="39"/>
  <c r="B163" i="39"/>
  <c r="C163" i="39"/>
  <c r="D163" i="39" s="1"/>
  <c r="A164" i="39"/>
  <c r="B164" i="39"/>
  <c r="C164" i="39"/>
  <c r="D164" i="39"/>
  <c r="A165" i="39"/>
  <c r="B165" i="39"/>
  <c r="C165" i="39"/>
  <c r="D165" i="39" s="1"/>
  <c r="A166" i="39"/>
  <c r="B166" i="39"/>
  <c r="C166" i="39"/>
  <c r="D166" i="39"/>
  <c r="A167" i="39"/>
  <c r="B167" i="39"/>
  <c r="C167" i="39"/>
  <c r="D167" i="39" s="1"/>
  <c r="A168" i="39"/>
  <c r="B168" i="39"/>
  <c r="C168" i="39"/>
  <c r="D168" i="39"/>
  <c r="A169" i="39"/>
  <c r="B169" i="39"/>
  <c r="C169" i="39"/>
  <c r="D169" i="39" s="1"/>
  <c r="A170" i="39"/>
  <c r="B170" i="39"/>
  <c r="C170" i="39"/>
  <c r="D170" i="39"/>
  <c r="A171" i="39"/>
  <c r="B171" i="39"/>
  <c r="C171" i="39"/>
  <c r="D171" i="39" s="1"/>
  <c r="A172" i="39"/>
  <c r="B172" i="39"/>
  <c r="C172" i="39"/>
  <c r="D172" i="39"/>
  <c r="A173" i="39"/>
  <c r="B173" i="39"/>
  <c r="C173" i="39"/>
  <c r="D173" i="39" s="1"/>
  <c r="A174" i="39"/>
  <c r="B174" i="39"/>
  <c r="C174" i="39"/>
  <c r="D174" i="39"/>
  <c r="A175" i="39"/>
  <c r="B175" i="39"/>
  <c r="C175" i="39"/>
  <c r="D175" i="39" s="1"/>
  <c r="A176" i="39"/>
  <c r="B176" i="39"/>
  <c r="C176" i="39"/>
  <c r="D176" i="39"/>
  <c r="A177" i="39"/>
  <c r="B177" i="39"/>
  <c r="C177" i="39"/>
  <c r="D177" i="39" s="1"/>
  <c r="A178" i="39"/>
  <c r="B178" i="39"/>
  <c r="C178" i="39"/>
  <c r="D178" i="39"/>
  <c r="A179" i="39"/>
  <c r="B179" i="39"/>
  <c r="C179" i="39"/>
  <c r="D179" i="39" s="1"/>
  <c r="A180" i="39"/>
  <c r="B180" i="39"/>
  <c r="C180" i="39"/>
  <c r="D180" i="39"/>
  <c r="A181" i="39"/>
  <c r="B181" i="39"/>
  <c r="C181" i="39"/>
  <c r="D181" i="39" s="1"/>
  <c r="A182" i="39"/>
  <c r="B182" i="39"/>
  <c r="C182" i="39"/>
  <c r="D182" i="39"/>
  <c r="A183" i="39"/>
  <c r="B183" i="39"/>
  <c r="C183" i="39"/>
  <c r="D183" i="39" s="1"/>
  <c r="A184" i="39"/>
  <c r="B184" i="39"/>
  <c r="C184" i="39"/>
  <c r="D184" i="39"/>
  <c r="A185" i="39"/>
  <c r="B185" i="39"/>
  <c r="C185" i="39"/>
  <c r="D185" i="39" s="1"/>
  <c r="A186" i="39"/>
  <c r="B186" i="39"/>
  <c r="C186" i="39"/>
  <c r="D186" i="39"/>
  <c r="A187" i="39"/>
  <c r="B187" i="39"/>
  <c r="C187" i="39"/>
  <c r="D187" i="39" s="1"/>
  <c r="A188" i="39"/>
  <c r="B188" i="39"/>
  <c r="C188" i="39"/>
  <c r="D188" i="39"/>
  <c r="A189" i="39"/>
  <c r="B189" i="39"/>
  <c r="C189" i="39"/>
  <c r="D189" i="39" s="1"/>
  <c r="A190" i="39"/>
  <c r="B190" i="39"/>
  <c r="C190" i="39"/>
  <c r="D190" i="39"/>
  <c r="A191" i="39"/>
  <c r="B191" i="39"/>
  <c r="C191" i="39"/>
  <c r="D191" i="39" s="1"/>
  <c r="A192" i="39"/>
  <c r="B192" i="39"/>
  <c r="C192" i="39"/>
  <c r="D192" i="39"/>
  <c r="A193" i="39"/>
  <c r="B193" i="39"/>
  <c r="C193" i="39"/>
  <c r="D193" i="39" s="1"/>
  <c r="A194" i="39"/>
  <c r="B194" i="39"/>
  <c r="C194" i="39"/>
  <c r="D194" i="39"/>
  <c r="A195" i="39"/>
  <c r="B195" i="39"/>
  <c r="C195" i="39"/>
  <c r="D195" i="39" s="1"/>
  <c r="A196" i="39"/>
  <c r="B196" i="39"/>
  <c r="C196" i="39"/>
  <c r="D196" i="39"/>
  <c r="A197" i="39"/>
  <c r="B197" i="39"/>
  <c r="C197" i="39"/>
  <c r="D197" i="39" s="1"/>
  <c r="A198" i="39"/>
  <c r="B198" i="39"/>
  <c r="C198" i="39"/>
  <c r="D198" i="39"/>
  <c r="A199" i="39"/>
  <c r="B199" i="39"/>
  <c r="C199" i="39"/>
  <c r="D199" i="39" s="1"/>
  <c r="A200" i="39"/>
  <c r="B200" i="39"/>
  <c r="C200" i="39"/>
  <c r="D200" i="39"/>
  <c r="A201" i="39"/>
  <c r="B201" i="39"/>
  <c r="C201" i="39"/>
  <c r="D201" i="39" s="1"/>
  <c r="A202" i="39"/>
  <c r="B202" i="39"/>
  <c r="C202" i="39"/>
  <c r="D202" i="39"/>
  <c r="A203" i="39"/>
  <c r="B203" i="39"/>
  <c r="C203" i="39"/>
  <c r="D203" i="39" s="1"/>
  <c r="A204" i="39"/>
  <c r="B204" i="39"/>
  <c r="C204" i="39"/>
  <c r="D204" i="39"/>
  <c r="A205" i="39"/>
  <c r="B205" i="39"/>
  <c r="C205" i="39"/>
  <c r="D205" i="39" s="1"/>
  <c r="A206" i="39"/>
  <c r="B206" i="39"/>
  <c r="C206" i="39"/>
  <c r="D206" i="39"/>
  <c r="A207" i="39"/>
  <c r="B207" i="39"/>
  <c r="C207" i="39"/>
  <c r="D207" i="39" s="1"/>
  <c r="A208" i="39"/>
  <c r="B208" i="39"/>
  <c r="C208" i="39"/>
  <c r="D208" i="39"/>
  <c r="A209" i="39"/>
  <c r="B209" i="39"/>
  <c r="C209" i="39"/>
  <c r="D209" i="39" s="1"/>
  <c r="A210" i="39"/>
  <c r="B210" i="39"/>
  <c r="C210" i="39"/>
  <c r="D210" i="39"/>
  <c r="A211" i="39"/>
  <c r="B211" i="39"/>
  <c r="C211" i="39"/>
  <c r="D211" i="39" s="1"/>
  <c r="A212" i="39"/>
  <c r="B212" i="39"/>
  <c r="C212" i="39"/>
  <c r="D212" i="39"/>
  <c r="A213" i="39"/>
  <c r="B213" i="39"/>
  <c r="C213" i="39"/>
  <c r="D213" i="39" s="1"/>
  <c r="A214" i="39"/>
  <c r="B214" i="39"/>
  <c r="C214" i="39"/>
  <c r="D214" i="39"/>
  <c r="A215" i="39"/>
  <c r="B215" i="39"/>
  <c r="C215" i="39"/>
  <c r="D215" i="39" s="1"/>
  <c r="A216" i="39"/>
  <c r="B216" i="39"/>
  <c r="C216" i="39"/>
  <c r="D216" i="39"/>
  <c r="A217" i="39"/>
  <c r="B217" i="39"/>
  <c r="C217" i="39"/>
  <c r="D217" i="39" s="1"/>
  <c r="A218" i="39"/>
  <c r="B218" i="39"/>
  <c r="C218" i="39"/>
  <c r="D218" i="39"/>
  <c r="A219" i="39"/>
  <c r="B219" i="39"/>
  <c r="C219" i="39"/>
  <c r="D219" i="39" s="1"/>
  <c r="A220" i="39"/>
  <c r="B220" i="39"/>
  <c r="C220" i="39"/>
  <c r="D220" i="39"/>
  <c r="A221" i="39"/>
  <c r="B221" i="39"/>
  <c r="C221" i="39"/>
  <c r="D221" i="39" s="1"/>
  <c r="A222" i="39"/>
  <c r="B222" i="39"/>
  <c r="C222" i="39"/>
  <c r="D222" i="39"/>
  <c r="A223" i="39"/>
  <c r="B223" i="39"/>
  <c r="C223" i="39"/>
  <c r="D223" i="39" s="1"/>
  <c r="A224" i="39"/>
  <c r="B224" i="39"/>
  <c r="C224" i="39"/>
  <c r="D224" i="39"/>
  <c r="A225" i="39"/>
  <c r="B225" i="39"/>
  <c r="C225" i="39"/>
  <c r="D225" i="39" s="1"/>
  <c r="A226" i="39"/>
  <c r="B226" i="39"/>
  <c r="C226" i="39"/>
  <c r="D226" i="39"/>
  <c r="A227" i="39"/>
  <c r="B227" i="39"/>
  <c r="C227" i="39"/>
  <c r="D227" i="39" s="1"/>
  <c r="A228" i="39"/>
  <c r="B228" i="39"/>
  <c r="C228" i="39"/>
  <c r="D228" i="39"/>
  <c r="A229" i="39"/>
  <c r="B229" i="39"/>
  <c r="C229" i="39"/>
  <c r="D229" i="39" s="1"/>
  <c r="A230" i="39"/>
  <c r="B230" i="39"/>
  <c r="C230" i="39"/>
  <c r="D230" i="39"/>
  <c r="A231" i="39"/>
  <c r="B231" i="39"/>
  <c r="C231" i="39"/>
  <c r="D231" i="39" s="1"/>
  <c r="A232" i="39"/>
  <c r="B232" i="39"/>
  <c r="C232" i="39"/>
  <c r="D232" i="39"/>
  <c r="A233" i="39"/>
  <c r="B233" i="39"/>
  <c r="C233" i="39"/>
  <c r="D233" i="39" s="1"/>
  <c r="A234" i="39"/>
  <c r="B234" i="39"/>
  <c r="C234" i="39"/>
  <c r="D234" i="39"/>
  <c r="A235" i="39"/>
  <c r="B235" i="39"/>
  <c r="C235" i="39"/>
  <c r="D235" i="39" s="1"/>
  <c r="A236" i="39"/>
  <c r="B236" i="39"/>
  <c r="C236" i="39"/>
  <c r="D236" i="39"/>
  <c r="A237" i="39"/>
  <c r="B237" i="39"/>
  <c r="C237" i="39"/>
  <c r="A238" i="39"/>
  <c r="B238" i="39"/>
  <c r="C238" i="39"/>
  <c r="D238" i="39"/>
  <c r="A239" i="39"/>
  <c r="B239" i="39"/>
  <c r="C239" i="39"/>
  <c r="A240" i="39"/>
  <c r="B240" i="39"/>
  <c r="C240" i="39"/>
  <c r="D240" i="39"/>
  <c r="A241" i="39"/>
  <c r="B241" i="39"/>
  <c r="C241" i="39"/>
  <c r="D241" i="39"/>
  <c r="A242" i="39"/>
  <c r="B242" i="39"/>
  <c r="C242" i="39"/>
  <c r="D242" i="39"/>
  <c r="A243" i="39"/>
  <c r="B243" i="39"/>
  <c r="C243" i="39"/>
  <c r="A244" i="39"/>
  <c r="B244" i="39"/>
  <c r="C244" i="39"/>
  <c r="D244" i="39"/>
  <c r="A245" i="39"/>
  <c r="B245" i="39"/>
  <c r="C245" i="39"/>
  <c r="D245" i="39"/>
  <c r="A246" i="39"/>
  <c r="B246" i="39"/>
  <c r="C246" i="39"/>
  <c r="D246" i="39"/>
  <c r="A247" i="39"/>
  <c r="B247" i="39"/>
  <c r="C247" i="39"/>
  <c r="D247" i="39"/>
  <c r="A248" i="39"/>
  <c r="B248" i="39"/>
  <c r="C248" i="39"/>
  <c r="D248" i="39"/>
  <c r="A249" i="39"/>
  <c r="B249" i="39"/>
  <c r="C249" i="39"/>
  <c r="D249" i="39"/>
  <c r="A250" i="39"/>
  <c r="B250" i="39"/>
  <c r="C250" i="39"/>
  <c r="D250" i="39"/>
  <c r="A251" i="39"/>
  <c r="B251" i="39"/>
  <c r="C251" i="39"/>
  <c r="D251" i="39"/>
  <c r="A252" i="39"/>
  <c r="B252" i="39"/>
  <c r="C252" i="39"/>
  <c r="D252" i="39"/>
  <c r="A253" i="39"/>
  <c r="B253" i="39"/>
  <c r="C253" i="39"/>
  <c r="D253" i="39"/>
  <c r="A254" i="39"/>
  <c r="B254" i="39"/>
  <c r="C254" i="39"/>
  <c r="D254" i="39"/>
  <c r="A255" i="39"/>
  <c r="B255" i="39"/>
  <c r="C255" i="39"/>
  <c r="D255" i="39"/>
  <c r="A256" i="39"/>
  <c r="B256" i="39"/>
  <c r="C256" i="39"/>
  <c r="D256" i="39"/>
  <c r="A257" i="39"/>
  <c r="B257" i="39"/>
  <c r="C257" i="39"/>
  <c r="D257" i="39"/>
  <c r="A258" i="39"/>
  <c r="B258" i="39"/>
  <c r="C258" i="39"/>
  <c r="D258" i="39"/>
  <c r="A259" i="39"/>
  <c r="B259" i="39"/>
  <c r="C259" i="39"/>
  <c r="D259" i="39"/>
  <c r="A260" i="39"/>
  <c r="B260" i="39"/>
  <c r="C260" i="39"/>
  <c r="D260" i="39"/>
  <c r="A261" i="39"/>
  <c r="B261" i="39"/>
  <c r="C261" i="39"/>
  <c r="D261" i="39"/>
  <c r="A262" i="39"/>
  <c r="B262" i="39"/>
  <c r="C262" i="39"/>
  <c r="D262" i="39"/>
  <c r="A263" i="39"/>
  <c r="B263" i="39"/>
  <c r="C263" i="39"/>
  <c r="D263" i="39"/>
  <c r="A264" i="39"/>
  <c r="B264" i="39"/>
  <c r="C264" i="39"/>
  <c r="D264" i="39"/>
  <c r="A265" i="39"/>
  <c r="B265" i="39"/>
  <c r="C265" i="39"/>
  <c r="D265" i="39"/>
  <c r="A266" i="39"/>
  <c r="B266" i="39"/>
  <c r="C266" i="39"/>
  <c r="D266" i="39"/>
  <c r="A267" i="39"/>
  <c r="B267" i="39"/>
  <c r="C267" i="39"/>
  <c r="D267" i="39"/>
  <c r="A268" i="39"/>
  <c r="B268" i="39"/>
  <c r="C268" i="39"/>
  <c r="D268" i="39"/>
  <c r="A269" i="39"/>
  <c r="B269" i="39"/>
  <c r="C269" i="39"/>
  <c r="D269" i="39"/>
  <c r="A270" i="39"/>
  <c r="B270" i="39"/>
  <c r="C270" i="39"/>
  <c r="D270" i="39"/>
  <c r="A271" i="39"/>
  <c r="B271" i="39"/>
  <c r="C271" i="39"/>
  <c r="D271" i="39"/>
  <c r="A272" i="39"/>
  <c r="B272" i="39"/>
  <c r="C272" i="39"/>
  <c r="D272" i="39"/>
  <c r="A273" i="39"/>
  <c r="B273" i="39"/>
  <c r="C273" i="39"/>
  <c r="D273" i="39"/>
  <c r="A274" i="39"/>
  <c r="B274" i="39"/>
  <c r="C274" i="39"/>
  <c r="D274" i="39"/>
  <c r="A275" i="39"/>
  <c r="B275" i="39"/>
  <c r="C275" i="39"/>
  <c r="D275" i="39"/>
  <c r="A276" i="39"/>
  <c r="B276" i="39"/>
  <c r="C276" i="39"/>
  <c r="D276" i="39"/>
  <c r="A277" i="39"/>
  <c r="B277" i="39"/>
  <c r="C277" i="39"/>
  <c r="D277" i="39"/>
  <c r="A278" i="39"/>
  <c r="B278" i="39"/>
  <c r="C278" i="39"/>
  <c r="D278" i="39"/>
  <c r="A279" i="39"/>
  <c r="B279" i="39"/>
  <c r="C279" i="39"/>
  <c r="D279" i="39"/>
  <c r="A280" i="39"/>
  <c r="B280" i="39"/>
  <c r="C280" i="39"/>
  <c r="D280" i="39"/>
  <c r="A281" i="39"/>
  <c r="B281" i="39"/>
  <c r="C281" i="39"/>
  <c r="D281" i="39"/>
  <c r="A282" i="39"/>
  <c r="B282" i="39"/>
  <c r="C282" i="39"/>
  <c r="D282" i="39"/>
  <c r="A283" i="39"/>
  <c r="B283" i="39"/>
  <c r="C283" i="39"/>
  <c r="D283" i="39"/>
  <c r="A284" i="39"/>
  <c r="B284" i="39"/>
  <c r="C284" i="39"/>
  <c r="D284" i="39"/>
  <c r="A285" i="39"/>
  <c r="B285" i="39"/>
  <c r="C285" i="39"/>
  <c r="D285" i="39"/>
  <c r="A286" i="39"/>
  <c r="B286" i="39"/>
  <c r="C286" i="39"/>
  <c r="D286" i="39"/>
  <c r="A287" i="39"/>
  <c r="B287" i="39"/>
  <c r="C287" i="39"/>
  <c r="D287" i="39"/>
  <c r="A288" i="39"/>
  <c r="B288" i="39"/>
  <c r="C288" i="39"/>
  <c r="D288" i="39"/>
  <c r="A289" i="39"/>
  <c r="B289" i="39"/>
  <c r="C289" i="39"/>
  <c r="D289" i="39"/>
  <c r="A290" i="39"/>
  <c r="B290" i="39"/>
  <c r="C290" i="39"/>
  <c r="D290" i="39"/>
  <c r="A291" i="39"/>
  <c r="B291" i="39"/>
  <c r="C291" i="39"/>
  <c r="D291" i="39"/>
  <c r="A292" i="39"/>
  <c r="B292" i="39"/>
  <c r="C292" i="39"/>
  <c r="D292" i="39"/>
  <c r="A293" i="39"/>
  <c r="B293" i="39"/>
  <c r="C293" i="39"/>
  <c r="D293" i="39"/>
  <c r="A294" i="39"/>
  <c r="B294" i="39"/>
  <c r="C294" i="39"/>
  <c r="D294" i="39"/>
  <c r="A295" i="39"/>
  <c r="B295" i="39"/>
  <c r="C295" i="39"/>
  <c r="D295" i="39"/>
  <c r="A296" i="39"/>
  <c r="B296" i="39"/>
  <c r="C296" i="39"/>
  <c r="D296" i="39"/>
  <c r="A297" i="39"/>
  <c r="B297" i="39"/>
  <c r="C297" i="39"/>
  <c r="D297" i="39"/>
  <c r="A298" i="39"/>
  <c r="B298" i="39"/>
  <c r="C298" i="39"/>
  <c r="D298" i="39"/>
  <c r="A299" i="39"/>
  <c r="B299" i="39"/>
  <c r="C299" i="39"/>
  <c r="D299" i="39"/>
  <c r="A300" i="39"/>
  <c r="B300" i="39"/>
  <c r="C300" i="39"/>
  <c r="D300" i="39"/>
  <c r="A301" i="39"/>
  <c r="B301" i="39"/>
  <c r="C301" i="39"/>
  <c r="D301" i="39"/>
  <c r="A302" i="39"/>
  <c r="B302" i="39"/>
  <c r="C302" i="39"/>
  <c r="D302" i="39"/>
  <c r="A303" i="39"/>
  <c r="B303" i="39"/>
  <c r="C303" i="39"/>
  <c r="D303" i="39"/>
  <c r="A304" i="39"/>
  <c r="B304" i="39"/>
  <c r="C304" i="39"/>
  <c r="D304" i="39"/>
  <c r="A305" i="39"/>
  <c r="B305" i="39"/>
  <c r="C305" i="39"/>
  <c r="D305" i="39"/>
  <c r="A306" i="39"/>
  <c r="B306" i="39"/>
  <c r="C306" i="39"/>
  <c r="D306" i="39"/>
  <c r="A307" i="39"/>
  <c r="B307" i="39"/>
  <c r="C307" i="39"/>
  <c r="D307" i="39"/>
  <c r="A308" i="39"/>
  <c r="B308" i="39"/>
  <c r="C308" i="39"/>
  <c r="D308" i="39"/>
  <c r="A309" i="39"/>
  <c r="B309" i="39"/>
  <c r="C309" i="39"/>
  <c r="D309" i="39"/>
  <c r="A310" i="39"/>
  <c r="B310" i="39"/>
  <c r="C310" i="39"/>
  <c r="D310" i="39"/>
  <c r="A311" i="39"/>
  <c r="B311" i="39"/>
  <c r="C311" i="39"/>
  <c r="D311" i="39"/>
  <c r="A312" i="39"/>
  <c r="B312" i="39"/>
  <c r="C312" i="39"/>
  <c r="D312" i="39"/>
  <c r="A313" i="39"/>
  <c r="B313" i="39"/>
  <c r="C313" i="39"/>
  <c r="D313" i="39"/>
  <c r="A6" i="12"/>
  <c r="B6" i="12"/>
  <c r="C6" i="12"/>
  <c r="D6" i="12" s="1"/>
  <c r="A7" i="12"/>
  <c r="B7" i="12"/>
  <c r="C7" i="12"/>
  <c r="D7" i="12"/>
  <c r="A8" i="12"/>
  <c r="B8" i="12"/>
  <c r="C8" i="12"/>
  <c r="D8" i="12" s="1"/>
  <c r="A9" i="12"/>
  <c r="B9" i="12"/>
  <c r="C9" i="12"/>
  <c r="D9" i="12"/>
  <c r="A10" i="12"/>
  <c r="B10" i="12"/>
  <c r="C10" i="12"/>
  <c r="D10" i="12"/>
  <c r="A11" i="12"/>
  <c r="B11" i="12"/>
  <c r="C11" i="12"/>
  <c r="D11" i="12"/>
  <c r="A12" i="12"/>
  <c r="B12" i="12"/>
  <c r="C12" i="12"/>
  <c r="D12" i="12"/>
  <c r="A13" i="12"/>
  <c r="B13" i="12"/>
  <c r="C13" i="12"/>
  <c r="D13" i="12"/>
  <c r="A14" i="12"/>
  <c r="B14" i="12"/>
  <c r="C14" i="12"/>
  <c r="D14" i="12"/>
  <c r="A15" i="12"/>
  <c r="B15" i="12"/>
  <c r="C15" i="12"/>
  <c r="D15" i="12"/>
  <c r="A16" i="12"/>
  <c r="B16" i="12"/>
  <c r="C16" i="12"/>
  <c r="D16" i="12"/>
  <c r="A17" i="12"/>
  <c r="B17" i="12"/>
  <c r="C17" i="12"/>
  <c r="D17" i="12"/>
  <c r="A18" i="12"/>
  <c r="B18" i="12"/>
  <c r="C18" i="12"/>
  <c r="D18" i="12"/>
  <c r="A19" i="12"/>
  <c r="B19" i="12"/>
  <c r="C19" i="12"/>
  <c r="D19" i="12"/>
  <c r="A20" i="12"/>
  <c r="B20" i="12"/>
  <c r="C20" i="12"/>
  <c r="D20" i="12"/>
  <c r="A21" i="12"/>
  <c r="B21" i="12"/>
  <c r="C21" i="12"/>
  <c r="D21" i="12"/>
  <c r="A22" i="12"/>
  <c r="B22" i="12"/>
  <c r="C22" i="12"/>
  <c r="D22" i="12"/>
  <c r="A23" i="12"/>
  <c r="B23" i="12"/>
  <c r="C23" i="12"/>
  <c r="D23" i="12"/>
  <c r="A24" i="12"/>
  <c r="B24" i="12"/>
  <c r="C24" i="12"/>
  <c r="D24" i="12"/>
  <c r="A25" i="12"/>
  <c r="B25" i="12"/>
  <c r="C25" i="12"/>
  <c r="D25" i="12"/>
  <c r="A26" i="12"/>
  <c r="B26" i="12"/>
  <c r="C26" i="12"/>
  <c r="D26" i="12"/>
  <c r="A27" i="12"/>
  <c r="B27" i="12"/>
  <c r="C27" i="12"/>
  <c r="D27" i="12"/>
  <c r="A28" i="12"/>
  <c r="B28" i="12"/>
  <c r="C28" i="12"/>
  <c r="D28" i="12"/>
  <c r="A29" i="12"/>
  <c r="B29" i="12"/>
  <c r="C29" i="12"/>
  <c r="D29" i="12"/>
  <c r="A30" i="12"/>
  <c r="B30" i="12"/>
  <c r="C30" i="12"/>
  <c r="D30" i="12"/>
  <c r="A31" i="12"/>
  <c r="B31" i="12"/>
  <c r="C31" i="12"/>
  <c r="D31" i="12"/>
  <c r="A32" i="12"/>
  <c r="B32" i="12"/>
  <c r="C32" i="12"/>
  <c r="D32" i="12"/>
  <c r="A33" i="12"/>
  <c r="B33" i="12"/>
  <c r="C33" i="12"/>
  <c r="D33" i="12"/>
  <c r="A34" i="12"/>
  <c r="B34" i="12"/>
  <c r="C34" i="12"/>
  <c r="D34" i="12"/>
  <c r="A35" i="12"/>
  <c r="B35" i="12"/>
  <c r="C35" i="12"/>
  <c r="D35" i="12"/>
  <c r="A36" i="12"/>
  <c r="B36" i="12"/>
  <c r="C36" i="12"/>
  <c r="D36" i="12"/>
  <c r="A37" i="12"/>
  <c r="B37" i="12"/>
  <c r="C37" i="12"/>
  <c r="D37" i="12"/>
  <c r="A38" i="12"/>
  <c r="B38" i="12"/>
  <c r="C38" i="12"/>
  <c r="D38" i="12"/>
  <c r="A39" i="12"/>
  <c r="B39" i="12"/>
  <c r="C39" i="12"/>
  <c r="D39" i="12"/>
  <c r="A40" i="12"/>
  <c r="B40" i="12"/>
  <c r="C40" i="12"/>
  <c r="D40" i="12"/>
  <c r="A41" i="12"/>
  <c r="B41" i="12"/>
  <c r="C41" i="12"/>
  <c r="D41" i="12"/>
  <c r="A42" i="12"/>
  <c r="B42" i="12"/>
  <c r="C42" i="12"/>
  <c r="D42" i="12"/>
  <c r="A43" i="12"/>
  <c r="B43" i="12"/>
  <c r="C43" i="12"/>
  <c r="D43" i="12"/>
  <c r="A44" i="12"/>
  <c r="B44" i="12"/>
  <c r="C44" i="12"/>
  <c r="D44" i="12"/>
  <c r="A45" i="12"/>
  <c r="B45" i="12"/>
  <c r="C45" i="12"/>
  <c r="D45" i="12"/>
  <c r="A46" i="12"/>
  <c r="B46" i="12"/>
  <c r="C46" i="12"/>
  <c r="D46" i="12"/>
  <c r="A47" i="12"/>
  <c r="B47" i="12"/>
  <c r="C47" i="12"/>
  <c r="D47" i="12"/>
  <c r="A48" i="12"/>
  <c r="B48" i="12"/>
  <c r="C48" i="12"/>
  <c r="D48" i="12"/>
  <c r="A49" i="12"/>
  <c r="B49" i="12"/>
  <c r="C49" i="12"/>
  <c r="D49" i="12"/>
  <c r="A50" i="12"/>
  <c r="B50" i="12"/>
  <c r="C50" i="12"/>
  <c r="D50" i="12"/>
  <c r="A51" i="12"/>
  <c r="B51" i="12"/>
  <c r="C51" i="12"/>
  <c r="D51" i="12"/>
  <c r="A52" i="12"/>
  <c r="B52" i="12"/>
  <c r="C52" i="12"/>
  <c r="D52" i="12"/>
  <c r="A53" i="12"/>
  <c r="B53" i="12"/>
  <c r="C53" i="12"/>
  <c r="D53" i="12"/>
  <c r="A54" i="12"/>
  <c r="B54" i="12"/>
  <c r="C54" i="12"/>
  <c r="D54" i="12"/>
  <c r="A55" i="12"/>
  <c r="B55" i="12"/>
  <c r="C55" i="12"/>
  <c r="D55" i="12"/>
  <c r="A56" i="12"/>
  <c r="B56" i="12"/>
  <c r="C56" i="12"/>
  <c r="D56" i="12"/>
  <c r="A57" i="12"/>
  <c r="B57" i="12"/>
  <c r="C57" i="12"/>
  <c r="D57" i="12"/>
  <c r="A58" i="12"/>
  <c r="B58" i="12"/>
  <c r="C58" i="12"/>
  <c r="D58" i="12"/>
  <c r="A59" i="12"/>
  <c r="B59" i="12"/>
  <c r="C59" i="12"/>
  <c r="D59" i="12"/>
  <c r="A60" i="12"/>
  <c r="B60" i="12"/>
  <c r="C60" i="12"/>
  <c r="D60" i="12"/>
  <c r="A61" i="12"/>
  <c r="B61" i="12"/>
  <c r="C61" i="12"/>
  <c r="D61" i="12"/>
  <c r="A62" i="12"/>
  <c r="B62" i="12"/>
  <c r="C62" i="12"/>
  <c r="D62" i="12"/>
  <c r="A63" i="12"/>
  <c r="B63" i="12"/>
  <c r="C63" i="12"/>
  <c r="D63" i="12"/>
  <c r="A64" i="12"/>
  <c r="B64" i="12"/>
  <c r="C64" i="12"/>
  <c r="D64" i="12"/>
  <c r="A65" i="12"/>
  <c r="B65" i="12"/>
  <c r="C65" i="12"/>
  <c r="D65" i="12"/>
  <c r="A66" i="12"/>
  <c r="B66" i="12"/>
  <c r="C66" i="12"/>
  <c r="D66" i="12"/>
  <c r="A67" i="12"/>
  <c r="B67" i="12"/>
  <c r="C67" i="12"/>
  <c r="D67" i="12"/>
  <c r="A68" i="12"/>
  <c r="B68" i="12"/>
  <c r="C68" i="12"/>
  <c r="D68" i="12"/>
  <c r="A69" i="12"/>
  <c r="B69" i="12"/>
  <c r="C69" i="12"/>
  <c r="D69" i="12"/>
  <c r="A70" i="12"/>
  <c r="B70" i="12"/>
  <c r="C70" i="12"/>
  <c r="D70" i="12"/>
  <c r="A71" i="12"/>
  <c r="B71" i="12"/>
  <c r="C71" i="12"/>
  <c r="D71" i="12"/>
  <c r="A72" i="12"/>
  <c r="B72" i="12"/>
  <c r="C72" i="12"/>
  <c r="D72" i="12"/>
  <c r="A73" i="12"/>
  <c r="B73" i="12"/>
  <c r="C73" i="12"/>
  <c r="D73" i="12"/>
  <c r="A74" i="12"/>
  <c r="B74" i="12"/>
  <c r="C74" i="12"/>
  <c r="D74" i="12"/>
  <c r="A75" i="12"/>
  <c r="B75" i="12"/>
  <c r="C75" i="12"/>
  <c r="D75" i="12"/>
  <c r="A76" i="12"/>
  <c r="B76" i="12"/>
  <c r="C76" i="12"/>
  <c r="D76" i="12"/>
  <c r="A77" i="12"/>
  <c r="B77" i="12"/>
  <c r="C77" i="12"/>
  <c r="D77" i="12"/>
  <c r="A78" i="12"/>
  <c r="B78" i="12"/>
  <c r="C78" i="12"/>
  <c r="D78" i="12"/>
  <c r="A79" i="12"/>
  <c r="B79" i="12"/>
  <c r="C79" i="12"/>
  <c r="D79" i="12"/>
  <c r="A80" i="12"/>
  <c r="B80" i="12"/>
  <c r="C80" i="12"/>
  <c r="D80" i="12"/>
  <c r="A81" i="12"/>
  <c r="B81" i="12"/>
  <c r="C81" i="12"/>
  <c r="D81" i="12"/>
  <c r="A82" i="12"/>
  <c r="B82" i="12"/>
  <c r="C82" i="12"/>
  <c r="D82" i="12"/>
  <c r="A83" i="12"/>
  <c r="B83" i="12"/>
  <c r="C83" i="12"/>
  <c r="D83" i="12"/>
  <c r="A84" i="12"/>
  <c r="B84" i="12"/>
  <c r="C84" i="12"/>
  <c r="D84" i="12"/>
  <c r="A85" i="12"/>
  <c r="B85" i="12"/>
  <c r="C85" i="12"/>
  <c r="D85" i="12"/>
  <c r="A86" i="12"/>
  <c r="B86" i="12"/>
  <c r="C86" i="12"/>
  <c r="D86" i="12"/>
  <c r="A87" i="12"/>
  <c r="B87" i="12"/>
  <c r="C87" i="12"/>
  <c r="D87" i="12"/>
  <c r="A88" i="12"/>
  <c r="B88" i="12"/>
  <c r="C88" i="12"/>
  <c r="D88" i="12"/>
  <c r="A89" i="12"/>
  <c r="B89" i="12"/>
  <c r="C89" i="12"/>
  <c r="D89" i="12" s="1"/>
  <c r="A90" i="12"/>
  <c r="B90" i="12"/>
  <c r="C90" i="12"/>
  <c r="D90" i="12"/>
  <c r="A91" i="12"/>
  <c r="B91" i="12"/>
  <c r="C91" i="12"/>
  <c r="D91" i="12"/>
  <c r="A92" i="12"/>
  <c r="B92" i="12"/>
  <c r="C92" i="12"/>
  <c r="D92" i="12"/>
  <c r="A93" i="12"/>
  <c r="B93" i="12"/>
  <c r="C93" i="12"/>
  <c r="D93" i="12"/>
  <c r="A94" i="12"/>
  <c r="B94" i="12"/>
  <c r="C94" i="12"/>
  <c r="D94" i="12"/>
  <c r="A95" i="12"/>
  <c r="B95" i="12"/>
  <c r="C95" i="12"/>
  <c r="D95" i="12"/>
  <c r="A96" i="12"/>
  <c r="B96" i="12"/>
  <c r="C96" i="12"/>
  <c r="D96" i="12"/>
  <c r="A97" i="12"/>
  <c r="B97" i="12"/>
  <c r="C97" i="12"/>
  <c r="D97" i="12"/>
  <c r="A98" i="12"/>
  <c r="B98" i="12"/>
  <c r="C98" i="12"/>
  <c r="D98" i="12"/>
  <c r="A99" i="12"/>
  <c r="B99" i="12"/>
  <c r="C99" i="12"/>
  <c r="D99" i="12"/>
  <c r="A100" i="12"/>
  <c r="B100" i="12"/>
  <c r="C100" i="12"/>
  <c r="D100" i="12"/>
  <c r="A101" i="12"/>
  <c r="B101" i="12"/>
  <c r="C101" i="12"/>
  <c r="D101" i="12"/>
  <c r="A102" i="12"/>
  <c r="B102" i="12"/>
  <c r="C102" i="12"/>
  <c r="D102" i="12"/>
  <c r="A103" i="12"/>
  <c r="B103" i="12"/>
  <c r="C103" i="12"/>
  <c r="D103" i="12"/>
  <c r="A104" i="12"/>
  <c r="B104" i="12"/>
  <c r="C104" i="12"/>
  <c r="D104" i="12"/>
  <c r="A105" i="12"/>
  <c r="B105" i="12"/>
  <c r="C105" i="12"/>
  <c r="D105" i="12"/>
  <c r="A106" i="12"/>
  <c r="B106" i="12"/>
  <c r="C106" i="12"/>
  <c r="D106" i="12"/>
  <c r="A107" i="12"/>
  <c r="B107" i="12"/>
  <c r="C107" i="12"/>
  <c r="D107" i="12"/>
  <c r="A108" i="12"/>
  <c r="B108" i="12"/>
  <c r="C108" i="12"/>
  <c r="D108" i="12"/>
  <c r="A109" i="12"/>
  <c r="B109" i="12"/>
  <c r="C109" i="12"/>
  <c r="D109" i="12"/>
  <c r="A110" i="12"/>
  <c r="B110" i="12"/>
  <c r="C110" i="12"/>
  <c r="D110" i="12"/>
  <c r="A111" i="12"/>
  <c r="B111" i="12"/>
  <c r="C111" i="12"/>
  <c r="D111" i="12"/>
  <c r="A112" i="12"/>
  <c r="B112" i="12"/>
  <c r="C112" i="12"/>
  <c r="D112" i="12"/>
  <c r="A113" i="12"/>
  <c r="B113" i="12"/>
  <c r="C113" i="12"/>
  <c r="D113" i="12"/>
  <c r="A114" i="12"/>
  <c r="B114" i="12"/>
  <c r="C114" i="12"/>
  <c r="D114" i="12"/>
  <c r="A115" i="12"/>
  <c r="B115" i="12"/>
  <c r="C115" i="12"/>
  <c r="D115" i="12"/>
  <c r="A116" i="12"/>
  <c r="B116" i="12"/>
  <c r="C116" i="12"/>
  <c r="D116" i="12"/>
  <c r="A117" i="12"/>
  <c r="B117" i="12"/>
  <c r="C117" i="12"/>
  <c r="D117" i="12"/>
  <c r="A118" i="12"/>
  <c r="B118" i="12"/>
  <c r="C118" i="12"/>
  <c r="D118" i="12"/>
  <c r="A119" i="12"/>
  <c r="B119" i="12"/>
  <c r="C119" i="12"/>
  <c r="D119" i="12"/>
  <c r="A120" i="12"/>
  <c r="B120" i="12"/>
  <c r="C120" i="12"/>
  <c r="D120" i="12"/>
  <c r="A121" i="12"/>
  <c r="B121" i="12"/>
  <c r="C121" i="12"/>
  <c r="D121" i="12"/>
  <c r="A122" i="12"/>
  <c r="B122" i="12"/>
  <c r="C122" i="12"/>
  <c r="D122" i="12"/>
  <c r="A123" i="12"/>
  <c r="B123" i="12"/>
  <c r="C123" i="12"/>
  <c r="D123" i="12"/>
  <c r="A124" i="12"/>
  <c r="B124" i="12"/>
  <c r="C124" i="12"/>
  <c r="D124" i="12"/>
  <c r="A125" i="12"/>
  <c r="B125" i="12"/>
  <c r="C125" i="12"/>
  <c r="D125" i="12"/>
  <c r="A126" i="12"/>
  <c r="B126" i="12"/>
  <c r="C126" i="12"/>
  <c r="D126" i="12"/>
  <c r="A127" i="12"/>
  <c r="B127" i="12"/>
  <c r="C127" i="12"/>
  <c r="D127" i="12"/>
  <c r="A128" i="12"/>
  <c r="B128" i="12"/>
  <c r="C128" i="12"/>
  <c r="D128" i="12"/>
  <c r="A129" i="12"/>
  <c r="B129" i="12"/>
  <c r="C129" i="12"/>
  <c r="D129" i="12"/>
  <c r="A130" i="12"/>
  <c r="B130" i="12"/>
  <c r="C130" i="12"/>
  <c r="D130" i="12"/>
  <c r="A131" i="12"/>
  <c r="B131" i="12"/>
  <c r="C131" i="12"/>
  <c r="D131" i="12"/>
  <c r="A132" i="12"/>
  <c r="B132" i="12"/>
  <c r="C132" i="12"/>
  <c r="D132" i="12"/>
  <c r="A133" i="12"/>
  <c r="B133" i="12"/>
  <c r="C133" i="12"/>
  <c r="D133" i="12"/>
  <c r="A134" i="12"/>
  <c r="B134" i="12"/>
  <c r="C134" i="12"/>
  <c r="D134" i="12"/>
  <c r="A135" i="12"/>
  <c r="B135" i="12"/>
  <c r="C135" i="12"/>
  <c r="D135" i="12"/>
  <c r="A136" i="12"/>
  <c r="B136" i="12"/>
  <c r="C136" i="12"/>
  <c r="D136" i="12"/>
  <c r="A137" i="12"/>
  <c r="B137" i="12"/>
  <c r="C137" i="12"/>
  <c r="D137" i="12"/>
  <c r="A138" i="12"/>
  <c r="B138" i="12"/>
  <c r="C138" i="12"/>
  <c r="D138" i="12"/>
  <c r="A139" i="12"/>
  <c r="B139" i="12"/>
  <c r="C139" i="12"/>
  <c r="D139" i="12"/>
  <c r="A140" i="12"/>
  <c r="B140" i="12"/>
  <c r="C140" i="12"/>
  <c r="D140" i="12"/>
  <c r="A141" i="12"/>
  <c r="B141" i="12"/>
  <c r="C141" i="12"/>
  <c r="D141" i="12"/>
  <c r="A142" i="12"/>
  <c r="B142" i="12"/>
  <c r="C142" i="12"/>
  <c r="D142" i="12"/>
  <c r="A143" i="12"/>
  <c r="B143" i="12"/>
  <c r="C143" i="12"/>
  <c r="D143" i="12"/>
  <c r="A144" i="12"/>
  <c r="B144" i="12"/>
  <c r="C144" i="12"/>
  <c r="D144" i="12"/>
  <c r="A145" i="12"/>
  <c r="B145" i="12"/>
  <c r="C145" i="12"/>
  <c r="D145" i="12"/>
  <c r="A146" i="12"/>
  <c r="B146" i="12"/>
  <c r="C146" i="12"/>
  <c r="D146" i="12"/>
  <c r="A147" i="12"/>
  <c r="B147" i="12"/>
  <c r="C147" i="12"/>
  <c r="D147" i="12"/>
  <c r="A148" i="12"/>
  <c r="B148" i="12"/>
  <c r="C148" i="12"/>
  <c r="D148" i="12"/>
  <c r="A149" i="12"/>
  <c r="B149" i="12"/>
  <c r="C149" i="12"/>
  <c r="D149" i="12"/>
  <c r="A150" i="12"/>
  <c r="B150" i="12"/>
  <c r="C150" i="12"/>
  <c r="D150" i="12"/>
  <c r="A151" i="12"/>
  <c r="B151" i="12"/>
  <c r="C151" i="12"/>
  <c r="D151" i="12"/>
  <c r="A152" i="12"/>
  <c r="B152" i="12"/>
  <c r="C152" i="12"/>
  <c r="D152" i="12"/>
  <c r="A153" i="12"/>
  <c r="B153" i="12"/>
  <c r="C153" i="12"/>
  <c r="D153" i="12"/>
  <c r="A154" i="12"/>
  <c r="B154" i="12"/>
  <c r="C154" i="12"/>
  <c r="D154" i="12"/>
  <c r="A155" i="12"/>
  <c r="B155" i="12"/>
  <c r="C155" i="12"/>
  <c r="D155" i="12"/>
  <c r="A156" i="12"/>
  <c r="B156" i="12"/>
  <c r="C156" i="12"/>
  <c r="D156" i="12"/>
  <c r="A157" i="12"/>
  <c r="B157" i="12"/>
  <c r="C157" i="12"/>
  <c r="D157" i="12"/>
  <c r="A158" i="12"/>
  <c r="B158" i="12"/>
  <c r="C158" i="12"/>
  <c r="D158" i="12"/>
  <c r="A159" i="12"/>
  <c r="B159" i="12"/>
  <c r="C159" i="12"/>
  <c r="D159" i="12"/>
  <c r="A160" i="12"/>
  <c r="B160" i="12"/>
  <c r="C160" i="12"/>
  <c r="D160" i="12"/>
  <c r="A161" i="12"/>
  <c r="B161" i="12"/>
  <c r="C161" i="12"/>
  <c r="D161" i="12"/>
  <c r="A162" i="12"/>
  <c r="B162" i="12"/>
  <c r="C162" i="12"/>
  <c r="D162" i="12"/>
  <c r="A163" i="12"/>
  <c r="B163" i="12"/>
  <c r="C163" i="12"/>
  <c r="D163" i="12"/>
  <c r="A164" i="12"/>
  <c r="B164" i="12"/>
  <c r="C164" i="12"/>
  <c r="D164" i="12"/>
  <c r="A165" i="12"/>
  <c r="B165" i="12"/>
  <c r="C165" i="12"/>
  <c r="D165" i="12"/>
  <c r="A166" i="12"/>
  <c r="B166" i="12"/>
  <c r="C166" i="12"/>
  <c r="D166" i="12"/>
  <c r="A167" i="12"/>
  <c r="B167" i="12"/>
  <c r="C167" i="12"/>
  <c r="D167" i="12"/>
  <c r="A168" i="12"/>
  <c r="B168" i="12"/>
  <c r="C168" i="12"/>
  <c r="D168" i="12"/>
  <c r="A169" i="12"/>
  <c r="B169" i="12"/>
  <c r="C169" i="12"/>
  <c r="D169" i="12"/>
  <c r="A170" i="12"/>
  <c r="B170" i="12"/>
  <c r="C170" i="12"/>
  <c r="D170" i="12"/>
  <c r="A171" i="12"/>
  <c r="B171" i="12"/>
  <c r="C171" i="12"/>
  <c r="D171" i="12"/>
  <c r="A172" i="12"/>
  <c r="B172" i="12"/>
  <c r="C172" i="12"/>
  <c r="D172" i="12"/>
  <c r="A173" i="12"/>
  <c r="B173" i="12"/>
  <c r="C173" i="12"/>
  <c r="D173" i="12"/>
  <c r="A174" i="12"/>
  <c r="B174" i="12"/>
  <c r="C174" i="12"/>
  <c r="D174" i="12"/>
  <c r="A175" i="12"/>
  <c r="B175" i="12"/>
  <c r="C175" i="12"/>
  <c r="D175" i="12"/>
  <c r="A176" i="12"/>
  <c r="B176" i="12"/>
  <c r="C176" i="12"/>
  <c r="D176" i="12"/>
  <c r="A177" i="12"/>
  <c r="B177" i="12"/>
  <c r="C177" i="12"/>
  <c r="D177" i="12"/>
  <c r="A178" i="12"/>
  <c r="B178" i="12"/>
  <c r="C178" i="12"/>
  <c r="D178" i="12" s="1"/>
  <c r="A179" i="12"/>
  <c r="B179" i="12"/>
  <c r="C179" i="12"/>
  <c r="D179" i="12"/>
  <c r="A180" i="12"/>
  <c r="B180" i="12"/>
  <c r="C180" i="12"/>
  <c r="D180" i="12" s="1"/>
  <c r="A181" i="12"/>
  <c r="B181" i="12"/>
  <c r="C181" i="12"/>
  <c r="D181" i="12"/>
  <c r="A182" i="12"/>
  <c r="B182" i="12"/>
  <c r="C182" i="12"/>
  <c r="D182" i="12" s="1"/>
  <c r="A183" i="12"/>
  <c r="B183" i="12"/>
  <c r="C183" i="12"/>
  <c r="D183" i="12"/>
  <c r="A184" i="12"/>
  <c r="B184" i="12"/>
  <c r="C184" i="12"/>
  <c r="D184" i="12" s="1"/>
  <c r="A185" i="12"/>
  <c r="B185" i="12"/>
  <c r="C185" i="12"/>
  <c r="D185" i="12"/>
  <c r="A186" i="12"/>
  <c r="B186" i="12"/>
  <c r="C186" i="12"/>
  <c r="D186" i="12" s="1"/>
  <c r="A187" i="12"/>
  <c r="B187" i="12"/>
  <c r="C187" i="12"/>
  <c r="D187" i="12"/>
  <c r="A188" i="12"/>
  <c r="B188" i="12"/>
  <c r="C188" i="12"/>
  <c r="D188" i="12" s="1"/>
  <c r="A189" i="12"/>
  <c r="B189" i="12"/>
  <c r="C189" i="12"/>
  <c r="D189" i="12"/>
  <c r="A190" i="12"/>
  <c r="B190" i="12"/>
  <c r="C190" i="12"/>
  <c r="D190" i="12"/>
  <c r="A191" i="12"/>
  <c r="B191" i="12"/>
  <c r="C191" i="12"/>
  <c r="D191" i="12"/>
  <c r="A192" i="12"/>
  <c r="B192" i="12"/>
  <c r="C192" i="12"/>
  <c r="D192" i="12" s="1"/>
  <c r="A193" i="12"/>
  <c r="B193" i="12"/>
  <c r="C193" i="12"/>
  <c r="D193" i="12"/>
  <c r="A194" i="12"/>
  <c r="B194" i="12"/>
  <c r="C194" i="12"/>
  <c r="A195" i="12"/>
  <c r="B195" i="12"/>
  <c r="C195" i="12"/>
  <c r="A196" i="12"/>
  <c r="B196" i="12"/>
  <c r="C196" i="12"/>
  <c r="D196" i="12"/>
  <c r="A197" i="12"/>
  <c r="B197" i="12"/>
  <c r="C197" i="12"/>
  <c r="A198" i="12"/>
  <c r="B198" i="12"/>
  <c r="C198" i="12"/>
  <c r="D198" i="12"/>
  <c r="A199" i="12"/>
  <c r="B199" i="12"/>
  <c r="C199" i="12"/>
  <c r="A200" i="12"/>
  <c r="B200" i="12"/>
  <c r="C200" i="12"/>
  <c r="D200" i="12"/>
  <c r="A201" i="12"/>
  <c r="B201" i="12"/>
  <c r="C201" i="12"/>
  <c r="A202" i="12"/>
  <c r="B202" i="12"/>
  <c r="C202" i="12"/>
  <c r="D202" i="12"/>
  <c r="A203" i="12"/>
  <c r="B203" i="12"/>
  <c r="C203" i="12"/>
  <c r="A204" i="12"/>
  <c r="B204" i="12"/>
  <c r="C204" i="12"/>
  <c r="D204" i="12"/>
  <c r="A205" i="12"/>
  <c r="B205" i="12"/>
  <c r="C205" i="12"/>
  <c r="A206" i="12"/>
  <c r="B206" i="12"/>
  <c r="C206" i="12"/>
  <c r="D206" i="12"/>
  <c r="A207" i="12"/>
  <c r="B207" i="12"/>
  <c r="C207" i="12"/>
  <c r="A208" i="12"/>
  <c r="B208" i="12"/>
  <c r="C208" i="12"/>
  <c r="D208" i="12"/>
  <c r="A209" i="12"/>
  <c r="B209" i="12"/>
  <c r="C209" i="12"/>
  <c r="A210" i="12"/>
  <c r="B210" i="12"/>
  <c r="C210" i="12"/>
  <c r="D210" i="12"/>
  <c r="A211" i="12"/>
  <c r="B211" i="12"/>
  <c r="C211" i="12"/>
  <c r="D211" i="12" s="1"/>
  <c r="A212" i="12"/>
  <c r="B212" i="12"/>
  <c r="C212" i="12"/>
  <c r="D212" i="12"/>
  <c r="A213" i="12"/>
  <c r="B213" i="12"/>
  <c r="C213" i="12"/>
  <c r="D213" i="12" s="1"/>
  <c r="A214" i="12"/>
  <c r="B214" i="12"/>
  <c r="C214" i="12"/>
  <c r="D214" i="12"/>
  <c r="A215" i="12"/>
  <c r="B215" i="12"/>
  <c r="C215" i="12"/>
  <c r="A216" i="12"/>
  <c r="B216" i="12"/>
  <c r="C216" i="12"/>
  <c r="D216" i="12"/>
  <c r="A217" i="12"/>
  <c r="B217" i="12"/>
  <c r="C217" i="12"/>
  <c r="A218" i="12"/>
  <c r="B218" i="12"/>
  <c r="C218" i="12"/>
  <c r="D218" i="12"/>
  <c r="A219" i="12"/>
  <c r="B219" i="12"/>
  <c r="C219" i="12"/>
  <c r="A220" i="12"/>
  <c r="B220" i="12"/>
  <c r="C220" i="12"/>
  <c r="D220" i="12"/>
  <c r="A221" i="12"/>
  <c r="B221" i="12"/>
  <c r="C221" i="12"/>
  <c r="A222" i="12"/>
  <c r="B222" i="12"/>
  <c r="C222" i="12"/>
  <c r="D222" i="12"/>
  <c r="A223" i="12"/>
  <c r="B223" i="12"/>
  <c r="C223" i="12"/>
  <c r="A224" i="12"/>
  <c r="B224" i="12"/>
  <c r="C224" i="12"/>
  <c r="D224" i="12"/>
  <c r="A225" i="12"/>
  <c r="B225" i="12"/>
  <c r="C225" i="12"/>
  <c r="A226" i="12"/>
  <c r="B226" i="12"/>
  <c r="C226" i="12"/>
  <c r="D226" i="12"/>
  <c r="A227" i="12"/>
  <c r="B227" i="12"/>
  <c r="C227" i="12"/>
  <c r="A228" i="12"/>
  <c r="B228" i="12"/>
  <c r="C228" i="12"/>
  <c r="D228" i="12"/>
  <c r="A229" i="12"/>
  <c r="B229" i="12"/>
  <c r="C229" i="12"/>
  <c r="A230" i="12"/>
  <c r="B230" i="12"/>
  <c r="C230" i="12"/>
  <c r="D230" i="12"/>
  <c r="A231" i="12"/>
  <c r="B231" i="12"/>
  <c r="C231" i="12"/>
  <c r="A232" i="12"/>
  <c r="B232" i="12"/>
  <c r="C232" i="12"/>
  <c r="D232" i="12"/>
  <c r="A233" i="12"/>
  <c r="B233" i="12"/>
  <c r="C233" i="12"/>
  <c r="A234" i="12"/>
  <c r="B234" i="12"/>
  <c r="C234" i="12"/>
  <c r="D234" i="12"/>
  <c r="A235" i="12"/>
  <c r="B235" i="12"/>
  <c r="C235" i="12"/>
  <c r="A236" i="12"/>
  <c r="B236" i="12"/>
  <c r="C236" i="12"/>
  <c r="D236" i="12"/>
  <c r="A237" i="12"/>
  <c r="B237" i="12"/>
  <c r="C237" i="12"/>
  <c r="A238" i="12"/>
  <c r="B238" i="12"/>
  <c r="C238" i="12"/>
  <c r="D238" i="12"/>
  <c r="A239" i="12"/>
  <c r="B239" i="12"/>
  <c r="C239" i="12"/>
  <c r="A240" i="12"/>
  <c r="B240" i="12"/>
  <c r="C240" i="12"/>
  <c r="D240" i="12"/>
  <c r="A241" i="12"/>
  <c r="B241" i="12"/>
  <c r="C241" i="12"/>
  <c r="A242" i="12"/>
  <c r="B242" i="12"/>
  <c r="C242" i="12"/>
  <c r="D242" i="12"/>
  <c r="A243" i="12"/>
  <c r="B243" i="12"/>
  <c r="C243" i="12"/>
  <c r="A244" i="12"/>
  <c r="B244" i="12"/>
  <c r="C244" i="12"/>
  <c r="D244" i="12"/>
  <c r="A245" i="12"/>
  <c r="B245" i="12"/>
  <c r="C245" i="12"/>
  <c r="A246" i="12"/>
  <c r="B246" i="12"/>
  <c r="C246" i="12"/>
  <c r="D246" i="12"/>
  <c r="A247" i="12"/>
  <c r="B247" i="12"/>
  <c r="C247" i="12"/>
  <c r="A248" i="12"/>
  <c r="B248" i="12"/>
  <c r="C248" i="12"/>
  <c r="D248" i="12"/>
  <c r="A249" i="12"/>
  <c r="B249" i="12"/>
  <c r="C249" i="12"/>
  <c r="A250" i="12"/>
  <c r="B250" i="12"/>
  <c r="C250" i="12"/>
  <c r="D250" i="12"/>
  <c r="A251" i="12"/>
  <c r="B251" i="12"/>
  <c r="C251" i="12"/>
  <c r="A252" i="12"/>
  <c r="B252" i="12"/>
  <c r="C252" i="12"/>
  <c r="D252" i="12"/>
  <c r="A253" i="12"/>
  <c r="B253" i="12"/>
  <c r="C253" i="12"/>
  <c r="A254" i="12"/>
  <c r="B254" i="12"/>
  <c r="C254" i="12"/>
  <c r="D254" i="12"/>
  <c r="A255" i="12"/>
  <c r="B255" i="12"/>
  <c r="C255" i="12"/>
  <c r="A256" i="12"/>
  <c r="B256" i="12"/>
  <c r="C256" i="12"/>
  <c r="D256" i="12"/>
  <c r="A257" i="12"/>
  <c r="B257" i="12"/>
  <c r="C257" i="12"/>
  <c r="A258" i="12"/>
  <c r="B258" i="12"/>
  <c r="C258" i="12"/>
  <c r="D258" i="12"/>
  <c r="A259" i="12"/>
  <c r="B259" i="12"/>
  <c r="C259" i="12"/>
  <c r="A260" i="12"/>
  <c r="B260" i="12"/>
  <c r="C260" i="12"/>
  <c r="D260" i="12"/>
  <c r="A261" i="12"/>
  <c r="B261" i="12"/>
  <c r="C261" i="12"/>
  <c r="A262" i="12"/>
  <c r="B262" i="12"/>
  <c r="C262" i="12"/>
  <c r="D262" i="12"/>
  <c r="A263" i="12"/>
  <c r="B263" i="12"/>
  <c r="C263" i="12"/>
  <c r="A264" i="12"/>
  <c r="B264" i="12"/>
  <c r="C264" i="12"/>
  <c r="D264" i="12"/>
  <c r="A265" i="12"/>
  <c r="B265" i="12"/>
  <c r="C265" i="12"/>
  <c r="A266" i="12"/>
  <c r="B266" i="12"/>
  <c r="C266" i="12"/>
  <c r="D266" i="12"/>
  <c r="A267" i="12"/>
  <c r="B267" i="12"/>
  <c r="C267" i="12"/>
  <c r="A268" i="12"/>
  <c r="B268" i="12"/>
  <c r="C268" i="12"/>
  <c r="D268" i="12"/>
  <c r="A269" i="12"/>
  <c r="B269" i="12"/>
  <c r="C269" i="12"/>
  <c r="A270" i="12"/>
  <c r="B270" i="12"/>
  <c r="C270" i="12"/>
  <c r="D270" i="12"/>
  <c r="A271" i="12"/>
  <c r="B271" i="12"/>
  <c r="C271" i="12"/>
  <c r="A272" i="12"/>
  <c r="B272" i="12"/>
  <c r="C272" i="12"/>
  <c r="D272" i="12"/>
  <c r="A273" i="12"/>
  <c r="B273" i="12"/>
  <c r="C273" i="12"/>
  <c r="A274" i="12"/>
  <c r="B274" i="12"/>
  <c r="C274" i="12"/>
  <c r="D274" i="12"/>
  <c r="A275" i="12"/>
  <c r="B275" i="12"/>
  <c r="C275" i="12"/>
  <c r="A276" i="12"/>
  <c r="B276" i="12"/>
  <c r="C276" i="12"/>
  <c r="D276" i="12"/>
  <c r="A277" i="12"/>
  <c r="B277" i="12"/>
  <c r="C277" i="12"/>
  <c r="A278" i="12"/>
  <c r="B278" i="12"/>
  <c r="C278" i="12"/>
  <c r="D278" i="12"/>
  <c r="A279" i="12"/>
  <c r="B279" i="12"/>
  <c r="C279" i="12"/>
  <c r="D279" i="12"/>
  <c r="A280" i="12"/>
  <c r="B280" i="12"/>
  <c r="C280" i="12"/>
  <c r="D280" i="12"/>
  <c r="A281" i="12"/>
  <c r="B281" i="12"/>
  <c r="C281" i="12"/>
  <c r="D281" i="12"/>
  <c r="A282" i="12"/>
  <c r="B282" i="12"/>
  <c r="C282" i="12"/>
  <c r="D282" i="12"/>
  <c r="A283" i="12"/>
  <c r="B283" i="12"/>
  <c r="C283" i="12"/>
  <c r="D283" i="12"/>
  <c r="A284" i="12"/>
  <c r="B284" i="12"/>
  <c r="C284" i="12"/>
  <c r="D284" i="12"/>
  <c r="A285" i="12"/>
  <c r="B285" i="12"/>
  <c r="C285" i="12"/>
  <c r="A286" i="12"/>
  <c r="B286" i="12"/>
  <c r="C286" i="12"/>
  <c r="D286" i="12"/>
  <c r="A287" i="12"/>
  <c r="B287" i="12"/>
  <c r="C287" i="12"/>
  <c r="D287" i="12"/>
  <c r="A288" i="12"/>
  <c r="B288" i="12"/>
  <c r="C288" i="12"/>
  <c r="D288" i="12"/>
  <c r="A289" i="12"/>
  <c r="B289" i="12"/>
  <c r="C289" i="12"/>
  <c r="D289" i="12"/>
  <c r="A290" i="12"/>
  <c r="B290" i="12"/>
  <c r="C290" i="12"/>
  <c r="D290" i="12"/>
  <c r="A291" i="12"/>
  <c r="B291" i="12"/>
  <c r="C291" i="12"/>
  <c r="D291" i="12"/>
  <c r="A292" i="12"/>
  <c r="B292" i="12"/>
  <c r="C292" i="12"/>
  <c r="D292" i="12"/>
  <c r="A293" i="12"/>
  <c r="B293" i="12"/>
  <c r="C293" i="12"/>
  <c r="D293" i="12"/>
  <c r="A294" i="12"/>
  <c r="B294" i="12"/>
  <c r="C294" i="12"/>
  <c r="D294" i="12"/>
  <c r="A295" i="12"/>
  <c r="B295" i="12"/>
  <c r="C295" i="12"/>
  <c r="D295" i="12"/>
  <c r="A296" i="12"/>
  <c r="B296" i="12"/>
  <c r="C296" i="12"/>
  <c r="D296" i="12"/>
  <c r="A297" i="12"/>
  <c r="B297" i="12"/>
  <c r="C297" i="12"/>
  <c r="D297" i="12"/>
  <c r="A298" i="12"/>
  <c r="B298" i="12"/>
  <c r="C298" i="12"/>
  <c r="D298" i="12"/>
  <c r="A299" i="12"/>
  <c r="B299" i="12"/>
  <c r="C299" i="12"/>
  <c r="D299" i="12"/>
  <c r="A300" i="12"/>
  <c r="B300" i="12"/>
  <c r="C300" i="12"/>
  <c r="D300" i="12"/>
  <c r="A301" i="12"/>
  <c r="B301" i="12"/>
  <c r="C301" i="12"/>
  <c r="D301" i="12"/>
  <c r="A302" i="12"/>
  <c r="B302" i="12"/>
  <c r="C302" i="12"/>
  <c r="D302" i="12"/>
  <c r="A303" i="12"/>
  <c r="B303" i="12"/>
  <c r="C303" i="12"/>
  <c r="D303" i="12"/>
  <c r="A304" i="12"/>
  <c r="B304" i="12"/>
  <c r="C304" i="12"/>
  <c r="D304" i="12"/>
  <c r="A305" i="12"/>
  <c r="B305" i="12"/>
  <c r="C305" i="12"/>
  <c r="D305" i="12"/>
  <c r="A306" i="12"/>
  <c r="B306" i="12"/>
  <c r="C306" i="12"/>
  <c r="D306" i="12"/>
  <c r="A307" i="12"/>
  <c r="B307" i="12"/>
  <c r="C307" i="12"/>
  <c r="D307" i="12"/>
  <c r="A308" i="12"/>
  <c r="B308" i="12"/>
  <c r="C308" i="12"/>
  <c r="D308" i="12"/>
  <c r="A309" i="12"/>
  <c r="B309" i="12"/>
  <c r="C309" i="12"/>
  <c r="D309" i="12"/>
  <c r="A310" i="12"/>
  <c r="B310" i="12"/>
  <c r="C310" i="12"/>
  <c r="D310" i="12"/>
  <c r="A311" i="12"/>
  <c r="B311" i="12"/>
  <c r="C311" i="12"/>
  <c r="D311" i="12"/>
  <c r="A312" i="12"/>
  <c r="B312" i="12"/>
  <c r="C312" i="12"/>
  <c r="D312" i="12"/>
  <c r="A313" i="12"/>
  <c r="B313" i="12"/>
  <c r="C313" i="12"/>
  <c r="D313" i="12"/>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5" i="11"/>
  <c r="A6" i="11"/>
  <c r="B6" i="11"/>
  <c r="C6" i="11"/>
  <c r="A7" i="11"/>
  <c r="B7" i="11"/>
  <c r="C7" i="11"/>
  <c r="A8" i="11"/>
  <c r="B8" i="11"/>
  <c r="C8" i="11"/>
  <c r="A9" i="11"/>
  <c r="B9" i="11"/>
  <c r="C9" i="11"/>
  <c r="A10" i="11"/>
  <c r="B10" i="11"/>
  <c r="C10" i="11"/>
  <c r="A11" i="11"/>
  <c r="B11" i="11"/>
  <c r="C11" i="11"/>
  <c r="A12" i="11"/>
  <c r="B12" i="11"/>
  <c r="C12" i="11"/>
  <c r="A13" i="11"/>
  <c r="B13" i="11"/>
  <c r="C13" i="11"/>
  <c r="A14" i="11"/>
  <c r="B14" i="11"/>
  <c r="C14" i="11"/>
  <c r="A15" i="11"/>
  <c r="B15" i="11"/>
  <c r="C15" i="11"/>
  <c r="A16" i="11"/>
  <c r="B16" i="11"/>
  <c r="C16" i="11"/>
  <c r="A17" i="11"/>
  <c r="B17" i="11"/>
  <c r="C17" i="11"/>
  <c r="A18" i="11"/>
  <c r="B18" i="11"/>
  <c r="C18" i="11"/>
  <c r="A19" i="11"/>
  <c r="B19" i="11"/>
  <c r="C19" i="11"/>
  <c r="A20" i="11"/>
  <c r="B20" i="11"/>
  <c r="C20" i="11"/>
  <c r="A21" i="11"/>
  <c r="B21" i="11"/>
  <c r="C21" i="11"/>
  <c r="A22" i="11"/>
  <c r="B22" i="11"/>
  <c r="C22" i="11"/>
  <c r="A23" i="11"/>
  <c r="B23" i="11"/>
  <c r="C23" i="11"/>
  <c r="A24" i="11"/>
  <c r="B24" i="11"/>
  <c r="C24" i="11"/>
  <c r="A25" i="11"/>
  <c r="B25" i="11"/>
  <c r="C25" i="11"/>
  <c r="A26" i="11"/>
  <c r="B26" i="11"/>
  <c r="C26" i="11"/>
  <c r="A27" i="11"/>
  <c r="B27" i="11"/>
  <c r="C27" i="11"/>
  <c r="A28" i="11"/>
  <c r="B28" i="11"/>
  <c r="C28" i="11"/>
  <c r="A29" i="11"/>
  <c r="B29" i="11"/>
  <c r="C29" i="11"/>
  <c r="A30" i="11"/>
  <c r="B30" i="11"/>
  <c r="C30" i="11"/>
  <c r="A31" i="11"/>
  <c r="B31" i="11"/>
  <c r="C31" i="11"/>
  <c r="A32" i="11"/>
  <c r="B32" i="11"/>
  <c r="C32" i="11"/>
  <c r="A33" i="11"/>
  <c r="B33" i="11"/>
  <c r="C33" i="11"/>
  <c r="A34" i="11"/>
  <c r="B34" i="11"/>
  <c r="C34" i="11"/>
  <c r="A35" i="11"/>
  <c r="B35" i="11"/>
  <c r="C35" i="11"/>
  <c r="A36" i="11"/>
  <c r="B36" i="11"/>
  <c r="C36" i="11"/>
  <c r="A37" i="11"/>
  <c r="B37" i="11"/>
  <c r="C37" i="11"/>
  <c r="A38" i="11"/>
  <c r="B38" i="11"/>
  <c r="C38" i="11"/>
  <c r="A39" i="11"/>
  <c r="B39" i="11"/>
  <c r="C39" i="11"/>
  <c r="A40" i="11"/>
  <c r="B40" i="11"/>
  <c r="C40" i="11"/>
  <c r="A41" i="11"/>
  <c r="B41" i="11"/>
  <c r="C41" i="11"/>
  <c r="A42" i="11"/>
  <c r="B42" i="11"/>
  <c r="C42" i="11"/>
  <c r="A43" i="11"/>
  <c r="B43" i="11"/>
  <c r="C43" i="11"/>
  <c r="A44" i="11"/>
  <c r="B44" i="11"/>
  <c r="C44" i="11"/>
  <c r="A45" i="11"/>
  <c r="B45" i="11"/>
  <c r="C45" i="11"/>
  <c r="A46" i="11"/>
  <c r="B46" i="11"/>
  <c r="C46" i="11"/>
  <c r="A47" i="11"/>
  <c r="B47" i="11"/>
  <c r="C47" i="11"/>
  <c r="A48" i="11"/>
  <c r="B48" i="11"/>
  <c r="C48" i="11"/>
  <c r="A49" i="11"/>
  <c r="B49" i="11"/>
  <c r="C49" i="11"/>
  <c r="A50" i="11"/>
  <c r="B50" i="11"/>
  <c r="C50" i="11"/>
  <c r="A51" i="11"/>
  <c r="B51" i="11"/>
  <c r="C51" i="11"/>
  <c r="A52" i="11"/>
  <c r="B52" i="11"/>
  <c r="C52" i="11"/>
  <c r="A53" i="11"/>
  <c r="B53" i="11"/>
  <c r="C53" i="11"/>
  <c r="A54" i="11"/>
  <c r="B54" i="11"/>
  <c r="C54" i="11"/>
  <c r="A55" i="11"/>
  <c r="B55" i="11"/>
  <c r="C55" i="11"/>
  <c r="A56" i="11"/>
  <c r="B56" i="11"/>
  <c r="C56" i="11"/>
  <c r="A57" i="11"/>
  <c r="B57" i="11"/>
  <c r="C57" i="11"/>
  <c r="A58" i="11"/>
  <c r="B58" i="11"/>
  <c r="C58" i="11"/>
  <c r="A59" i="11"/>
  <c r="B59" i="11"/>
  <c r="C59" i="11"/>
  <c r="A60" i="11"/>
  <c r="B60" i="11"/>
  <c r="C60" i="11"/>
  <c r="A61" i="11"/>
  <c r="B61" i="11"/>
  <c r="C61" i="11"/>
  <c r="A62" i="11"/>
  <c r="B62" i="11"/>
  <c r="C62" i="11"/>
  <c r="A63" i="11"/>
  <c r="B63" i="11"/>
  <c r="C63" i="11"/>
  <c r="A64" i="11"/>
  <c r="B64" i="11"/>
  <c r="C64" i="11"/>
  <c r="A65" i="11"/>
  <c r="B65" i="11"/>
  <c r="C65" i="11"/>
  <c r="A66" i="11"/>
  <c r="B66" i="11"/>
  <c r="C66" i="11"/>
  <c r="A67" i="11"/>
  <c r="B67" i="11"/>
  <c r="C67" i="11"/>
  <c r="A68" i="11"/>
  <c r="B68" i="11"/>
  <c r="C68" i="11"/>
  <c r="A69" i="11"/>
  <c r="B69" i="11"/>
  <c r="C69" i="11"/>
  <c r="A70" i="11"/>
  <c r="B70" i="11"/>
  <c r="C70" i="11"/>
  <c r="A71" i="11"/>
  <c r="B71" i="11"/>
  <c r="C71" i="11"/>
  <c r="A72" i="11"/>
  <c r="B72" i="11"/>
  <c r="C72" i="11"/>
  <c r="A73" i="11"/>
  <c r="B73" i="11"/>
  <c r="C73" i="11"/>
  <c r="A74" i="11"/>
  <c r="B74" i="11"/>
  <c r="C74" i="11"/>
  <c r="A75" i="11"/>
  <c r="B75" i="11"/>
  <c r="C75" i="11"/>
  <c r="A76" i="11"/>
  <c r="B76" i="11"/>
  <c r="C76" i="11"/>
  <c r="A77" i="11"/>
  <c r="B77" i="11"/>
  <c r="C77" i="11"/>
  <c r="A78" i="11"/>
  <c r="B78" i="11"/>
  <c r="C78" i="11"/>
  <c r="A79" i="11"/>
  <c r="B79" i="11"/>
  <c r="C79" i="11"/>
  <c r="A80" i="11"/>
  <c r="B80" i="11"/>
  <c r="C80" i="11"/>
  <c r="A81" i="11"/>
  <c r="B81" i="11"/>
  <c r="C81" i="11"/>
  <c r="A82" i="11"/>
  <c r="B82" i="11"/>
  <c r="C82" i="11"/>
  <c r="A83" i="11"/>
  <c r="B83" i="11"/>
  <c r="C83" i="11"/>
  <c r="A84" i="11"/>
  <c r="B84" i="11"/>
  <c r="C84" i="11"/>
  <c r="A85" i="11"/>
  <c r="B85" i="11"/>
  <c r="C85" i="11"/>
  <c r="A86" i="11"/>
  <c r="B86" i="11"/>
  <c r="C86" i="11"/>
  <c r="A87" i="11"/>
  <c r="B87" i="11"/>
  <c r="C87" i="11"/>
  <c r="A88" i="11"/>
  <c r="B88" i="11"/>
  <c r="C88" i="11"/>
  <c r="A89" i="11"/>
  <c r="B89" i="11"/>
  <c r="C89" i="11"/>
  <c r="A90" i="11"/>
  <c r="B90" i="11"/>
  <c r="C90" i="11"/>
  <c r="A91" i="11"/>
  <c r="B91" i="11"/>
  <c r="C91" i="11"/>
  <c r="A92" i="11"/>
  <c r="B92" i="11"/>
  <c r="C92" i="11"/>
  <c r="A93" i="11"/>
  <c r="B93" i="11"/>
  <c r="C93" i="11"/>
  <c r="A94" i="11"/>
  <c r="B94" i="11"/>
  <c r="C94" i="11"/>
  <c r="A95" i="11"/>
  <c r="B95" i="11"/>
  <c r="C95" i="11"/>
  <c r="A96" i="11"/>
  <c r="B96" i="11"/>
  <c r="C96" i="11"/>
  <c r="A97" i="11"/>
  <c r="B97" i="11"/>
  <c r="C97" i="11"/>
  <c r="A98" i="11"/>
  <c r="B98" i="11"/>
  <c r="C98" i="11"/>
  <c r="A99" i="11"/>
  <c r="B99" i="11"/>
  <c r="C99" i="11"/>
  <c r="A100" i="11"/>
  <c r="B100" i="11"/>
  <c r="C100" i="11"/>
  <c r="A101" i="11"/>
  <c r="B101" i="11"/>
  <c r="C101" i="11"/>
  <c r="A102" i="11"/>
  <c r="B102" i="11"/>
  <c r="C102" i="11"/>
  <c r="A103" i="11"/>
  <c r="B103" i="11"/>
  <c r="C103" i="11"/>
  <c r="A104" i="11"/>
  <c r="B104" i="11"/>
  <c r="C104" i="11"/>
  <c r="A105" i="11"/>
  <c r="B105" i="11"/>
  <c r="C105" i="11"/>
  <c r="A106" i="11"/>
  <c r="B106" i="11"/>
  <c r="C106" i="11"/>
  <c r="A107" i="11"/>
  <c r="B107" i="11"/>
  <c r="C107" i="11"/>
  <c r="A108" i="11"/>
  <c r="B108" i="11"/>
  <c r="C108" i="11"/>
  <c r="A109" i="11"/>
  <c r="B109" i="11"/>
  <c r="C109" i="11"/>
  <c r="A110" i="11"/>
  <c r="B110" i="11"/>
  <c r="C110" i="11"/>
  <c r="A111" i="11"/>
  <c r="B111" i="11"/>
  <c r="C111" i="11"/>
  <c r="A112" i="11"/>
  <c r="B112" i="11"/>
  <c r="C112" i="11"/>
  <c r="A113" i="11"/>
  <c r="B113" i="11"/>
  <c r="C113" i="11"/>
  <c r="A114" i="11"/>
  <c r="B114" i="11"/>
  <c r="C114" i="11"/>
  <c r="A115" i="11"/>
  <c r="B115" i="11"/>
  <c r="C115" i="11"/>
  <c r="A116" i="11"/>
  <c r="B116" i="11"/>
  <c r="C116" i="11"/>
  <c r="A117" i="11"/>
  <c r="B117" i="11"/>
  <c r="C117" i="11"/>
  <c r="A118" i="11"/>
  <c r="B118" i="11"/>
  <c r="C118" i="11"/>
  <c r="A119" i="11"/>
  <c r="B119" i="11"/>
  <c r="C119" i="11"/>
  <c r="A120" i="11"/>
  <c r="B120" i="11"/>
  <c r="C120" i="11"/>
  <c r="A121" i="11"/>
  <c r="B121" i="11"/>
  <c r="C121" i="11"/>
  <c r="A122" i="11"/>
  <c r="B122" i="11"/>
  <c r="C122" i="11"/>
  <c r="A123" i="11"/>
  <c r="B123" i="11"/>
  <c r="C123" i="11"/>
  <c r="A124" i="11"/>
  <c r="B124" i="11"/>
  <c r="C124" i="11"/>
  <c r="A125" i="11"/>
  <c r="B125" i="11"/>
  <c r="C125" i="11"/>
  <c r="A126" i="11"/>
  <c r="B126" i="11"/>
  <c r="C126" i="11"/>
  <c r="A127" i="11"/>
  <c r="B127" i="11"/>
  <c r="C127" i="11"/>
  <c r="A128" i="11"/>
  <c r="B128" i="11"/>
  <c r="C128" i="11"/>
  <c r="A129" i="11"/>
  <c r="B129" i="11"/>
  <c r="C129" i="11"/>
  <c r="A130" i="11"/>
  <c r="B130" i="11"/>
  <c r="C130" i="11"/>
  <c r="A131" i="11"/>
  <c r="B131" i="11"/>
  <c r="C131" i="11"/>
  <c r="A132" i="11"/>
  <c r="B132" i="11"/>
  <c r="C132" i="11"/>
  <c r="A133" i="11"/>
  <c r="B133" i="11"/>
  <c r="C133" i="11"/>
  <c r="A134" i="11"/>
  <c r="B134" i="11"/>
  <c r="C134" i="11"/>
  <c r="A135" i="11"/>
  <c r="B135" i="11"/>
  <c r="C135" i="11"/>
  <c r="A136" i="11"/>
  <c r="B136" i="11"/>
  <c r="C136" i="11"/>
  <c r="A137" i="11"/>
  <c r="B137" i="11"/>
  <c r="C137" i="11"/>
  <c r="A138" i="11"/>
  <c r="B138" i="11"/>
  <c r="C138" i="11"/>
  <c r="A139" i="11"/>
  <c r="B139" i="11"/>
  <c r="C139" i="11"/>
  <c r="A140" i="11"/>
  <c r="B140" i="11"/>
  <c r="C140" i="11"/>
  <c r="A141" i="11"/>
  <c r="B141" i="11"/>
  <c r="C141" i="11"/>
  <c r="A142" i="11"/>
  <c r="B142" i="11"/>
  <c r="C142" i="11"/>
  <c r="A143" i="11"/>
  <c r="B143" i="11"/>
  <c r="C143" i="11"/>
  <c r="A144" i="11"/>
  <c r="B144" i="11"/>
  <c r="C144" i="11"/>
  <c r="A145" i="11"/>
  <c r="B145" i="11"/>
  <c r="C145" i="11"/>
  <c r="A146" i="11"/>
  <c r="B146" i="11"/>
  <c r="C146" i="11"/>
  <c r="A147" i="11"/>
  <c r="B147" i="11"/>
  <c r="C147" i="11"/>
  <c r="A148" i="11"/>
  <c r="B148" i="11"/>
  <c r="C148" i="11"/>
  <c r="A149" i="11"/>
  <c r="B149" i="11"/>
  <c r="C149" i="11"/>
  <c r="A150" i="11"/>
  <c r="B150" i="11"/>
  <c r="C150" i="11"/>
  <c r="A151" i="11"/>
  <c r="B151" i="11"/>
  <c r="C151" i="11"/>
  <c r="A152" i="11"/>
  <c r="B152" i="11"/>
  <c r="C152" i="11"/>
  <c r="A153" i="11"/>
  <c r="B153" i="11"/>
  <c r="C153" i="11"/>
  <c r="A154" i="11"/>
  <c r="B154" i="11"/>
  <c r="C154" i="11"/>
  <c r="A155" i="11"/>
  <c r="B155" i="11"/>
  <c r="C155" i="11"/>
  <c r="A156" i="11"/>
  <c r="B156" i="11"/>
  <c r="C156" i="11"/>
  <c r="A157" i="11"/>
  <c r="B157" i="11"/>
  <c r="C157" i="11"/>
  <c r="A158" i="11"/>
  <c r="B158" i="11"/>
  <c r="C158" i="11"/>
  <c r="A159" i="11"/>
  <c r="B159" i="11"/>
  <c r="C159" i="11"/>
  <c r="A160" i="11"/>
  <c r="B160" i="11"/>
  <c r="C160" i="11"/>
  <c r="A161" i="11"/>
  <c r="B161" i="11"/>
  <c r="C161" i="11"/>
  <c r="A162" i="11"/>
  <c r="B162" i="11"/>
  <c r="C162" i="11"/>
  <c r="A163" i="11"/>
  <c r="B163" i="11"/>
  <c r="C163" i="11"/>
  <c r="A164" i="11"/>
  <c r="B164" i="11"/>
  <c r="C164" i="11"/>
  <c r="A165" i="11"/>
  <c r="B165" i="11"/>
  <c r="C165" i="11"/>
  <c r="A166" i="11"/>
  <c r="B166" i="11"/>
  <c r="C166" i="11"/>
  <c r="A167" i="11"/>
  <c r="B167" i="11"/>
  <c r="C167" i="11"/>
  <c r="A168" i="11"/>
  <c r="B168" i="11"/>
  <c r="C168" i="11"/>
  <c r="A169" i="11"/>
  <c r="B169" i="11"/>
  <c r="C169" i="11"/>
  <c r="A170" i="11"/>
  <c r="B170" i="11"/>
  <c r="C170" i="11"/>
  <c r="A171" i="11"/>
  <c r="B171" i="11"/>
  <c r="C171" i="11"/>
  <c r="A172" i="11"/>
  <c r="B172" i="11"/>
  <c r="C172" i="11"/>
  <c r="A173" i="11"/>
  <c r="B173" i="11"/>
  <c r="C173" i="11"/>
  <c r="A174" i="11"/>
  <c r="B174" i="11"/>
  <c r="C174" i="11"/>
  <c r="A175" i="11"/>
  <c r="B175" i="11"/>
  <c r="C175" i="11"/>
  <c r="A176" i="11"/>
  <c r="B176" i="11"/>
  <c r="C176" i="11"/>
  <c r="A177" i="11"/>
  <c r="B177" i="11"/>
  <c r="C177" i="11"/>
  <c r="A178" i="11"/>
  <c r="B178" i="11"/>
  <c r="C178" i="11"/>
  <c r="A179" i="11"/>
  <c r="B179" i="11"/>
  <c r="C179" i="11"/>
  <c r="A180" i="11"/>
  <c r="B180" i="11"/>
  <c r="C180" i="11"/>
  <c r="A181" i="11"/>
  <c r="B181" i="11"/>
  <c r="C181" i="11"/>
  <c r="A182" i="11"/>
  <c r="B182" i="11"/>
  <c r="C182" i="11"/>
  <c r="A183" i="11"/>
  <c r="B183" i="11"/>
  <c r="C183" i="11"/>
  <c r="A184" i="11"/>
  <c r="B184" i="11"/>
  <c r="C184" i="11"/>
  <c r="A185" i="11"/>
  <c r="B185" i="11"/>
  <c r="C185" i="11"/>
  <c r="A186" i="11"/>
  <c r="B186" i="11"/>
  <c r="C186" i="11"/>
  <c r="A187" i="11"/>
  <c r="B187" i="11"/>
  <c r="C187" i="11"/>
  <c r="A188" i="11"/>
  <c r="B188" i="11"/>
  <c r="C188" i="11"/>
  <c r="A189" i="11"/>
  <c r="B189" i="11"/>
  <c r="C189" i="11"/>
  <c r="A190" i="11"/>
  <c r="B190" i="11"/>
  <c r="C190" i="11"/>
  <c r="A191" i="11"/>
  <c r="B191" i="11"/>
  <c r="C191" i="11"/>
  <c r="A192" i="11"/>
  <c r="B192" i="11"/>
  <c r="C192" i="11"/>
  <c r="A193" i="11"/>
  <c r="B193" i="11"/>
  <c r="C193" i="11"/>
  <c r="A194" i="11"/>
  <c r="B194" i="11"/>
  <c r="C194" i="11"/>
  <c r="A195" i="11"/>
  <c r="B195" i="11"/>
  <c r="C195" i="11"/>
  <c r="A196" i="11"/>
  <c r="B196" i="11"/>
  <c r="C196" i="11"/>
  <c r="A197" i="11"/>
  <c r="B197" i="11"/>
  <c r="C197" i="11"/>
  <c r="A198" i="11"/>
  <c r="B198" i="11"/>
  <c r="C198" i="11"/>
  <c r="A199" i="11"/>
  <c r="B199" i="11"/>
  <c r="C199" i="11"/>
  <c r="A200" i="11"/>
  <c r="B200" i="11"/>
  <c r="C200" i="11"/>
  <c r="A201" i="11"/>
  <c r="B201" i="11"/>
  <c r="C201" i="11"/>
  <c r="A202" i="11"/>
  <c r="B202" i="11"/>
  <c r="C202" i="11"/>
  <c r="A203" i="11"/>
  <c r="B203" i="11"/>
  <c r="C203" i="11"/>
  <c r="A204" i="11"/>
  <c r="B204" i="11"/>
  <c r="C204" i="11"/>
  <c r="A205" i="11"/>
  <c r="B205" i="11"/>
  <c r="C205" i="11"/>
  <c r="A206" i="11"/>
  <c r="B206" i="11"/>
  <c r="C206" i="11"/>
  <c r="A207" i="11"/>
  <c r="B207" i="11"/>
  <c r="C207" i="11"/>
  <c r="A208" i="11"/>
  <c r="B208" i="11"/>
  <c r="C208" i="11"/>
  <c r="A209" i="11"/>
  <c r="B209" i="11"/>
  <c r="C209" i="11"/>
  <c r="A210" i="11"/>
  <c r="B210" i="11"/>
  <c r="C210" i="11"/>
  <c r="A211" i="11"/>
  <c r="B211" i="11"/>
  <c r="C211" i="11"/>
  <c r="A212" i="11"/>
  <c r="B212" i="11"/>
  <c r="C212" i="11"/>
  <c r="A213" i="11"/>
  <c r="B213" i="11"/>
  <c r="C213" i="11"/>
  <c r="A214" i="11"/>
  <c r="B214" i="11"/>
  <c r="C214" i="11"/>
  <c r="A215" i="11"/>
  <c r="B215" i="11"/>
  <c r="C215" i="11"/>
  <c r="A216" i="11"/>
  <c r="B216" i="11"/>
  <c r="C216" i="11"/>
  <c r="A217" i="11"/>
  <c r="B217" i="11"/>
  <c r="C217" i="11"/>
  <c r="A218" i="11"/>
  <c r="B218" i="11"/>
  <c r="C218" i="11"/>
  <c r="A219" i="11"/>
  <c r="B219" i="11"/>
  <c r="C219" i="11"/>
  <c r="A220" i="11"/>
  <c r="B220" i="11"/>
  <c r="C220" i="11"/>
  <c r="A221" i="11"/>
  <c r="B221" i="11"/>
  <c r="C221" i="11"/>
  <c r="A222" i="11"/>
  <c r="B222" i="11"/>
  <c r="C222" i="11"/>
  <c r="A223" i="11"/>
  <c r="B223" i="11"/>
  <c r="C223" i="11"/>
  <c r="A224" i="11"/>
  <c r="B224" i="11"/>
  <c r="C224" i="11"/>
  <c r="A225" i="11"/>
  <c r="B225" i="11"/>
  <c r="C225" i="11"/>
  <c r="A226" i="11"/>
  <c r="B226" i="11"/>
  <c r="C226" i="11"/>
  <c r="A227" i="11"/>
  <c r="B227" i="11"/>
  <c r="C227" i="11"/>
  <c r="A228" i="11"/>
  <c r="B228" i="11"/>
  <c r="C228" i="11"/>
  <c r="A229" i="11"/>
  <c r="B229" i="11"/>
  <c r="C229" i="11"/>
  <c r="A230" i="11"/>
  <c r="B230" i="11"/>
  <c r="C230" i="11"/>
  <c r="A231" i="11"/>
  <c r="B231" i="11"/>
  <c r="C231" i="11"/>
  <c r="A232" i="11"/>
  <c r="B232" i="11"/>
  <c r="C232" i="11"/>
  <c r="A233" i="11"/>
  <c r="B233" i="11"/>
  <c r="C233" i="11"/>
  <c r="A234" i="11"/>
  <c r="B234" i="11"/>
  <c r="C234" i="11"/>
  <c r="A235" i="11"/>
  <c r="B235" i="11"/>
  <c r="C235" i="11"/>
  <c r="A236" i="11"/>
  <c r="B236" i="11"/>
  <c r="C236" i="11"/>
  <c r="A237" i="11"/>
  <c r="B237" i="11"/>
  <c r="C237" i="11"/>
  <c r="A238" i="11"/>
  <c r="B238" i="11"/>
  <c r="C238" i="11"/>
  <c r="A239" i="11"/>
  <c r="B239" i="11"/>
  <c r="C239" i="11"/>
  <c r="A240" i="11"/>
  <c r="B240" i="11"/>
  <c r="C240" i="11"/>
  <c r="A241" i="11"/>
  <c r="B241" i="11"/>
  <c r="C241" i="11"/>
  <c r="A242" i="11"/>
  <c r="B242" i="11"/>
  <c r="C242" i="11"/>
  <c r="A243" i="11"/>
  <c r="B243" i="11"/>
  <c r="C243" i="11"/>
  <c r="A244" i="11"/>
  <c r="B244" i="11"/>
  <c r="C244" i="11"/>
  <c r="A245" i="11"/>
  <c r="B245" i="11"/>
  <c r="C245" i="11"/>
  <c r="A246" i="11"/>
  <c r="B246" i="11"/>
  <c r="C246" i="11"/>
  <c r="A247" i="11"/>
  <c r="B247" i="11"/>
  <c r="C247" i="11"/>
  <c r="A248" i="11"/>
  <c r="B248" i="11"/>
  <c r="C248" i="11"/>
  <c r="A249" i="11"/>
  <c r="B249" i="11"/>
  <c r="C249" i="11"/>
  <c r="A250" i="11"/>
  <c r="B250" i="11"/>
  <c r="C250" i="11"/>
  <c r="A251" i="11"/>
  <c r="B251" i="11"/>
  <c r="C251" i="11"/>
  <c r="A252" i="11"/>
  <c r="B252" i="11"/>
  <c r="C252" i="11"/>
  <c r="A253" i="11"/>
  <c r="B253" i="11"/>
  <c r="C253" i="11"/>
  <c r="A254" i="11"/>
  <c r="B254" i="11"/>
  <c r="C254" i="11"/>
  <c r="A255" i="11"/>
  <c r="B255" i="11"/>
  <c r="C255" i="11"/>
  <c r="A256" i="11"/>
  <c r="B256" i="11"/>
  <c r="C256" i="11"/>
  <c r="A257" i="11"/>
  <c r="B257" i="11"/>
  <c r="C257" i="11"/>
  <c r="A258" i="11"/>
  <c r="B258" i="11"/>
  <c r="C258" i="11"/>
  <c r="A259" i="11"/>
  <c r="B259" i="11"/>
  <c r="C259" i="11"/>
  <c r="A260" i="11"/>
  <c r="B260" i="11"/>
  <c r="C260" i="11"/>
  <c r="A261" i="11"/>
  <c r="B261" i="11"/>
  <c r="C261" i="11"/>
  <c r="A262" i="11"/>
  <c r="B262" i="11"/>
  <c r="C262" i="11"/>
  <c r="A263" i="11"/>
  <c r="B263" i="11"/>
  <c r="C263" i="11"/>
  <c r="A264" i="11"/>
  <c r="B264" i="11"/>
  <c r="C264" i="11"/>
  <c r="A265" i="11"/>
  <c r="B265" i="11"/>
  <c r="C265" i="11"/>
  <c r="A266" i="11"/>
  <c r="B266" i="11"/>
  <c r="C266" i="11"/>
  <c r="A267" i="11"/>
  <c r="B267" i="11"/>
  <c r="C267" i="11"/>
  <c r="A268" i="11"/>
  <c r="B268" i="11"/>
  <c r="C268" i="11"/>
  <c r="A269" i="11"/>
  <c r="B269" i="11"/>
  <c r="C269" i="11"/>
  <c r="A270" i="11"/>
  <c r="B270" i="11"/>
  <c r="C270" i="11"/>
  <c r="A271" i="11"/>
  <c r="B271" i="11"/>
  <c r="C271" i="11"/>
  <c r="A272" i="11"/>
  <c r="B272" i="11"/>
  <c r="C272" i="11"/>
  <c r="A273" i="11"/>
  <c r="B273" i="11"/>
  <c r="C273" i="11"/>
  <c r="A274" i="11"/>
  <c r="B274" i="11"/>
  <c r="C274" i="11"/>
  <c r="A275" i="11"/>
  <c r="B275" i="11"/>
  <c r="C275" i="11"/>
  <c r="A276" i="11"/>
  <c r="B276" i="11"/>
  <c r="C276" i="11"/>
  <c r="A277" i="11"/>
  <c r="B277" i="11"/>
  <c r="C277" i="11"/>
  <c r="A278" i="11"/>
  <c r="B278" i="11"/>
  <c r="C278" i="11"/>
  <c r="A279" i="11"/>
  <c r="B279" i="11"/>
  <c r="C279" i="11"/>
  <c r="A280" i="11"/>
  <c r="B280" i="11"/>
  <c r="C280" i="11"/>
  <c r="A281" i="11"/>
  <c r="B281" i="11"/>
  <c r="C281" i="11"/>
  <c r="A282" i="11"/>
  <c r="B282" i="11"/>
  <c r="C282" i="11"/>
  <c r="A283" i="11"/>
  <c r="B283" i="11"/>
  <c r="C283" i="11"/>
  <c r="A284" i="11"/>
  <c r="B284" i="11"/>
  <c r="C284" i="11"/>
  <c r="A285" i="11"/>
  <c r="B285" i="11"/>
  <c r="C285" i="11"/>
  <c r="A286" i="11"/>
  <c r="B286" i="11"/>
  <c r="C286" i="11"/>
  <c r="A287" i="11"/>
  <c r="B287" i="11"/>
  <c r="C287" i="11"/>
  <c r="A288" i="11"/>
  <c r="B288" i="11"/>
  <c r="C288" i="11"/>
  <c r="A289" i="11"/>
  <c r="B289" i="11"/>
  <c r="C289" i="11"/>
  <c r="A290" i="11"/>
  <c r="B290" i="11"/>
  <c r="C290" i="11"/>
  <c r="A291" i="11"/>
  <c r="B291" i="11"/>
  <c r="C291" i="11"/>
  <c r="A292" i="11"/>
  <c r="B292" i="11"/>
  <c r="C292" i="11"/>
  <c r="A293" i="11"/>
  <c r="B293" i="11"/>
  <c r="C293" i="11"/>
  <c r="A294" i="11"/>
  <c r="B294" i="11"/>
  <c r="C294" i="11"/>
  <c r="A295" i="11"/>
  <c r="B295" i="11"/>
  <c r="C295" i="11"/>
  <c r="A296" i="11"/>
  <c r="B296" i="11"/>
  <c r="C296" i="11"/>
  <c r="A297" i="11"/>
  <c r="B297" i="11"/>
  <c r="C297" i="11"/>
  <c r="A298" i="11"/>
  <c r="B298" i="11"/>
  <c r="C298" i="11"/>
  <c r="A299" i="11"/>
  <c r="B299" i="11"/>
  <c r="C299" i="11"/>
  <c r="A300" i="11"/>
  <c r="B300" i="11"/>
  <c r="C300" i="11"/>
  <c r="A301" i="11"/>
  <c r="B301" i="11"/>
  <c r="C301" i="11"/>
  <c r="A302" i="11"/>
  <c r="B302" i="11"/>
  <c r="C302" i="11"/>
  <c r="A303" i="11"/>
  <c r="B303" i="11"/>
  <c r="C303" i="11"/>
  <c r="A304" i="11"/>
  <c r="B304" i="11"/>
  <c r="C304" i="11"/>
  <c r="A305" i="11"/>
  <c r="B305" i="11"/>
  <c r="C305" i="11"/>
  <c r="A306" i="11"/>
  <c r="B306" i="11"/>
  <c r="C306" i="11"/>
  <c r="A307" i="11"/>
  <c r="B307" i="11"/>
  <c r="C307" i="11"/>
  <c r="A308" i="11"/>
  <c r="B308" i="11"/>
  <c r="C308" i="11"/>
  <c r="A309" i="11"/>
  <c r="B309" i="11"/>
  <c r="C309" i="11"/>
  <c r="A310" i="11"/>
  <c r="B310" i="11"/>
  <c r="C310" i="11"/>
  <c r="A311" i="11"/>
  <c r="B311" i="11"/>
  <c r="C311" i="11"/>
  <c r="A312" i="11"/>
  <c r="B312" i="11"/>
  <c r="C312" i="11"/>
  <c r="A313" i="11"/>
  <c r="B313" i="11"/>
  <c r="C313" i="11"/>
  <c r="A17" i="34"/>
  <c r="B17" i="34"/>
  <c r="C17" i="34"/>
  <c r="D17" i="34"/>
  <c r="F17" i="34"/>
  <c r="H17" i="34" s="1"/>
  <c r="G17" i="34"/>
  <c r="A18" i="34"/>
  <c r="B18" i="34"/>
  <c r="C18" i="34"/>
  <c r="D18" i="34"/>
  <c r="F18" i="34"/>
  <c r="G18" i="34"/>
  <c r="H18" i="34"/>
  <c r="A19" i="34"/>
  <c r="B19" i="34"/>
  <c r="C19" i="34"/>
  <c r="D19" i="34"/>
  <c r="F19" i="34"/>
  <c r="G19" i="34"/>
  <c r="H19" i="34" s="1"/>
  <c r="A20" i="34"/>
  <c r="B20" i="34"/>
  <c r="C20" i="34"/>
  <c r="D20" i="34"/>
  <c r="F20" i="34"/>
  <c r="H20" i="34" s="1"/>
  <c r="G20" i="34"/>
  <c r="A21" i="34"/>
  <c r="B21" i="34"/>
  <c r="C21" i="34"/>
  <c r="D21" i="34"/>
  <c r="F21" i="34"/>
  <c r="H21" i="34" s="1"/>
  <c r="G21" i="34"/>
  <c r="A22" i="34"/>
  <c r="B22" i="34"/>
  <c r="C22" i="34"/>
  <c r="D22" i="34"/>
  <c r="F22" i="34"/>
  <c r="G22" i="34"/>
  <c r="H22" i="34"/>
  <c r="A23" i="34"/>
  <c r="B23" i="34"/>
  <c r="C23" i="34"/>
  <c r="D23" i="34"/>
  <c r="F23" i="34"/>
  <c r="G23" i="34"/>
  <c r="H23" i="34" s="1"/>
  <c r="A24" i="34"/>
  <c r="B24" i="34"/>
  <c r="C24" i="34"/>
  <c r="D24" i="34"/>
  <c r="F24" i="34"/>
  <c r="H24" i="34" s="1"/>
  <c r="G24" i="34"/>
  <c r="A25" i="34"/>
  <c r="B25" i="34"/>
  <c r="C25" i="34"/>
  <c r="D25" i="34"/>
  <c r="F25" i="34"/>
  <c r="H25" i="34" s="1"/>
  <c r="G25" i="34"/>
  <c r="A26" i="34"/>
  <c r="B26" i="34"/>
  <c r="C26" i="34"/>
  <c r="D26" i="34"/>
  <c r="F26" i="34"/>
  <c r="G26" i="34"/>
  <c r="H26" i="34"/>
  <c r="A27" i="34"/>
  <c r="B27" i="34"/>
  <c r="C27" i="34"/>
  <c r="D27" i="34"/>
  <c r="F27" i="34"/>
  <c r="G27" i="34"/>
  <c r="H27" i="34" s="1"/>
  <c r="A28" i="34"/>
  <c r="B28" i="34"/>
  <c r="C28" i="34"/>
  <c r="D28" i="34"/>
  <c r="F28" i="34"/>
  <c r="H28" i="34" s="1"/>
  <c r="G28" i="34"/>
  <c r="A29" i="34"/>
  <c r="B29" i="34"/>
  <c r="C29" i="34"/>
  <c r="D29" i="34"/>
  <c r="F29" i="34"/>
  <c r="H29" i="34" s="1"/>
  <c r="G29" i="34"/>
  <c r="A30" i="34"/>
  <c r="B30" i="34"/>
  <c r="C30" i="34"/>
  <c r="D30" i="34"/>
  <c r="F30" i="34"/>
  <c r="G30" i="34"/>
  <c r="H30" i="34"/>
  <c r="A31" i="34"/>
  <c r="B31" i="34"/>
  <c r="C31" i="34"/>
  <c r="D31" i="34"/>
  <c r="F31" i="34"/>
  <c r="G31" i="34"/>
  <c r="H31" i="34" s="1"/>
  <c r="A32" i="34"/>
  <c r="B32" i="34"/>
  <c r="C32" i="34"/>
  <c r="D32" i="34"/>
  <c r="F32" i="34"/>
  <c r="H32" i="34" s="1"/>
  <c r="G32" i="34"/>
  <c r="A33" i="34"/>
  <c r="B33" i="34"/>
  <c r="C33" i="34"/>
  <c r="D33" i="34"/>
  <c r="F33" i="34"/>
  <c r="H33" i="34" s="1"/>
  <c r="G33" i="34"/>
  <c r="A34" i="34"/>
  <c r="B34" i="34"/>
  <c r="C34" i="34"/>
  <c r="D34" i="34"/>
  <c r="F34" i="34"/>
  <c r="G34" i="34"/>
  <c r="H34" i="34"/>
  <c r="A35" i="34"/>
  <c r="B35" i="34"/>
  <c r="C35" i="34"/>
  <c r="D35" i="34"/>
  <c r="F35" i="34"/>
  <c r="G35" i="34"/>
  <c r="H35" i="34" s="1"/>
  <c r="A36" i="34"/>
  <c r="B36" i="34"/>
  <c r="C36" i="34"/>
  <c r="D36" i="34"/>
  <c r="F36" i="34"/>
  <c r="H36" i="34" s="1"/>
  <c r="G36" i="34"/>
  <c r="A37" i="34"/>
  <c r="B37" i="34"/>
  <c r="C37" i="34"/>
  <c r="D37" i="34"/>
  <c r="F37" i="34"/>
  <c r="H37" i="34" s="1"/>
  <c r="G37" i="34"/>
  <c r="A38" i="34"/>
  <c r="B38" i="34"/>
  <c r="C38" i="34"/>
  <c r="D38" i="34"/>
  <c r="F38" i="34"/>
  <c r="G38" i="34"/>
  <c r="H38" i="34"/>
  <c r="A39" i="34"/>
  <c r="B39" i="34"/>
  <c r="C39" i="34"/>
  <c r="D39" i="34"/>
  <c r="F39" i="34"/>
  <c r="G39" i="34"/>
  <c r="H39" i="34" s="1"/>
  <c r="A40" i="34"/>
  <c r="B40" i="34"/>
  <c r="C40" i="34"/>
  <c r="D40" i="34"/>
  <c r="F40" i="34"/>
  <c r="H40" i="34" s="1"/>
  <c r="G40" i="34"/>
  <c r="A41" i="34"/>
  <c r="B41" i="34"/>
  <c r="C41" i="34"/>
  <c r="D41" i="34"/>
  <c r="F41" i="34"/>
  <c r="H41" i="34" s="1"/>
  <c r="G41" i="34"/>
  <c r="A42" i="34"/>
  <c r="B42" i="34"/>
  <c r="C42" i="34"/>
  <c r="D42" i="34"/>
  <c r="F42" i="34"/>
  <c r="G42" i="34"/>
  <c r="H42" i="34"/>
  <c r="A43" i="34"/>
  <c r="B43" i="34"/>
  <c r="C43" i="34"/>
  <c r="D43" i="34"/>
  <c r="F43" i="34"/>
  <c r="G43" i="34"/>
  <c r="H43" i="34" s="1"/>
  <c r="A44" i="34"/>
  <c r="B44" i="34"/>
  <c r="C44" i="34"/>
  <c r="D44" i="34"/>
  <c r="F44" i="34"/>
  <c r="H44" i="34" s="1"/>
  <c r="G44" i="34"/>
  <c r="A45" i="34"/>
  <c r="B45" i="34"/>
  <c r="C45" i="34"/>
  <c r="D45" i="34"/>
  <c r="F45" i="34"/>
  <c r="H45" i="34" s="1"/>
  <c r="G45" i="34"/>
  <c r="A46" i="34"/>
  <c r="B46" i="34"/>
  <c r="C46" i="34"/>
  <c r="D46" i="34"/>
  <c r="F46" i="34"/>
  <c r="G46" i="34"/>
  <c r="H46" i="34"/>
  <c r="A47" i="34"/>
  <c r="B47" i="34"/>
  <c r="C47" i="34"/>
  <c r="D47" i="34"/>
  <c r="F47" i="34"/>
  <c r="G47" i="34"/>
  <c r="H47" i="34"/>
  <c r="A48" i="34"/>
  <c r="B48" i="34"/>
  <c r="C48" i="34"/>
  <c r="D48" i="34"/>
  <c r="F48" i="34"/>
  <c r="H48" i="34" s="1"/>
  <c r="G48" i="34"/>
  <c r="A49" i="34"/>
  <c r="B49" i="34"/>
  <c r="C49" i="34"/>
  <c r="D49" i="34"/>
  <c r="F49" i="34"/>
  <c r="H49" i="34" s="1"/>
  <c r="G49" i="34"/>
  <c r="A50" i="34"/>
  <c r="B50" i="34"/>
  <c r="C50" i="34"/>
  <c r="D50" i="34"/>
  <c r="F50" i="34"/>
  <c r="G50" i="34"/>
  <c r="H50" i="34"/>
  <c r="A51" i="34"/>
  <c r="B51" i="34"/>
  <c r="C51" i="34"/>
  <c r="D51" i="34"/>
  <c r="F51" i="34"/>
  <c r="G51" i="34"/>
  <c r="H51" i="34"/>
  <c r="A52" i="34"/>
  <c r="B52" i="34"/>
  <c r="C52" i="34"/>
  <c r="D52" i="34"/>
  <c r="F52" i="34"/>
  <c r="H52" i="34" s="1"/>
  <c r="G52" i="34"/>
  <c r="A53" i="34"/>
  <c r="B53" i="34"/>
  <c r="C53" i="34"/>
  <c r="D53" i="34"/>
  <c r="F53" i="34"/>
  <c r="H53" i="34" s="1"/>
  <c r="G53" i="34"/>
  <c r="A54" i="34"/>
  <c r="B54" i="34"/>
  <c r="C54" i="34"/>
  <c r="D54" i="34"/>
  <c r="F54" i="34"/>
  <c r="G54" i="34"/>
  <c r="H54" i="34"/>
  <c r="A55" i="34"/>
  <c r="B55" i="34"/>
  <c r="C55" i="34"/>
  <c r="D55" i="34"/>
  <c r="F55" i="34"/>
  <c r="G55" i="34"/>
  <c r="H55" i="34"/>
  <c r="A56" i="34"/>
  <c r="B56" i="34"/>
  <c r="C56" i="34"/>
  <c r="D56" i="34"/>
  <c r="F56" i="34"/>
  <c r="H56" i="34" s="1"/>
  <c r="G56" i="34"/>
  <c r="A57" i="34"/>
  <c r="B57" i="34"/>
  <c r="C57" i="34"/>
  <c r="D57" i="34"/>
  <c r="F57" i="34"/>
  <c r="H57" i="34" s="1"/>
  <c r="G57" i="34"/>
  <c r="A58" i="34"/>
  <c r="B58" i="34"/>
  <c r="C58" i="34"/>
  <c r="D58" i="34"/>
  <c r="F58" i="34"/>
  <c r="G58" i="34"/>
  <c r="H58" i="34"/>
  <c r="A59" i="34"/>
  <c r="B59" i="34"/>
  <c r="C59" i="34"/>
  <c r="D59" i="34"/>
  <c r="F59" i="34"/>
  <c r="G59" i="34"/>
  <c r="H59" i="34" s="1"/>
  <c r="A60" i="34"/>
  <c r="B60" i="34"/>
  <c r="C60" i="34"/>
  <c r="D60" i="34"/>
  <c r="F60" i="34"/>
  <c r="H60" i="34" s="1"/>
  <c r="G60" i="34"/>
  <c r="A61" i="34"/>
  <c r="B61" i="34"/>
  <c r="C61" i="34"/>
  <c r="D61" i="34"/>
  <c r="F61" i="34"/>
  <c r="H61" i="34" s="1"/>
  <c r="G61" i="34"/>
  <c r="A62" i="34"/>
  <c r="B62" i="34"/>
  <c r="C62" i="34"/>
  <c r="D62" i="34"/>
  <c r="F62" i="34"/>
  <c r="G62" i="34"/>
  <c r="H62" i="34"/>
  <c r="A63" i="34"/>
  <c r="B63" i="34"/>
  <c r="C63" i="34"/>
  <c r="D63" i="34"/>
  <c r="F63" i="34"/>
  <c r="G63" i="34"/>
  <c r="H63" i="34" s="1"/>
  <c r="A64" i="34"/>
  <c r="B64" i="34"/>
  <c r="C64" i="34"/>
  <c r="D64" i="34"/>
  <c r="F64" i="34"/>
  <c r="H64" i="34" s="1"/>
  <c r="G64" i="34"/>
  <c r="A65" i="34"/>
  <c r="B65" i="34"/>
  <c r="C65" i="34"/>
  <c r="D65" i="34"/>
  <c r="F65" i="34"/>
  <c r="H65" i="34" s="1"/>
  <c r="G65" i="34"/>
  <c r="A66" i="34"/>
  <c r="B66" i="34"/>
  <c r="C66" i="34"/>
  <c r="D66" i="34"/>
  <c r="F66" i="34"/>
  <c r="G66" i="34"/>
  <c r="H66" i="34"/>
  <c r="A67" i="34"/>
  <c r="B67" i="34"/>
  <c r="C67" i="34"/>
  <c r="D67" i="34"/>
  <c r="F67" i="34"/>
  <c r="G67" i="34"/>
  <c r="H67" i="34" s="1"/>
  <c r="A68" i="34"/>
  <c r="B68" i="34"/>
  <c r="C68" i="34"/>
  <c r="D68" i="34"/>
  <c r="F68" i="34"/>
  <c r="H68" i="34" s="1"/>
  <c r="G68" i="34"/>
  <c r="A69" i="34"/>
  <c r="B69" i="34"/>
  <c r="C69" i="34"/>
  <c r="D69" i="34"/>
  <c r="F69" i="34"/>
  <c r="H69" i="34" s="1"/>
  <c r="G69" i="34"/>
  <c r="A70" i="34"/>
  <c r="B70" i="34"/>
  <c r="C70" i="34"/>
  <c r="D70" i="34"/>
  <c r="F70" i="34"/>
  <c r="G70" i="34"/>
  <c r="H70" i="34"/>
  <c r="A71" i="34"/>
  <c r="B71" i="34"/>
  <c r="C71" i="34"/>
  <c r="D71" i="34"/>
  <c r="F71" i="34"/>
  <c r="G71" i="34"/>
  <c r="H71" i="34" s="1"/>
  <c r="A72" i="34"/>
  <c r="B72" i="34"/>
  <c r="C72" i="34"/>
  <c r="D72" i="34"/>
  <c r="F72" i="34"/>
  <c r="H72" i="34" s="1"/>
  <c r="G72" i="34"/>
  <c r="A73" i="34"/>
  <c r="B73" i="34"/>
  <c r="C73" i="34"/>
  <c r="D73" i="34"/>
  <c r="F73" i="34"/>
  <c r="H73" i="34" s="1"/>
  <c r="G73" i="34"/>
  <c r="A74" i="34"/>
  <c r="B74" i="34"/>
  <c r="C74" i="34"/>
  <c r="D74" i="34"/>
  <c r="F74" i="34"/>
  <c r="G74" i="34"/>
  <c r="H74" i="34"/>
  <c r="A75" i="34"/>
  <c r="B75" i="34"/>
  <c r="C75" i="34"/>
  <c r="D75" i="34"/>
  <c r="F75" i="34"/>
  <c r="G75" i="34"/>
  <c r="H75" i="34" s="1"/>
  <c r="A76" i="34"/>
  <c r="B76" i="34"/>
  <c r="C76" i="34"/>
  <c r="D76" i="34"/>
  <c r="F76" i="34"/>
  <c r="H76" i="34" s="1"/>
  <c r="G76" i="34"/>
  <c r="A77" i="34"/>
  <c r="B77" i="34"/>
  <c r="C77" i="34"/>
  <c r="D77" i="34"/>
  <c r="F77" i="34"/>
  <c r="H77" i="34" s="1"/>
  <c r="G77" i="34"/>
  <c r="A78" i="34"/>
  <c r="B78" i="34"/>
  <c r="C78" i="34"/>
  <c r="D78" i="34"/>
  <c r="F78" i="34"/>
  <c r="G78" i="34"/>
  <c r="H78" i="34"/>
  <c r="A79" i="34"/>
  <c r="B79" i="34"/>
  <c r="C79" i="34"/>
  <c r="D79" i="34"/>
  <c r="F79" i="34"/>
  <c r="G79" i="34"/>
  <c r="H79" i="34" s="1"/>
  <c r="A80" i="34"/>
  <c r="B80" i="34"/>
  <c r="C80" i="34"/>
  <c r="D80" i="34"/>
  <c r="F80" i="34"/>
  <c r="H80" i="34" s="1"/>
  <c r="G80" i="34"/>
  <c r="A81" i="34"/>
  <c r="B81" i="34"/>
  <c r="C81" i="34"/>
  <c r="D81" i="34"/>
  <c r="F81" i="34"/>
  <c r="H81" i="34" s="1"/>
  <c r="G81" i="34"/>
  <c r="A82" i="34"/>
  <c r="B82" i="34"/>
  <c r="C82" i="34"/>
  <c r="D82" i="34"/>
  <c r="F82" i="34"/>
  <c r="G82" i="34"/>
  <c r="H82" i="34"/>
  <c r="A83" i="34"/>
  <c r="B83" i="34"/>
  <c r="C83" i="34"/>
  <c r="D83" i="34"/>
  <c r="F83" i="34"/>
  <c r="G83" i="34"/>
  <c r="H83" i="34" s="1"/>
  <c r="A84" i="34"/>
  <c r="B84" i="34"/>
  <c r="C84" i="34"/>
  <c r="D84" i="34"/>
  <c r="F84" i="34"/>
  <c r="H84" i="34" s="1"/>
  <c r="G84" i="34"/>
  <c r="A85" i="34"/>
  <c r="B85" i="34"/>
  <c r="C85" i="34"/>
  <c r="D85" i="34"/>
  <c r="F85" i="34"/>
  <c r="H85" i="34" s="1"/>
  <c r="G85" i="34"/>
  <c r="A86" i="34"/>
  <c r="B86" i="34"/>
  <c r="C86" i="34"/>
  <c r="D86" i="34"/>
  <c r="F86" i="34"/>
  <c r="G86" i="34"/>
  <c r="H86" i="34"/>
  <c r="A87" i="34"/>
  <c r="B87" i="34"/>
  <c r="C87" i="34"/>
  <c r="D87" i="34"/>
  <c r="F87" i="34"/>
  <c r="G87" i="34"/>
  <c r="H87" i="34" s="1"/>
  <c r="A88" i="34"/>
  <c r="B88" i="34"/>
  <c r="C88" i="34"/>
  <c r="D88" i="34"/>
  <c r="F88" i="34"/>
  <c r="H88" i="34" s="1"/>
  <c r="G88" i="34"/>
  <c r="A89" i="34"/>
  <c r="B89" i="34"/>
  <c r="C89" i="34"/>
  <c r="D89" i="34"/>
  <c r="F89" i="34"/>
  <c r="H89" i="34" s="1"/>
  <c r="G89" i="34"/>
  <c r="A90" i="34"/>
  <c r="B90" i="34"/>
  <c r="C90" i="34"/>
  <c r="D90" i="34"/>
  <c r="F90" i="34"/>
  <c r="G90" i="34"/>
  <c r="H90" i="34"/>
  <c r="A91" i="34"/>
  <c r="B91" i="34"/>
  <c r="C91" i="34"/>
  <c r="D91" i="34"/>
  <c r="F91" i="34"/>
  <c r="G91" i="34"/>
  <c r="H91" i="34"/>
  <c r="A92" i="34"/>
  <c r="B92" i="34"/>
  <c r="C92" i="34"/>
  <c r="D92" i="34"/>
  <c r="F92" i="34"/>
  <c r="H92" i="34" s="1"/>
  <c r="G92" i="34"/>
  <c r="A93" i="34"/>
  <c r="B93" i="34"/>
  <c r="C93" i="34"/>
  <c r="D93" i="34"/>
  <c r="F93" i="34"/>
  <c r="H93" i="34" s="1"/>
  <c r="G93" i="34"/>
  <c r="A94" i="34"/>
  <c r="B94" i="34"/>
  <c r="C94" i="34"/>
  <c r="D94" i="34"/>
  <c r="F94" i="34"/>
  <c r="G94" i="34"/>
  <c r="H94" i="34"/>
  <c r="A95" i="34"/>
  <c r="B95" i="34"/>
  <c r="C95" i="34"/>
  <c r="D95" i="34"/>
  <c r="F95" i="34"/>
  <c r="G95" i="34"/>
  <c r="H95" i="34" s="1"/>
  <c r="A96" i="34"/>
  <c r="B96" i="34"/>
  <c r="C96" i="34"/>
  <c r="D96" i="34"/>
  <c r="F96" i="34"/>
  <c r="H96" i="34" s="1"/>
  <c r="G96" i="34"/>
  <c r="A97" i="34"/>
  <c r="B97" i="34"/>
  <c r="C97" i="34"/>
  <c r="D97" i="34"/>
  <c r="F97" i="34"/>
  <c r="H97" i="34" s="1"/>
  <c r="G97" i="34"/>
  <c r="A98" i="34"/>
  <c r="B98" i="34"/>
  <c r="C98" i="34"/>
  <c r="D98" i="34"/>
  <c r="F98" i="34"/>
  <c r="G98" i="34"/>
  <c r="H98" i="34"/>
  <c r="A99" i="34"/>
  <c r="B99" i="34"/>
  <c r="C99" i="34"/>
  <c r="D99" i="34"/>
  <c r="F99" i="34"/>
  <c r="G99" i="34"/>
  <c r="H99" i="34" s="1"/>
  <c r="A100" i="34"/>
  <c r="B100" i="34"/>
  <c r="C100" i="34"/>
  <c r="D100" i="34"/>
  <c r="F100" i="34"/>
  <c r="H100" i="34" s="1"/>
  <c r="G100" i="34"/>
  <c r="A101" i="34"/>
  <c r="B101" i="34"/>
  <c r="C101" i="34"/>
  <c r="D101" i="34"/>
  <c r="F101" i="34"/>
  <c r="H101" i="34" s="1"/>
  <c r="G101" i="34"/>
  <c r="A102" i="34"/>
  <c r="B102" i="34"/>
  <c r="C102" i="34"/>
  <c r="D102" i="34"/>
  <c r="F102" i="34"/>
  <c r="G102" i="34"/>
  <c r="H102" i="34"/>
  <c r="A103" i="34"/>
  <c r="B103" i="34"/>
  <c r="C103" i="34"/>
  <c r="D103" i="34"/>
  <c r="F103" i="34"/>
  <c r="G103" i="34"/>
  <c r="H103" i="34"/>
  <c r="A104" i="34"/>
  <c r="B104" i="34"/>
  <c r="C104" i="34"/>
  <c r="D104" i="34"/>
  <c r="F104" i="34"/>
  <c r="H104" i="34" s="1"/>
  <c r="G104" i="34"/>
  <c r="A105" i="34"/>
  <c r="B105" i="34"/>
  <c r="C105" i="34"/>
  <c r="D105" i="34"/>
  <c r="F105" i="34"/>
  <c r="H105" i="34" s="1"/>
  <c r="G105" i="34"/>
  <c r="A106" i="34"/>
  <c r="B106" i="34"/>
  <c r="C106" i="34"/>
  <c r="D106" i="34"/>
  <c r="F106" i="34"/>
  <c r="G106" i="34"/>
  <c r="H106" i="34"/>
  <c r="A107" i="34"/>
  <c r="B107" i="34"/>
  <c r="C107" i="34"/>
  <c r="D107" i="34"/>
  <c r="F107" i="34"/>
  <c r="G107" i="34"/>
  <c r="H107" i="34"/>
  <c r="A108" i="34"/>
  <c r="B108" i="34"/>
  <c r="C108" i="34"/>
  <c r="D108" i="34"/>
  <c r="F108" i="34"/>
  <c r="H108" i="34" s="1"/>
  <c r="G108" i="34"/>
  <c r="A109" i="34"/>
  <c r="B109" i="34"/>
  <c r="C109" i="34"/>
  <c r="D109" i="34"/>
  <c r="F109" i="34"/>
  <c r="H109" i="34" s="1"/>
  <c r="G109" i="34"/>
  <c r="A110" i="34"/>
  <c r="B110" i="34"/>
  <c r="C110" i="34"/>
  <c r="D110" i="34"/>
  <c r="F110" i="34"/>
  <c r="G110" i="34"/>
  <c r="H110" i="34"/>
  <c r="A111" i="34"/>
  <c r="B111" i="34"/>
  <c r="C111" i="34"/>
  <c r="D111" i="34"/>
  <c r="F111" i="34"/>
  <c r="G111" i="34"/>
  <c r="H111" i="34"/>
  <c r="A112" i="34"/>
  <c r="B112" i="34"/>
  <c r="C112" i="34"/>
  <c r="D112" i="34"/>
  <c r="F112" i="34"/>
  <c r="G112" i="34"/>
  <c r="A113" i="34"/>
  <c r="B113" i="34"/>
  <c r="C113" i="34"/>
  <c r="D113" i="34"/>
  <c r="F113" i="34"/>
  <c r="H113" i="34" s="1"/>
  <c r="G113" i="34"/>
  <c r="A114" i="34"/>
  <c r="B114" i="34"/>
  <c r="C114" i="34"/>
  <c r="D114" i="34"/>
  <c r="F114" i="34"/>
  <c r="G114" i="34"/>
  <c r="H114" i="34"/>
  <c r="A115" i="34"/>
  <c r="B115" i="34"/>
  <c r="C115" i="34"/>
  <c r="D115" i="34"/>
  <c r="F115" i="34"/>
  <c r="G115" i="34"/>
  <c r="H115" i="34"/>
  <c r="A116" i="34"/>
  <c r="B116" i="34"/>
  <c r="C116" i="34"/>
  <c r="D116" i="34"/>
  <c r="F116" i="34"/>
  <c r="G116" i="34"/>
  <c r="A117" i="34"/>
  <c r="B117" i="34"/>
  <c r="C117" i="34"/>
  <c r="D117" i="34"/>
  <c r="F117" i="34"/>
  <c r="H117" i="34" s="1"/>
  <c r="G117" i="34"/>
  <c r="A118" i="34"/>
  <c r="B118" i="34"/>
  <c r="C118" i="34"/>
  <c r="D118" i="34"/>
  <c r="F118" i="34"/>
  <c r="G118" i="34"/>
  <c r="H118" i="34"/>
  <c r="A119" i="34"/>
  <c r="B119" i="34"/>
  <c r="C119" i="34"/>
  <c r="D119" i="34"/>
  <c r="F119" i="34"/>
  <c r="G119" i="34"/>
  <c r="H119" i="34"/>
  <c r="A120" i="34"/>
  <c r="B120" i="34"/>
  <c r="C120" i="34"/>
  <c r="D120" i="34"/>
  <c r="F120" i="34"/>
  <c r="H120" i="34" s="1"/>
  <c r="G120" i="34"/>
  <c r="A121" i="34"/>
  <c r="B121" i="34"/>
  <c r="C121" i="34"/>
  <c r="D121" i="34"/>
  <c r="F121" i="34"/>
  <c r="H121" i="34" s="1"/>
  <c r="G121" i="34"/>
  <c r="A122" i="34"/>
  <c r="B122" i="34"/>
  <c r="C122" i="34"/>
  <c r="D122" i="34"/>
  <c r="F122" i="34"/>
  <c r="G122" i="34"/>
  <c r="H122" i="34"/>
  <c r="A123" i="34"/>
  <c r="B123" i="34"/>
  <c r="C123" i="34"/>
  <c r="D123" i="34"/>
  <c r="F123" i="34"/>
  <c r="G123" i="34"/>
  <c r="H123" i="34" s="1"/>
  <c r="A124" i="34"/>
  <c r="B124" i="34"/>
  <c r="C124" i="34"/>
  <c r="D124" i="34"/>
  <c r="F124" i="34"/>
  <c r="G124" i="34"/>
  <c r="H124" i="34" s="1"/>
  <c r="A125" i="34"/>
  <c r="B125" i="34"/>
  <c r="C125" i="34"/>
  <c r="D125" i="34"/>
  <c r="F125" i="34"/>
  <c r="G125" i="34"/>
  <c r="A126" i="34"/>
  <c r="B126" i="34"/>
  <c r="C126" i="34"/>
  <c r="D126" i="34"/>
  <c r="F126" i="34"/>
  <c r="G126" i="34"/>
  <c r="H126" i="34"/>
  <c r="A127" i="34"/>
  <c r="B127" i="34"/>
  <c r="C127" i="34"/>
  <c r="D127" i="34"/>
  <c r="F127" i="34"/>
  <c r="G127" i="34"/>
  <c r="H127" i="34" s="1"/>
  <c r="A128" i="34"/>
  <c r="B128" i="34"/>
  <c r="C128" i="34"/>
  <c r="D128" i="34"/>
  <c r="F128" i="34"/>
  <c r="H128" i="34" s="1"/>
  <c r="G128" i="34"/>
  <c r="A129" i="34"/>
  <c r="B129" i="34"/>
  <c r="C129" i="34"/>
  <c r="D129" i="34"/>
  <c r="F129" i="34"/>
  <c r="H129" i="34" s="1"/>
  <c r="G129" i="34"/>
  <c r="A130" i="34"/>
  <c r="B130" i="34"/>
  <c r="C130" i="34"/>
  <c r="D130" i="34"/>
  <c r="F130" i="34"/>
  <c r="H130" i="34" s="1"/>
  <c r="G130" i="34"/>
  <c r="A131" i="34"/>
  <c r="B131" i="34"/>
  <c r="C131" i="34"/>
  <c r="D131" i="34"/>
  <c r="F131" i="34"/>
  <c r="H131" i="34" s="1"/>
  <c r="G131" i="34"/>
  <c r="A132" i="34"/>
  <c r="B132" i="34"/>
  <c r="C132" i="34"/>
  <c r="D132" i="34"/>
  <c r="F132" i="34"/>
  <c r="G132" i="34"/>
  <c r="H132" i="34"/>
  <c r="A133" i="34"/>
  <c r="B133" i="34"/>
  <c r="C133" i="34"/>
  <c r="D133" i="34"/>
  <c r="F133" i="34"/>
  <c r="G133" i="34"/>
  <c r="H133" i="34"/>
  <c r="A134" i="34"/>
  <c r="B134" i="34"/>
  <c r="C134" i="34"/>
  <c r="D134" i="34"/>
  <c r="F134" i="34"/>
  <c r="H134" i="34" s="1"/>
  <c r="G134" i="34"/>
  <c r="A135" i="34"/>
  <c r="B135" i="34"/>
  <c r="C135" i="34"/>
  <c r="D135" i="34"/>
  <c r="F135" i="34"/>
  <c r="H135" i="34" s="1"/>
  <c r="G135" i="34"/>
  <c r="A136" i="34"/>
  <c r="B136" i="34"/>
  <c r="C136" i="34"/>
  <c r="D136" i="34"/>
  <c r="F136" i="34"/>
  <c r="G136" i="34"/>
  <c r="H136" i="34"/>
  <c r="A137" i="34"/>
  <c r="B137" i="34"/>
  <c r="C137" i="34"/>
  <c r="D137" i="34"/>
  <c r="F137" i="34"/>
  <c r="G137" i="34"/>
  <c r="H137" i="34"/>
  <c r="A138" i="34"/>
  <c r="B138" i="34"/>
  <c r="C138" i="34"/>
  <c r="D138" i="34"/>
  <c r="F138" i="34"/>
  <c r="H138" i="34" s="1"/>
  <c r="G138" i="34"/>
  <c r="A139" i="34"/>
  <c r="B139" i="34"/>
  <c r="C139" i="34"/>
  <c r="D139" i="34"/>
  <c r="F139" i="34"/>
  <c r="H139" i="34" s="1"/>
  <c r="G139" i="34"/>
  <c r="A140" i="34"/>
  <c r="B140" i="34"/>
  <c r="C140" i="34"/>
  <c r="D140" i="34"/>
  <c r="F140" i="34"/>
  <c r="G140" i="34"/>
  <c r="H140" i="34"/>
  <c r="A141" i="34"/>
  <c r="B141" i="34"/>
  <c r="C141" i="34"/>
  <c r="D141" i="34"/>
  <c r="F141" i="34"/>
  <c r="G141" i="34"/>
  <c r="H141" i="34" s="1"/>
  <c r="A142" i="34"/>
  <c r="B142" i="34"/>
  <c r="C142" i="34"/>
  <c r="D142" i="34"/>
  <c r="F142" i="34"/>
  <c r="H142" i="34" s="1"/>
  <c r="G142" i="34"/>
  <c r="A143" i="34"/>
  <c r="B143" i="34"/>
  <c r="C143" i="34"/>
  <c r="D143" i="34"/>
  <c r="F143" i="34"/>
  <c r="H143" i="34" s="1"/>
  <c r="G143" i="34"/>
  <c r="A144" i="34"/>
  <c r="B144" i="34"/>
  <c r="C144" i="34"/>
  <c r="D144" i="34"/>
  <c r="F144" i="34"/>
  <c r="G144" i="34"/>
  <c r="H144" i="34"/>
  <c r="A145" i="34"/>
  <c r="B145" i="34"/>
  <c r="C145" i="34"/>
  <c r="D145" i="34"/>
  <c r="F145" i="34"/>
  <c r="G145" i="34"/>
  <c r="H145" i="34" s="1"/>
  <c r="A146" i="34"/>
  <c r="B146" i="34"/>
  <c r="C146" i="34"/>
  <c r="D146" i="34"/>
  <c r="F146" i="34"/>
  <c r="H146" i="34" s="1"/>
  <c r="G146" i="34"/>
  <c r="A147" i="34"/>
  <c r="B147" i="34"/>
  <c r="C147" i="34"/>
  <c r="D147" i="34"/>
  <c r="F147" i="34"/>
  <c r="H147" i="34" s="1"/>
  <c r="G147" i="34"/>
  <c r="A148" i="34"/>
  <c r="B148" i="34"/>
  <c r="C148" i="34"/>
  <c r="D148" i="34"/>
  <c r="F148" i="34"/>
  <c r="G148" i="34"/>
  <c r="H148" i="34"/>
  <c r="A149" i="34"/>
  <c r="B149" i="34"/>
  <c r="C149" i="34"/>
  <c r="D149" i="34"/>
  <c r="F149" i="34"/>
  <c r="G149" i="34"/>
  <c r="H149" i="34" s="1"/>
  <c r="A150" i="34"/>
  <c r="B150" i="34"/>
  <c r="C150" i="34"/>
  <c r="D150" i="34"/>
  <c r="F150" i="34"/>
  <c r="H150" i="34" s="1"/>
  <c r="G150" i="34"/>
  <c r="A151" i="34"/>
  <c r="B151" i="34"/>
  <c r="C151" i="34"/>
  <c r="D151" i="34"/>
  <c r="F151" i="34"/>
  <c r="H151" i="34" s="1"/>
  <c r="G151" i="34"/>
  <c r="A152" i="34"/>
  <c r="B152" i="34"/>
  <c r="C152" i="34"/>
  <c r="D152" i="34"/>
  <c r="F152" i="34"/>
  <c r="G152" i="34"/>
  <c r="H152" i="34"/>
  <c r="A153" i="34"/>
  <c r="B153" i="34"/>
  <c r="C153" i="34"/>
  <c r="D153" i="34"/>
  <c r="F153" i="34"/>
  <c r="G153" i="34"/>
  <c r="H153" i="34" s="1"/>
  <c r="A154" i="34"/>
  <c r="B154" i="34"/>
  <c r="C154" i="34"/>
  <c r="D154" i="34"/>
  <c r="F154" i="34"/>
  <c r="H154" i="34" s="1"/>
  <c r="G154" i="34"/>
  <c r="A155" i="34"/>
  <c r="B155" i="34"/>
  <c r="C155" i="34"/>
  <c r="D155" i="34"/>
  <c r="F155" i="34"/>
  <c r="H155" i="34" s="1"/>
  <c r="G155" i="34"/>
  <c r="A156" i="34"/>
  <c r="B156" i="34"/>
  <c r="C156" i="34"/>
  <c r="D156" i="34"/>
  <c r="F156" i="34"/>
  <c r="G156" i="34"/>
  <c r="H156" i="34"/>
  <c r="A157" i="34"/>
  <c r="B157" i="34"/>
  <c r="C157" i="34"/>
  <c r="D157" i="34"/>
  <c r="F157" i="34"/>
  <c r="G157" i="34"/>
  <c r="H157" i="34" s="1"/>
  <c r="A158" i="34"/>
  <c r="B158" i="34"/>
  <c r="C158" i="34"/>
  <c r="D158" i="34"/>
  <c r="F158" i="34"/>
  <c r="H158" i="34" s="1"/>
  <c r="G158" i="34"/>
  <c r="A159" i="34"/>
  <c r="B159" i="34"/>
  <c r="C159" i="34"/>
  <c r="D159" i="34"/>
  <c r="F159" i="34"/>
  <c r="H159" i="34" s="1"/>
  <c r="G159" i="34"/>
  <c r="A160" i="34"/>
  <c r="B160" i="34"/>
  <c r="C160" i="34"/>
  <c r="D160" i="34"/>
  <c r="F160" i="34"/>
  <c r="G160" i="34"/>
  <c r="H160" i="34"/>
  <c r="A161" i="34"/>
  <c r="B161" i="34"/>
  <c r="C161" i="34"/>
  <c r="D161" i="34"/>
  <c r="F161" i="34"/>
  <c r="G161" i="34"/>
  <c r="H161" i="34" s="1"/>
  <c r="A162" i="34"/>
  <c r="B162" i="34"/>
  <c r="C162" i="34"/>
  <c r="D162" i="34"/>
  <c r="F162" i="34"/>
  <c r="H162" i="34" s="1"/>
  <c r="G162" i="34"/>
  <c r="A163" i="34"/>
  <c r="B163" i="34"/>
  <c r="C163" i="34"/>
  <c r="D163" i="34"/>
  <c r="F163" i="34"/>
  <c r="H163" i="34" s="1"/>
  <c r="G163" i="34"/>
  <c r="A164" i="34"/>
  <c r="B164" i="34"/>
  <c r="C164" i="34"/>
  <c r="D164" i="34"/>
  <c r="F164" i="34"/>
  <c r="G164" i="34"/>
  <c r="H164" i="34"/>
  <c r="A165" i="34"/>
  <c r="B165" i="34"/>
  <c r="C165" i="34"/>
  <c r="D165" i="34"/>
  <c r="F165" i="34"/>
  <c r="G165" i="34"/>
  <c r="H165" i="34" s="1"/>
  <c r="A166" i="34"/>
  <c r="B166" i="34"/>
  <c r="C166" i="34"/>
  <c r="D166" i="34"/>
  <c r="F166" i="34"/>
  <c r="H166" i="34" s="1"/>
  <c r="G166" i="34"/>
  <c r="A167" i="34"/>
  <c r="B167" i="34"/>
  <c r="C167" i="34"/>
  <c r="D167" i="34"/>
  <c r="F167" i="34"/>
  <c r="H167" i="34" s="1"/>
  <c r="G167" i="34"/>
  <c r="A168" i="34"/>
  <c r="B168" i="34"/>
  <c r="C168" i="34"/>
  <c r="D168" i="34"/>
  <c r="F168" i="34"/>
  <c r="G168" i="34"/>
  <c r="H168" i="34"/>
  <c r="A169" i="34"/>
  <c r="B169" i="34"/>
  <c r="C169" i="34"/>
  <c r="D169" i="34"/>
  <c r="F169" i="34"/>
  <c r="G169" i="34"/>
  <c r="H169" i="34" s="1"/>
  <c r="A170" i="34"/>
  <c r="B170" i="34"/>
  <c r="C170" i="34"/>
  <c r="D170" i="34"/>
  <c r="F170" i="34"/>
  <c r="H170" i="34" s="1"/>
  <c r="G170" i="34"/>
  <c r="A171" i="34"/>
  <c r="B171" i="34"/>
  <c r="C171" i="34"/>
  <c r="D171" i="34"/>
  <c r="F171" i="34"/>
  <c r="H171" i="34" s="1"/>
  <c r="G171" i="34"/>
  <c r="A172" i="34"/>
  <c r="B172" i="34"/>
  <c r="C172" i="34"/>
  <c r="D172" i="34"/>
  <c r="F172" i="34"/>
  <c r="G172" i="34"/>
  <c r="H172" i="34"/>
  <c r="A173" i="34"/>
  <c r="B173" i="34"/>
  <c r="C173" i="34"/>
  <c r="D173" i="34"/>
  <c r="F173" i="34"/>
  <c r="G173" i="34"/>
  <c r="H173" i="34" s="1"/>
  <c r="A174" i="34"/>
  <c r="B174" i="34"/>
  <c r="C174" i="34"/>
  <c r="D174" i="34"/>
  <c r="F174" i="34"/>
  <c r="H174" i="34" s="1"/>
  <c r="G174" i="34"/>
  <c r="A175" i="34"/>
  <c r="B175" i="34"/>
  <c r="C175" i="34"/>
  <c r="D175" i="34"/>
  <c r="F175" i="34"/>
  <c r="H175" i="34" s="1"/>
  <c r="G175" i="34"/>
  <c r="A176" i="34"/>
  <c r="B176" i="34"/>
  <c r="C176" i="34"/>
  <c r="D176" i="34"/>
  <c r="F176" i="34"/>
  <c r="G176" i="34"/>
  <c r="H176" i="34"/>
  <c r="A177" i="34"/>
  <c r="B177" i="34"/>
  <c r="C177" i="34"/>
  <c r="D177" i="34"/>
  <c r="F177" i="34"/>
  <c r="G177" i="34"/>
  <c r="H177" i="34" s="1"/>
  <c r="A178" i="34"/>
  <c r="B178" i="34"/>
  <c r="C178" i="34"/>
  <c r="D178" i="34"/>
  <c r="F178" i="34"/>
  <c r="H178" i="34" s="1"/>
  <c r="G178" i="34"/>
  <c r="A179" i="34"/>
  <c r="B179" i="34"/>
  <c r="C179" i="34"/>
  <c r="D179" i="34"/>
  <c r="F179" i="34"/>
  <c r="H179" i="34" s="1"/>
  <c r="G179" i="34"/>
  <c r="A180" i="34"/>
  <c r="B180" i="34"/>
  <c r="C180" i="34"/>
  <c r="D180" i="34"/>
  <c r="F180" i="34"/>
  <c r="G180" i="34"/>
  <c r="H180" i="34"/>
  <c r="A181" i="34"/>
  <c r="B181" i="34"/>
  <c r="C181" i="34"/>
  <c r="D181" i="34"/>
  <c r="F181" i="34"/>
  <c r="G181" i="34"/>
  <c r="H181" i="34" s="1"/>
  <c r="A182" i="34"/>
  <c r="B182" i="34"/>
  <c r="C182" i="34"/>
  <c r="D182" i="34"/>
  <c r="F182" i="34"/>
  <c r="H182" i="34" s="1"/>
  <c r="G182" i="34"/>
  <c r="A183" i="34"/>
  <c r="B183" i="34"/>
  <c r="C183" i="34"/>
  <c r="D183" i="34"/>
  <c r="F183" i="34"/>
  <c r="H183" i="34" s="1"/>
  <c r="G183" i="34"/>
  <c r="A184" i="34"/>
  <c r="B184" i="34"/>
  <c r="C184" i="34"/>
  <c r="D184" i="34"/>
  <c r="F184" i="34"/>
  <c r="G184" i="34"/>
  <c r="H184" i="34"/>
  <c r="A185" i="34"/>
  <c r="B185" i="34"/>
  <c r="C185" i="34"/>
  <c r="D185" i="34"/>
  <c r="F185" i="34"/>
  <c r="G185" i="34"/>
  <c r="H185" i="34" s="1"/>
  <c r="A186" i="34"/>
  <c r="B186" i="34"/>
  <c r="C186" i="34"/>
  <c r="D186" i="34"/>
  <c r="F186" i="34"/>
  <c r="H186" i="34" s="1"/>
  <c r="G186" i="34"/>
  <c r="A187" i="34"/>
  <c r="B187" i="34"/>
  <c r="C187" i="34"/>
  <c r="D187" i="34"/>
  <c r="F187" i="34"/>
  <c r="H187" i="34" s="1"/>
  <c r="G187" i="34"/>
  <c r="A188" i="34"/>
  <c r="B188" i="34"/>
  <c r="C188" i="34"/>
  <c r="D188" i="34"/>
  <c r="F188" i="34"/>
  <c r="G188" i="34"/>
  <c r="H188" i="34"/>
  <c r="A189" i="34"/>
  <c r="B189" i="34"/>
  <c r="C189" i="34"/>
  <c r="D189" i="34"/>
  <c r="F189" i="34"/>
  <c r="G189" i="34"/>
  <c r="H189" i="34" s="1"/>
  <c r="A190" i="34"/>
  <c r="B190" i="34"/>
  <c r="C190" i="34"/>
  <c r="D190" i="34"/>
  <c r="F190" i="34"/>
  <c r="H190" i="34" s="1"/>
  <c r="G190" i="34"/>
  <c r="A191" i="34"/>
  <c r="B191" i="34"/>
  <c r="C191" i="34"/>
  <c r="D191" i="34"/>
  <c r="F191" i="34"/>
  <c r="H191" i="34" s="1"/>
  <c r="G191" i="34"/>
  <c r="A192" i="34"/>
  <c r="B192" i="34"/>
  <c r="C192" i="34"/>
  <c r="D192" i="34"/>
  <c r="F192" i="34"/>
  <c r="G192" i="34"/>
  <c r="H192" i="34"/>
  <c r="A193" i="34"/>
  <c r="B193" i="34"/>
  <c r="C193" i="34"/>
  <c r="D193" i="34"/>
  <c r="F193" i="34"/>
  <c r="G193" i="34"/>
  <c r="H193" i="34" s="1"/>
  <c r="A194" i="34"/>
  <c r="B194" i="34"/>
  <c r="C194" i="34"/>
  <c r="D194" i="34"/>
  <c r="F194" i="34"/>
  <c r="H194" i="34" s="1"/>
  <c r="G194" i="34"/>
  <c r="A195" i="34"/>
  <c r="B195" i="34"/>
  <c r="C195" i="34"/>
  <c r="D195" i="34"/>
  <c r="F195" i="34"/>
  <c r="H195" i="34" s="1"/>
  <c r="G195" i="34"/>
  <c r="A196" i="34"/>
  <c r="B196" i="34"/>
  <c r="C196" i="34"/>
  <c r="D196" i="34"/>
  <c r="F196" i="34"/>
  <c r="G196" i="34"/>
  <c r="H196" i="34"/>
  <c r="A197" i="34"/>
  <c r="B197" i="34"/>
  <c r="C197" i="34"/>
  <c r="D197" i="34"/>
  <c r="F197" i="34"/>
  <c r="G197" i="34"/>
  <c r="H197" i="34" s="1"/>
  <c r="A198" i="34"/>
  <c r="B198" i="34"/>
  <c r="C198" i="34"/>
  <c r="D198" i="34"/>
  <c r="F198" i="34"/>
  <c r="H198" i="34" s="1"/>
  <c r="G198" i="34"/>
  <c r="A199" i="34"/>
  <c r="B199" i="34"/>
  <c r="C199" i="34"/>
  <c r="D199" i="34"/>
  <c r="F199" i="34"/>
  <c r="H199" i="34" s="1"/>
  <c r="G199" i="34"/>
  <c r="A200" i="34"/>
  <c r="B200" i="34"/>
  <c r="C200" i="34"/>
  <c r="D200" i="34"/>
  <c r="F200" i="34"/>
  <c r="G200" i="34"/>
  <c r="H200" i="34"/>
  <c r="A201" i="34"/>
  <c r="B201" i="34"/>
  <c r="C201" i="34"/>
  <c r="D201" i="34"/>
  <c r="F201" i="34"/>
  <c r="G201" i="34"/>
  <c r="H201" i="34" s="1"/>
  <c r="A202" i="34"/>
  <c r="B202" i="34"/>
  <c r="C202" i="34"/>
  <c r="D202" i="34"/>
  <c r="F202" i="34"/>
  <c r="H202" i="34" s="1"/>
  <c r="G202" i="34"/>
  <c r="A203" i="34"/>
  <c r="B203" i="34"/>
  <c r="C203" i="34"/>
  <c r="D203" i="34"/>
  <c r="F203" i="34"/>
  <c r="H203" i="34" s="1"/>
  <c r="G203" i="34"/>
  <c r="A204" i="34"/>
  <c r="B204" i="34"/>
  <c r="C204" i="34"/>
  <c r="D204" i="34"/>
  <c r="F204" i="34"/>
  <c r="G204" i="34"/>
  <c r="H204" i="34"/>
  <c r="A205" i="34"/>
  <c r="B205" i="34"/>
  <c r="C205" i="34"/>
  <c r="D205" i="34"/>
  <c r="F205" i="34"/>
  <c r="G205" i="34"/>
  <c r="H205" i="34" s="1"/>
  <c r="A206" i="34"/>
  <c r="B206" i="34"/>
  <c r="C206" i="34"/>
  <c r="D206" i="34"/>
  <c r="F206" i="34"/>
  <c r="H206" i="34" s="1"/>
  <c r="G206" i="34"/>
  <c r="A207" i="34"/>
  <c r="B207" i="34"/>
  <c r="C207" i="34"/>
  <c r="D207" i="34"/>
  <c r="F207" i="34"/>
  <c r="H207" i="34" s="1"/>
  <c r="G207" i="34"/>
  <c r="A208" i="34"/>
  <c r="B208" i="34"/>
  <c r="C208" i="34"/>
  <c r="D208" i="34"/>
  <c r="F208" i="34"/>
  <c r="G208" i="34"/>
  <c r="H208" i="34"/>
  <c r="A209" i="34"/>
  <c r="B209" i="34"/>
  <c r="C209" i="34"/>
  <c r="D209" i="34"/>
  <c r="F209" i="34"/>
  <c r="G209" i="34"/>
  <c r="H209" i="34" s="1"/>
  <c r="A210" i="34"/>
  <c r="B210" i="34"/>
  <c r="C210" i="34"/>
  <c r="D210" i="34"/>
  <c r="F210" i="34"/>
  <c r="H210" i="34" s="1"/>
  <c r="G210" i="34"/>
  <c r="A211" i="34"/>
  <c r="B211" i="34"/>
  <c r="C211" i="34"/>
  <c r="D211" i="34"/>
  <c r="F211" i="34"/>
  <c r="H211" i="34" s="1"/>
  <c r="G211" i="34"/>
  <c r="A212" i="34"/>
  <c r="B212" i="34"/>
  <c r="C212" i="34"/>
  <c r="D212" i="34"/>
  <c r="F212" i="34"/>
  <c r="G212" i="34"/>
  <c r="H212" i="34"/>
  <c r="A213" i="34"/>
  <c r="B213" i="34"/>
  <c r="C213" i="34"/>
  <c r="D213" i="34"/>
  <c r="F213" i="34"/>
  <c r="G213" i="34"/>
  <c r="H213" i="34" s="1"/>
  <c r="A214" i="34"/>
  <c r="B214" i="34"/>
  <c r="C214" i="34"/>
  <c r="D214" i="34"/>
  <c r="F214" i="34"/>
  <c r="H214" i="34" s="1"/>
  <c r="G214" i="34"/>
  <c r="A215" i="34"/>
  <c r="B215" i="34"/>
  <c r="C215" i="34"/>
  <c r="D215" i="34"/>
  <c r="F215" i="34"/>
  <c r="H215" i="34" s="1"/>
  <c r="G215" i="34"/>
  <c r="A216" i="34"/>
  <c r="B216" i="34"/>
  <c r="C216" i="34"/>
  <c r="D216" i="34"/>
  <c r="F216" i="34"/>
  <c r="G216" i="34"/>
  <c r="H216" i="34"/>
  <c r="A217" i="34"/>
  <c r="B217" i="34"/>
  <c r="C217" i="34"/>
  <c r="D217" i="34"/>
  <c r="F217" i="34"/>
  <c r="G217" i="34"/>
  <c r="H217" i="34" s="1"/>
  <c r="A218" i="34"/>
  <c r="B218" i="34"/>
  <c r="C218" i="34"/>
  <c r="D218" i="34"/>
  <c r="F218" i="34"/>
  <c r="H218" i="34" s="1"/>
  <c r="G218" i="34"/>
  <c r="A219" i="34"/>
  <c r="B219" i="34"/>
  <c r="C219" i="34"/>
  <c r="D219" i="34"/>
  <c r="F219" i="34"/>
  <c r="H219" i="34" s="1"/>
  <c r="G219" i="34"/>
  <c r="A220" i="34"/>
  <c r="B220" i="34"/>
  <c r="C220" i="34"/>
  <c r="D220" i="34"/>
  <c r="F220" i="34"/>
  <c r="H220" i="34" s="1"/>
  <c r="G220" i="34"/>
  <c r="A221" i="34"/>
  <c r="B221" i="34"/>
  <c r="C221" i="34"/>
  <c r="D221" i="34"/>
  <c r="F221" i="34"/>
  <c r="G221" i="34"/>
  <c r="H221" i="34" s="1"/>
  <c r="A222" i="34"/>
  <c r="B222" i="34"/>
  <c r="C222" i="34"/>
  <c r="D222" i="34"/>
  <c r="F222" i="34"/>
  <c r="G222" i="34"/>
  <c r="H222" i="34"/>
  <c r="A223" i="34"/>
  <c r="B223" i="34"/>
  <c r="C223" i="34"/>
  <c r="D223" i="34"/>
  <c r="F223" i="34"/>
  <c r="H223" i="34" s="1"/>
  <c r="G223" i="34"/>
  <c r="A224" i="34"/>
  <c r="B224" i="34"/>
  <c r="C224" i="34"/>
  <c r="D224" i="34"/>
  <c r="F224" i="34"/>
  <c r="H224" i="34" s="1"/>
  <c r="G224" i="34"/>
  <c r="A225" i="34"/>
  <c r="B225" i="34"/>
  <c r="C225" i="34"/>
  <c r="D225" i="34"/>
  <c r="F225" i="34"/>
  <c r="G225" i="34"/>
  <c r="H225" i="34" s="1"/>
  <c r="A226" i="34"/>
  <c r="B226" i="34"/>
  <c r="C226" i="34"/>
  <c r="D226" i="34"/>
  <c r="F226" i="34"/>
  <c r="G226" i="34"/>
  <c r="H226" i="34"/>
  <c r="A227" i="34"/>
  <c r="B227" i="34"/>
  <c r="C227" i="34"/>
  <c r="D227" i="34"/>
  <c r="F227" i="34"/>
  <c r="H227" i="34" s="1"/>
  <c r="G227" i="34"/>
  <c r="A228" i="34"/>
  <c r="B228" i="34"/>
  <c r="C228" i="34"/>
  <c r="D228" i="34"/>
  <c r="F228" i="34"/>
  <c r="H228" i="34" s="1"/>
  <c r="G228" i="34"/>
  <c r="A229" i="34"/>
  <c r="B229" i="34"/>
  <c r="C229" i="34"/>
  <c r="D229" i="34"/>
  <c r="F229" i="34"/>
  <c r="G229" i="34"/>
  <c r="H229" i="34" s="1"/>
  <c r="A230" i="34"/>
  <c r="B230" i="34"/>
  <c r="C230" i="34"/>
  <c r="D230" i="34"/>
  <c r="F230" i="34"/>
  <c r="G230" i="34"/>
  <c r="H230" i="34"/>
  <c r="A231" i="34"/>
  <c r="B231" i="34"/>
  <c r="C231" i="34"/>
  <c r="D231" i="34"/>
  <c r="F231" i="34"/>
  <c r="H231" i="34" s="1"/>
  <c r="G231" i="34"/>
  <c r="A232" i="34"/>
  <c r="B232" i="34"/>
  <c r="C232" i="34"/>
  <c r="D232" i="34"/>
  <c r="F232" i="34"/>
  <c r="H232" i="34" s="1"/>
  <c r="G232" i="34"/>
  <c r="A233" i="34"/>
  <c r="B233" i="34"/>
  <c r="C233" i="34"/>
  <c r="D233" i="34"/>
  <c r="F233" i="34"/>
  <c r="G233" i="34"/>
  <c r="H233" i="34" s="1"/>
  <c r="A234" i="34"/>
  <c r="B234" i="34"/>
  <c r="C234" i="34"/>
  <c r="D234" i="34"/>
  <c r="F234" i="34"/>
  <c r="G234" i="34"/>
  <c r="H234" i="34"/>
  <c r="A235" i="34"/>
  <c r="B235" i="34"/>
  <c r="C235" i="34"/>
  <c r="D235" i="34"/>
  <c r="F235" i="34"/>
  <c r="H235" i="34" s="1"/>
  <c r="G235" i="34"/>
  <c r="A236" i="34"/>
  <c r="B236" i="34"/>
  <c r="C236" i="34"/>
  <c r="D236" i="34"/>
  <c r="F236" i="34"/>
  <c r="H236" i="34" s="1"/>
  <c r="G236" i="34"/>
  <c r="A237" i="34"/>
  <c r="B237" i="34"/>
  <c r="C237" i="34"/>
  <c r="D237" i="34"/>
  <c r="F237" i="34"/>
  <c r="G237" i="34"/>
  <c r="H237" i="34" s="1"/>
  <c r="A238" i="34"/>
  <c r="B238" i="34"/>
  <c r="C238" i="34"/>
  <c r="D238" i="34"/>
  <c r="F238" i="34"/>
  <c r="G238" i="34"/>
  <c r="H238" i="34"/>
  <c r="A239" i="34"/>
  <c r="B239" i="34"/>
  <c r="C239" i="34"/>
  <c r="D239" i="34"/>
  <c r="F239" i="34"/>
  <c r="H239" i="34" s="1"/>
  <c r="G239" i="34"/>
  <c r="A240" i="34"/>
  <c r="B240" i="34"/>
  <c r="C240" i="34"/>
  <c r="D240" i="34"/>
  <c r="F240" i="34"/>
  <c r="H240" i="34" s="1"/>
  <c r="G240" i="34"/>
  <c r="A241" i="34"/>
  <c r="B241" i="34"/>
  <c r="C241" i="34"/>
  <c r="D241" i="34"/>
  <c r="F241" i="34"/>
  <c r="G241" i="34"/>
  <c r="H241" i="34" s="1"/>
  <c r="A242" i="34"/>
  <c r="B242" i="34"/>
  <c r="C242" i="34"/>
  <c r="D242" i="34"/>
  <c r="F242" i="34"/>
  <c r="G242" i="34"/>
  <c r="H242" i="34"/>
  <c r="A243" i="34"/>
  <c r="B243" i="34"/>
  <c r="C243" i="34"/>
  <c r="D243" i="34"/>
  <c r="F243" i="34"/>
  <c r="H243" i="34" s="1"/>
  <c r="G243" i="34"/>
  <c r="A244" i="34"/>
  <c r="B244" i="34"/>
  <c r="C244" i="34"/>
  <c r="D244" i="34"/>
  <c r="F244" i="34"/>
  <c r="H244" i="34" s="1"/>
  <c r="G244" i="34"/>
  <c r="A245" i="34"/>
  <c r="B245" i="34"/>
  <c r="C245" i="34"/>
  <c r="D245" i="34"/>
  <c r="F245" i="34"/>
  <c r="G245" i="34"/>
  <c r="H245" i="34" s="1"/>
  <c r="A246" i="34"/>
  <c r="B246" i="34"/>
  <c r="C246" i="34"/>
  <c r="D246" i="34"/>
  <c r="F246" i="34"/>
  <c r="G246" i="34"/>
  <c r="H246" i="34"/>
  <c r="A247" i="34"/>
  <c r="B247" i="34"/>
  <c r="C247" i="34"/>
  <c r="D247" i="34"/>
  <c r="F247" i="34"/>
  <c r="H247" i="34" s="1"/>
  <c r="G247" i="34"/>
  <c r="A248" i="34"/>
  <c r="B248" i="34"/>
  <c r="C248" i="34"/>
  <c r="D248" i="34"/>
  <c r="F248" i="34"/>
  <c r="H248" i="34" s="1"/>
  <c r="G248" i="34"/>
  <c r="A249" i="34"/>
  <c r="B249" i="34"/>
  <c r="C249" i="34"/>
  <c r="D249" i="34"/>
  <c r="F249" i="34"/>
  <c r="G249" i="34"/>
  <c r="H249" i="34" s="1"/>
  <c r="A250" i="34"/>
  <c r="B250" i="34"/>
  <c r="C250" i="34"/>
  <c r="D250" i="34"/>
  <c r="F250" i="34"/>
  <c r="G250" i="34"/>
  <c r="H250" i="34"/>
  <c r="A251" i="34"/>
  <c r="B251" i="34"/>
  <c r="C251" i="34"/>
  <c r="D251" i="34"/>
  <c r="F251" i="34"/>
  <c r="H251" i="34" s="1"/>
  <c r="G251" i="34"/>
  <c r="A252" i="34"/>
  <c r="B252" i="34"/>
  <c r="C252" i="34"/>
  <c r="D252" i="34"/>
  <c r="F252" i="34"/>
  <c r="H252" i="34" s="1"/>
  <c r="G252" i="34"/>
  <c r="A253" i="34"/>
  <c r="B253" i="34"/>
  <c r="C253" i="34"/>
  <c r="D253" i="34"/>
  <c r="F253" i="34"/>
  <c r="G253" i="34"/>
  <c r="H253" i="34" s="1"/>
  <c r="A254" i="34"/>
  <c r="B254" i="34"/>
  <c r="C254" i="34"/>
  <c r="D254" i="34"/>
  <c r="F254" i="34"/>
  <c r="G254" i="34"/>
  <c r="H254" i="34"/>
  <c r="A255" i="34"/>
  <c r="B255" i="34"/>
  <c r="C255" i="34"/>
  <c r="D255" i="34"/>
  <c r="F255" i="34"/>
  <c r="H255" i="34" s="1"/>
  <c r="G255" i="34"/>
  <c r="A256" i="34"/>
  <c r="B256" i="34"/>
  <c r="C256" i="34"/>
  <c r="D256" i="34"/>
  <c r="F256" i="34"/>
  <c r="H256" i="34" s="1"/>
  <c r="G256" i="34"/>
  <c r="A257" i="34"/>
  <c r="B257" i="34"/>
  <c r="C257" i="34"/>
  <c r="D257" i="34"/>
  <c r="F257" i="34"/>
  <c r="G257" i="34"/>
  <c r="H257" i="34" s="1"/>
  <c r="A258" i="34"/>
  <c r="B258" i="34"/>
  <c r="C258" i="34"/>
  <c r="D258" i="34"/>
  <c r="F258" i="34"/>
  <c r="G258" i="34"/>
  <c r="H258" i="34"/>
  <c r="A259" i="34"/>
  <c r="B259" i="34"/>
  <c r="C259" i="34"/>
  <c r="D259" i="34"/>
  <c r="F259" i="34"/>
  <c r="H259" i="34" s="1"/>
  <c r="G259" i="34"/>
  <c r="A260" i="34"/>
  <c r="B260" i="34"/>
  <c r="C260" i="34"/>
  <c r="D260" i="34"/>
  <c r="F260" i="34"/>
  <c r="H260" i="34" s="1"/>
  <c r="G260" i="34"/>
  <c r="A261" i="34"/>
  <c r="B261" i="34"/>
  <c r="C261" i="34"/>
  <c r="D261" i="34"/>
  <c r="F261" i="34"/>
  <c r="G261" i="34"/>
  <c r="H261" i="34" s="1"/>
  <c r="A262" i="34"/>
  <c r="B262" i="34"/>
  <c r="C262" i="34"/>
  <c r="D262" i="34"/>
  <c r="F262" i="34"/>
  <c r="G262" i="34"/>
  <c r="H262" i="34"/>
  <c r="A263" i="34"/>
  <c r="B263" i="34"/>
  <c r="C263" i="34"/>
  <c r="D263" i="34"/>
  <c r="F263" i="34"/>
  <c r="H263" i="34" s="1"/>
  <c r="G263" i="34"/>
  <c r="A264" i="34"/>
  <c r="B264" i="34"/>
  <c r="C264" i="34"/>
  <c r="D264" i="34"/>
  <c r="F264" i="34"/>
  <c r="H264" i="34" s="1"/>
  <c r="G264" i="34"/>
  <c r="A265" i="34"/>
  <c r="B265" i="34"/>
  <c r="C265" i="34"/>
  <c r="D265" i="34"/>
  <c r="F265" i="34"/>
  <c r="G265" i="34"/>
  <c r="H265" i="34" s="1"/>
  <c r="A266" i="34"/>
  <c r="B266" i="34"/>
  <c r="C266" i="34"/>
  <c r="D266" i="34"/>
  <c r="F266" i="34"/>
  <c r="G266" i="34"/>
  <c r="H266" i="34"/>
  <c r="A267" i="34"/>
  <c r="B267" i="34"/>
  <c r="C267" i="34"/>
  <c r="D267" i="34"/>
  <c r="F267" i="34"/>
  <c r="H267" i="34" s="1"/>
  <c r="G267" i="34"/>
  <c r="A268" i="34"/>
  <c r="B268" i="34"/>
  <c r="C268" i="34"/>
  <c r="D268" i="34"/>
  <c r="F268" i="34"/>
  <c r="H268" i="34" s="1"/>
  <c r="G268" i="34"/>
  <c r="A269" i="34"/>
  <c r="B269" i="34"/>
  <c r="C269" i="34"/>
  <c r="D269" i="34"/>
  <c r="F269" i="34"/>
  <c r="G269" i="34"/>
  <c r="H269" i="34" s="1"/>
  <c r="A270" i="34"/>
  <c r="B270" i="34"/>
  <c r="C270" i="34"/>
  <c r="D270" i="34"/>
  <c r="F270" i="34"/>
  <c r="G270" i="34"/>
  <c r="H270" i="34"/>
  <c r="A271" i="34"/>
  <c r="B271" i="34"/>
  <c r="C271" i="34"/>
  <c r="D271" i="34"/>
  <c r="F271" i="34"/>
  <c r="H271" i="34" s="1"/>
  <c r="G271" i="34"/>
  <c r="A272" i="34"/>
  <c r="B272" i="34"/>
  <c r="C272" i="34"/>
  <c r="D272" i="34"/>
  <c r="F272" i="34"/>
  <c r="H272" i="34" s="1"/>
  <c r="G272" i="34"/>
  <c r="A273" i="34"/>
  <c r="B273" i="34"/>
  <c r="C273" i="34"/>
  <c r="D273" i="34"/>
  <c r="F273" i="34"/>
  <c r="G273" i="34"/>
  <c r="H273" i="34" s="1"/>
  <c r="A274" i="34"/>
  <c r="B274" i="34"/>
  <c r="C274" i="34"/>
  <c r="D274" i="34"/>
  <c r="F274" i="34"/>
  <c r="G274" i="34"/>
  <c r="H274" i="34"/>
  <c r="A275" i="34"/>
  <c r="B275" i="34"/>
  <c r="C275" i="34"/>
  <c r="D275" i="34"/>
  <c r="F275" i="34"/>
  <c r="H275" i="34" s="1"/>
  <c r="G275" i="34"/>
  <c r="A276" i="34"/>
  <c r="B276" i="34"/>
  <c r="C276" i="34"/>
  <c r="D276" i="34"/>
  <c r="F276" i="34"/>
  <c r="H276" i="34" s="1"/>
  <c r="G276" i="34"/>
  <c r="A277" i="34"/>
  <c r="B277" i="34"/>
  <c r="C277" i="34"/>
  <c r="D277" i="34"/>
  <c r="F277" i="34"/>
  <c r="G277" i="34"/>
  <c r="H277" i="34" s="1"/>
  <c r="A278" i="34"/>
  <c r="B278" i="34"/>
  <c r="C278" i="34"/>
  <c r="D278" i="34"/>
  <c r="F278" i="34"/>
  <c r="G278" i="34"/>
  <c r="H278" i="34"/>
  <c r="A279" i="34"/>
  <c r="B279" i="34"/>
  <c r="C279" i="34"/>
  <c r="D279" i="34"/>
  <c r="F279" i="34"/>
  <c r="H279" i="34" s="1"/>
  <c r="G279" i="34"/>
  <c r="A280" i="34"/>
  <c r="B280" i="34"/>
  <c r="C280" i="34"/>
  <c r="D280" i="34"/>
  <c r="F280" i="34"/>
  <c r="H280" i="34" s="1"/>
  <c r="G280" i="34"/>
  <c r="A281" i="34"/>
  <c r="B281" i="34"/>
  <c r="C281" i="34"/>
  <c r="D281" i="34"/>
  <c r="F281" i="34"/>
  <c r="G281" i="34"/>
  <c r="H281" i="34" s="1"/>
  <c r="A282" i="34"/>
  <c r="B282" i="34"/>
  <c r="C282" i="34"/>
  <c r="D282" i="34"/>
  <c r="F282" i="34"/>
  <c r="G282" i="34"/>
  <c r="H282" i="34"/>
  <c r="A283" i="34"/>
  <c r="B283" i="34"/>
  <c r="C283" i="34"/>
  <c r="D283" i="34"/>
  <c r="F283" i="34"/>
  <c r="G283" i="34"/>
  <c r="A284" i="34"/>
  <c r="B284" i="34"/>
  <c r="C284" i="34"/>
  <c r="D284" i="34"/>
  <c r="F284" i="34"/>
  <c r="H284" i="34" s="1"/>
  <c r="G284" i="34"/>
  <c r="A285" i="34"/>
  <c r="B285" i="34"/>
  <c r="C285" i="34"/>
  <c r="D285" i="34"/>
  <c r="F285" i="34"/>
  <c r="G285" i="34"/>
  <c r="H285" i="34" s="1"/>
  <c r="A286" i="34"/>
  <c r="B286" i="34"/>
  <c r="C286" i="34"/>
  <c r="D286" i="34"/>
  <c r="F286" i="34"/>
  <c r="G286" i="34"/>
  <c r="H286" i="34"/>
  <c r="A287" i="34"/>
  <c r="B287" i="34"/>
  <c r="C287" i="34"/>
  <c r="D287" i="34"/>
  <c r="F287" i="34"/>
  <c r="G287" i="34"/>
  <c r="A288" i="34"/>
  <c r="B288" i="34"/>
  <c r="C288" i="34"/>
  <c r="D288" i="34"/>
  <c r="F288" i="34"/>
  <c r="H288" i="34" s="1"/>
  <c r="G288" i="34"/>
  <c r="A289" i="34"/>
  <c r="B289" i="34"/>
  <c r="C289" i="34"/>
  <c r="D289" i="34"/>
  <c r="F289" i="34"/>
  <c r="G289" i="34"/>
  <c r="H289" i="34" s="1"/>
  <c r="A290" i="34"/>
  <c r="B290" i="34"/>
  <c r="C290" i="34"/>
  <c r="D290" i="34"/>
  <c r="F290" i="34"/>
  <c r="G290" i="34"/>
  <c r="H290" i="34"/>
  <c r="A291" i="34"/>
  <c r="B291" i="34"/>
  <c r="C291" i="34"/>
  <c r="D291" i="34"/>
  <c r="F291" i="34"/>
  <c r="G291" i="34"/>
  <c r="A292" i="34"/>
  <c r="B292" i="34"/>
  <c r="C292" i="34"/>
  <c r="D292" i="34"/>
  <c r="F292" i="34"/>
  <c r="G292" i="34"/>
  <c r="H292" i="34"/>
  <c r="A293" i="34"/>
  <c r="B293" i="34"/>
  <c r="C293" i="34"/>
  <c r="D293" i="34"/>
  <c r="F293" i="34"/>
  <c r="G293" i="34"/>
  <c r="H293" i="34" s="1"/>
  <c r="A294" i="34"/>
  <c r="B294" i="34"/>
  <c r="C294" i="34"/>
  <c r="D294" i="34"/>
  <c r="F294" i="34"/>
  <c r="H294" i="34" s="1"/>
  <c r="G294" i="34"/>
  <c r="A295" i="34"/>
  <c r="B295" i="34"/>
  <c r="C295" i="34"/>
  <c r="D295" i="34"/>
  <c r="F295" i="34"/>
  <c r="H295" i="34" s="1"/>
  <c r="G295" i="34"/>
  <c r="A296" i="34"/>
  <c r="B296" i="34"/>
  <c r="C296" i="34"/>
  <c r="D296" i="34"/>
  <c r="F296" i="34"/>
  <c r="H296" i="34" s="1"/>
  <c r="G296" i="34"/>
  <c r="A297" i="34"/>
  <c r="B297" i="34"/>
  <c r="C297" i="34"/>
  <c r="D297" i="34"/>
  <c r="F297" i="34"/>
  <c r="G297" i="34"/>
  <c r="H297" i="34" s="1"/>
  <c r="A298" i="34"/>
  <c r="B298" i="34"/>
  <c r="C298" i="34"/>
  <c r="D298" i="34"/>
  <c r="F298" i="34"/>
  <c r="G298" i="34"/>
  <c r="H298" i="34"/>
  <c r="A299" i="34"/>
  <c r="B299" i="34"/>
  <c r="C299" i="34"/>
  <c r="D299" i="34"/>
  <c r="F299" i="34"/>
  <c r="G299" i="34"/>
  <c r="A300" i="34"/>
  <c r="B300" i="34"/>
  <c r="C300" i="34"/>
  <c r="D300" i="34"/>
  <c r="F300" i="34"/>
  <c r="G300" i="34"/>
  <c r="H300" i="34"/>
  <c r="A301" i="34"/>
  <c r="B301" i="34"/>
  <c r="C301" i="34"/>
  <c r="D301" i="34"/>
  <c r="F301" i="34"/>
  <c r="G301" i="34"/>
  <c r="H301" i="34" s="1"/>
  <c r="A302" i="34"/>
  <c r="B302" i="34"/>
  <c r="C302" i="34"/>
  <c r="D302" i="34"/>
  <c r="F302" i="34"/>
  <c r="H302" i="34" s="1"/>
  <c r="G302" i="34"/>
  <c r="A303" i="34"/>
  <c r="B303" i="34"/>
  <c r="C303" i="34"/>
  <c r="D303" i="34"/>
  <c r="F303" i="34"/>
  <c r="H303" i="34" s="1"/>
  <c r="G303" i="34"/>
  <c r="A304" i="34"/>
  <c r="B304" i="34"/>
  <c r="C304" i="34"/>
  <c r="D304" i="34"/>
  <c r="F304" i="34"/>
  <c r="H304" i="34" s="1"/>
  <c r="G304" i="34"/>
  <c r="A305" i="34"/>
  <c r="B305" i="34"/>
  <c r="C305" i="34"/>
  <c r="D305" i="34"/>
  <c r="F305" i="34"/>
  <c r="G305" i="34"/>
  <c r="H305" i="34"/>
  <c r="A306" i="34"/>
  <c r="B306" i="34"/>
  <c r="C306" i="34"/>
  <c r="D306" i="34"/>
  <c r="F306" i="34"/>
  <c r="G306" i="34"/>
  <c r="H306" i="34"/>
  <c r="A307" i="34"/>
  <c r="B307" i="34"/>
  <c r="C307" i="34"/>
  <c r="D307" i="34"/>
  <c r="F307" i="34"/>
  <c r="G307" i="34"/>
  <c r="H307" i="34"/>
  <c r="A308" i="34"/>
  <c r="B308" i="34"/>
  <c r="C308" i="34"/>
  <c r="D308" i="34"/>
  <c r="F308" i="34"/>
  <c r="G308" i="34"/>
  <c r="H308" i="34"/>
  <c r="A309" i="34"/>
  <c r="B309" i="34"/>
  <c r="C309" i="34"/>
  <c r="D309" i="34"/>
  <c r="F309" i="34"/>
  <c r="H309" i="34" s="1"/>
  <c r="G309" i="34"/>
  <c r="A310" i="34"/>
  <c r="B310" i="34"/>
  <c r="C310" i="34"/>
  <c r="D310" i="34"/>
  <c r="F310" i="34"/>
  <c r="H310" i="34" s="1"/>
  <c r="G310" i="34"/>
  <c r="A311" i="34"/>
  <c r="B311" i="34"/>
  <c r="C311" i="34"/>
  <c r="D311" i="34"/>
  <c r="F311" i="34"/>
  <c r="G311" i="34"/>
  <c r="H311" i="34"/>
  <c r="A312" i="34"/>
  <c r="B312" i="34"/>
  <c r="C312" i="34"/>
  <c r="D312" i="34"/>
  <c r="F312" i="34"/>
  <c r="G312" i="34"/>
  <c r="H312" i="34"/>
  <c r="A313" i="34"/>
  <c r="B313" i="34"/>
  <c r="C313" i="34"/>
  <c r="D313" i="34"/>
  <c r="F313" i="34"/>
  <c r="H313" i="34" s="1"/>
  <c r="G313" i="34"/>
  <c r="A314" i="34"/>
  <c r="B314" i="34"/>
  <c r="C314" i="34"/>
  <c r="D314" i="34"/>
  <c r="F314" i="34"/>
  <c r="H314" i="34" s="1"/>
  <c r="G314" i="34"/>
  <c r="A315" i="34"/>
  <c r="B315" i="34"/>
  <c r="C315" i="34"/>
  <c r="D315" i="34"/>
  <c r="F315" i="34"/>
  <c r="G315" i="34"/>
  <c r="H315" i="34"/>
  <c r="A316" i="34"/>
  <c r="B316" i="34"/>
  <c r="C316" i="34"/>
  <c r="D316" i="34"/>
  <c r="F316" i="34"/>
  <c r="G316" i="34"/>
  <c r="H316" i="34" s="1"/>
  <c r="A317" i="34"/>
  <c r="B317" i="34"/>
  <c r="C317" i="34"/>
  <c r="D317" i="34"/>
  <c r="F317" i="34"/>
  <c r="H317" i="34" s="1"/>
  <c r="G317" i="34"/>
  <c r="A318" i="34"/>
  <c r="B318" i="34"/>
  <c r="C318" i="34"/>
  <c r="D318" i="34"/>
  <c r="F318" i="34"/>
  <c r="H318" i="34" s="1"/>
  <c r="G318" i="34"/>
  <c r="A319" i="34"/>
  <c r="B319" i="34"/>
  <c r="C319" i="34"/>
  <c r="D319" i="34"/>
  <c r="F319" i="34"/>
  <c r="G319" i="34"/>
  <c r="H319" i="34"/>
  <c r="A320" i="34"/>
  <c r="B320" i="34"/>
  <c r="C320" i="34"/>
  <c r="D320" i="34"/>
  <c r="F320" i="34"/>
  <c r="G320" i="34"/>
  <c r="H320" i="34" s="1"/>
  <c r="A321" i="34"/>
  <c r="B321" i="34"/>
  <c r="C321" i="34"/>
  <c r="D321" i="34"/>
  <c r="F321" i="34"/>
  <c r="H321" i="34" s="1"/>
  <c r="G321" i="34"/>
  <c r="A322" i="34"/>
  <c r="B322" i="34"/>
  <c r="C322" i="34"/>
  <c r="D322" i="34"/>
  <c r="F322" i="34"/>
  <c r="H322" i="34" s="1"/>
  <c r="G322" i="34"/>
  <c r="A323" i="34"/>
  <c r="B323" i="34"/>
  <c r="C323" i="34"/>
  <c r="D323" i="34"/>
  <c r="F323" i="34"/>
  <c r="G323" i="34"/>
  <c r="H323" i="34"/>
  <c r="A324" i="34"/>
  <c r="B324" i="34"/>
  <c r="C324" i="34"/>
  <c r="D324" i="34"/>
  <c r="F324" i="34"/>
  <c r="G324" i="34"/>
  <c r="H324" i="34" s="1"/>
  <c r="A6" i="37"/>
  <c r="B6" i="37"/>
  <c r="C6" i="37"/>
  <c r="D6" i="37"/>
  <c r="E6" i="37"/>
  <c r="F6" i="37" s="1"/>
  <c r="I6" i="37" s="1"/>
  <c r="G6" i="37"/>
  <c r="H6" i="37"/>
  <c r="A7" i="37"/>
  <c r="B7" i="37"/>
  <c r="C7" i="37"/>
  <c r="D7" i="37"/>
  <c r="E7" i="37" s="1"/>
  <c r="F7" i="37" s="1"/>
  <c r="I7" i="37" s="1"/>
  <c r="G7" i="37"/>
  <c r="H7" i="37"/>
  <c r="A8" i="37"/>
  <c r="B8" i="37"/>
  <c r="C8" i="37"/>
  <c r="D8" i="37"/>
  <c r="E8" i="37" s="1"/>
  <c r="G8" i="37"/>
  <c r="H8" i="37" s="1"/>
  <c r="A9" i="37"/>
  <c r="B9" i="37"/>
  <c r="C9" i="37"/>
  <c r="D9" i="37"/>
  <c r="E9" i="37" s="1"/>
  <c r="F9" i="37" s="1"/>
  <c r="I9" i="37" s="1"/>
  <c r="G9" i="37"/>
  <c r="H9" i="37" s="1"/>
  <c r="A10" i="37"/>
  <c r="B10" i="37"/>
  <c r="C10" i="37"/>
  <c r="D10" i="37"/>
  <c r="E10" i="37"/>
  <c r="F10" i="37" s="1"/>
  <c r="G10" i="37"/>
  <c r="H10" i="37" s="1"/>
  <c r="A11" i="37"/>
  <c r="B11" i="37"/>
  <c r="C11" i="37"/>
  <c r="D11" i="37"/>
  <c r="E11" i="37" s="1"/>
  <c r="F11" i="37" s="1"/>
  <c r="I11" i="37" s="1"/>
  <c r="G11" i="37"/>
  <c r="H11" i="37"/>
  <c r="A12" i="37"/>
  <c r="B12" i="37"/>
  <c r="C12" i="37"/>
  <c r="F12" i="37" s="1"/>
  <c r="I12" i="37" s="1"/>
  <c r="D12" i="37"/>
  <c r="E12" i="37" s="1"/>
  <c r="G12" i="37"/>
  <c r="H12" i="37" s="1"/>
  <c r="A13" i="37"/>
  <c r="B13" i="37"/>
  <c r="C13" i="37"/>
  <c r="D13" i="37"/>
  <c r="E13" i="37" s="1"/>
  <c r="F13" i="37" s="1"/>
  <c r="G13" i="37"/>
  <c r="H13" i="37" s="1"/>
  <c r="A14" i="37"/>
  <c r="B14" i="37"/>
  <c r="C14" i="37"/>
  <c r="D14" i="37"/>
  <c r="E14" i="37"/>
  <c r="F14" i="37" s="1"/>
  <c r="I14" i="37" s="1"/>
  <c r="G14" i="37"/>
  <c r="H14" i="37"/>
  <c r="A15" i="37"/>
  <c r="B15" i="37"/>
  <c r="C15" i="37"/>
  <c r="D15" i="37"/>
  <c r="E15" i="37" s="1"/>
  <c r="F15" i="37" s="1"/>
  <c r="I15" i="37" s="1"/>
  <c r="G15" i="37"/>
  <c r="H15" i="37"/>
  <c r="A16" i="37"/>
  <c r="B16" i="37"/>
  <c r="C16" i="37"/>
  <c r="D16" i="37"/>
  <c r="E16" i="37" s="1"/>
  <c r="G16" i="37"/>
  <c r="H16" i="37" s="1"/>
  <c r="A17" i="37"/>
  <c r="B17" i="37"/>
  <c r="C17" i="37"/>
  <c r="D17" i="37"/>
  <c r="E17" i="37" s="1"/>
  <c r="F17" i="37" s="1"/>
  <c r="G17" i="37"/>
  <c r="H17" i="37" s="1"/>
  <c r="A18" i="37"/>
  <c r="B18" i="37"/>
  <c r="C18" i="37"/>
  <c r="D18" i="37"/>
  <c r="E18" i="37"/>
  <c r="F18" i="37" s="1"/>
  <c r="I18" i="37" s="1"/>
  <c r="G18" i="37"/>
  <c r="H18" i="37" s="1"/>
  <c r="A19" i="37"/>
  <c r="B19" i="37"/>
  <c r="C19" i="37"/>
  <c r="D19" i="37"/>
  <c r="E19" i="37" s="1"/>
  <c r="F19" i="37" s="1"/>
  <c r="I19" i="37" s="1"/>
  <c r="G19" i="37"/>
  <c r="H19" i="37"/>
  <c r="A20" i="37"/>
  <c r="B20" i="37"/>
  <c r="C20" i="37"/>
  <c r="D20" i="37"/>
  <c r="E20" i="37" s="1"/>
  <c r="G20" i="37"/>
  <c r="H20" i="37" s="1"/>
  <c r="A21" i="37"/>
  <c r="B21" i="37"/>
  <c r="C21" i="37"/>
  <c r="D21" i="37"/>
  <c r="E21" i="37" s="1"/>
  <c r="F21" i="37" s="1"/>
  <c r="I21" i="37" s="1"/>
  <c r="G21" i="37"/>
  <c r="H21" i="37" s="1"/>
  <c r="A22" i="37"/>
  <c r="B22" i="37"/>
  <c r="C22" i="37"/>
  <c r="D22" i="37"/>
  <c r="E22" i="37"/>
  <c r="F22" i="37" s="1"/>
  <c r="I22" i="37" s="1"/>
  <c r="G22" i="37"/>
  <c r="H22" i="37" s="1"/>
  <c r="A23" i="37"/>
  <c r="B23" i="37"/>
  <c r="C23" i="37"/>
  <c r="D23" i="37"/>
  <c r="E23" i="37" s="1"/>
  <c r="F23" i="37" s="1"/>
  <c r="I23" i="37" s="1"/>
  <c r="G23" i="37"/>
  <c r="H23" i="37"/>
  <c r="A24" i="37"/>
  <c r="B24" i="37"/>
  <c r="C24" i="37"/>
  <c r="F24" i="37" s="1"/>
  <c r="I24" i="37" s="1"/>
  <c r="D24" i="37"/>
  <c r="E24" i="37" s="1"/>
  <c r="G24" i="37"/>
  <c r="H24" i="37" s="1"/>
  <c r="A25" i="37"/>
  <c r="B25" i="37"/>
  <c r="C25" i="37"/>
  <c r="D25" i="37"/>
  <c r="E25" i="37" s="1"/>
  <c r="F25" i="37" s="1"/>
  <c r="I25" i="37" s="1"/>
  <c r="G25" i="37"/>
  <c r="H25" i="37" s="1"/>
  <c r="A26" i="37"/>
  <c r="B26" i="37"/>
  <c r="C26" i="37"/>
  <c r="D26" i="37"/>
  <c r="E26" i="37"/>
  <c r="F26" i="37" s="1"/>
  <c r="I26" i="37" s="1"/>
  <c r="G26" i="37"/>
  <c r="H26" i="37" s="1"/>
  <c r="A27" i="37"/>
  <c r="B27" i="37"/>
  <c r="C27" i="37"/>
  <c r="D27" i="37"/>
  <c r="E27" i="37" s="1"/>
  <c r="F27" i="37" s="1"/>
  <c r="I27" i="37" s="1"/>
  <c r="G27" i="37"/>
  <c r="H27" i="37"/>
  <c r="A28" i="37"/>
  <c r="B28" i="37"/>
  <c r="C28" i="37"/>
  <c r="D28" i="37"/>
  <c r="E28" i="37" s="1"/>
  <c r="G28" i="37"/>
  <c r="H28" i="37" s="1"/>
  <c r="A29" i="37"/>
  <c r="B29" i="37"/>
  <c r="C29" i="37"/>
  <c r="D29" i="37"/>
  <c r="E29" i="37" s="1"/>
  <c r="F29" i="37" s="1"/>
  <c r="I29" i="37" s="1"/>
  <c r="G29" i="37"/>
  <c r="H29" i="37" s="1"/>
  <c r="A30" i="37"/>
  <c r="B30" i="37"/>
  <c r="C30" i="37"/>
  <c r="D30" i="37"/>
  <c r="E30" i="37"/>
  <c r="F30" i="37" s="1"/>
  <c r="I30" i="37" s="1"/>
  <c r="G30" i="37"/>
  <c r="H30" i="37" s="1"/>
  <c r="A31" i="37"/>
  <c r="B31" i="37"/>
  <c r="C31" i="37"/>
  <c r="D31" i="37"/>
  <c r="E31" i="37" s="1"/>
  <c r="F31" i="37" s="1"/>
  <c r="I31" i="37" s="1"/>
  <c r="G31" i="37"/>
  <c r="H31" i="37"/>
  <c r="A32" i="37"/>
  <c r="B32" i="37"/>
  <c r="C32" i="37"/>
  <c r="F32" i="37" s="1"/>
  <c r="I32" i="37" s="1"/>
  <c r="D32" i="37"/>
  <c r="E32" i="37" s="1"/>
  <c r="G32" i="37"/>
  <c r="H32" i="37" s="1"/>
  <c r="A33" i="37"/>
  <c r="B33" i="37"/>
  <c r="C33" i="37"/>
  <c r="D33" i="37"/>
  <c r="E33" i="37"/>
  <c r="F33" i="37"/>
  <c r="I33" i="37" s="1"/>
  <c r="G33" i="37"/>
  <c r="H33" i="37" s="1"/>
  <c r="A34" i="37"/>
  <c r="B34" i="37"/>
  <c r="C34" i="37"/>
  <c r="D34" i="37"/>
  <c r="E34" i="37"/>
  <c r="F34" i="37" s="1"/>
  <c r="I34" i="37" s="1"/>
  <c r="G34" i="37"/>
  <c r="H34" i="37"/>
  <c r="A35" i="37"/>
  <c r="B35" i="37"/>
  <c r="C35" i="37"/>
  <c r="D35" i="37"/>
  <c r="E35" i="37" s="1"/>
  <c r="G35" i="37"/>
  <c r="H35" i="37"/>
  <c r="A36" i="37"/>
  <c r="B36" i="37"/>
  <c r="C36" i="37"/>
  <c r="F36" i="37" s="1"/>
  <c r="I36" i="37" s="1"/>
  <c r="D36" i="37"/>
  <c r="E36" i="37" s="1"/>
  <c r="G36" i="37"/>
  <c r="H36" i="37" s="1"/>
  <c r="A37" i="37"/>
  <c r="B37" i="37"/>
  <c r="C37" i="37"/>
  <c r="D37" i="37"/>
  <c r="E37" i="37"/>
  <c r="F37" i="37"/>
  <c r="I37" i="37" s="1"/>
  <c r="G37" i="37"/>
  <c r="H37" i="37" s="1"/>
  <c r="A38" i="37"/>
  <c r="B38" i="37"/>
  <c r="C38" i="37"/>
  <c r="D38" i="37"/>
  <c r="E38" i="37"/>
  <c r="F38" i="37" s="1"/>
  <c r="I38" i="37" s="1"/>
  <c r="G38" i="37"/>
  <c r="H38" i="37"/>
  <c r="A39" i="37"/>
  <c r="B39" i="37"/>
  <c r="C39" i="37"/>
  <c r="F39" i="37" s="1"/>
  <c r="I39" i="37" s="1"/>
  <c r="D39" i="37"/>
  <c r="E39" i="37" s="1"/>
  <c r="G39" i="37"/>
  <c r="H39" i="37"/>
  <c r="A40" i="37"/>
  <c r="B40" i="37"/>
  <c r="C40" i="37"/>
  <c r="D40" i="37"/>
  <c r="E40" i="37" s="1"/>
  <c r="G40" i="37"/>
  <c r="H40" i="37" s="1"/>
  <c r="A41" i="37"/>
  <c r="B41" i="37"/>
  <c r="C41" i="37"/>
  <c r="D41" i="37"/>
  <c r="E41" i="37"/>
  <c r="F41" i="37"/>
  <c r="G41" i="37"/>
  <c r="H41" i="37" s="1"/>
  <c r="A42" i="37"/>
  <c r="B42" i="37"/>
  <c r="C42" i="37"/>
  <c r="D42" i="37"/>
  <c r="E42" i="37"/>
  <c r="F42" i="37" s="1"/>
  <c r="I42" i="37" s="1"/>
  <c r="G42" i="37"/>
  <c r="H42" i="37"/>
  <c r="A43" i="37"/>
  <c r="B43" i="37"/>
  <c r="C43" i="37"/>
  <c r="F43" i="37" s="1"/>
  <c r="I43" i="37" s="1"/>
  <c r="D43" i="37"/>
  <c r="E43" i="37" s="1"/>
  <c r="G43" i="37"/>
  <c r="H43" i="37"/>
  <c r="A44" i="37"/>
  <c r="B44" i="37"/>
  <c r="C44" i="37"/>
  <c r="D44" i="37"/>
  <c r="E44" i="37" s="1"/>
  <c r="G44" i="37"/>
  <c r="H44" i="37" s="1"/>
  <c r="A45" i="37"/>
  <c r="B45" i="37"/>
  <c r="C45" i="37"/>
  <c r="D45" i="37"/>
  <c r="E45" i="37"/>
  <c r="F45" i="37"/>
  <c r="G45" i="37"/>
  <c r="H45" i="37" s="1"/>
  <c r="A46" i="37"/>
  <c r="B46" i="37"/>
  <c r="C46" i="37"/>
  <c r="D46" i="37"/>
  <c r="E46" i="37"/>
  <c r="F46" i="37" s="1"/>
  <c r="I46" i="37" s="1"/>
  <c r="G46" i="37"/>
  <c r="H46" i="37"/>
  <c r="A47" i="37"/>
  <c r="B47" i="37"/>
  <c r="C47" i="37"/>
  <c r="D47" i="37"/>
  <c r="E47" i="37" s="1"/>
  <c r="G47" i="37"/>
  <c r="H47" i="37"/>
  <c r="A48" i="37"/>
  <c r="B48" i="37"/>
  <c r="C48" i="37"/>
  <c r="F48" i="37" s="1"/>
  <c r="I48" i="37" s="1"/>
  <c r="D48" i="37"/>
  <c r="E48" i="37" s="1"/>
  <c r="G48" i="37"/>
  <c r="H48" i="37" s="1"/>
  <c r="A49" i="37"/>
  <c r="B49" i="37"/>
  <c r="C49" i="37"/>
  <c r="D49" i="37"/>
  <c r="E49" i="37"/>
  <c r="F49" i="37"/>
  <c r="I49" i="37" s="1"/>
  <c r="G49" i="37"/>
  <c r="H49" i="37" s="1"/>
  <c r="A50" i="37"/>
  <c r="B50" i="37"/>
  <c r="C50" i="37"/>
  <c r="D50" i="37"/>
  <c r="E50" i="37"/>
  <c r="F50" i="37" s="1"/>
  <c r="I50" i="37" s="1"/>
  <c r="G50" i="37"/>
  <c r="H50" i="37"/>
  <c r="A51" i="37"/>
  <c r="B51" i="37"/>
  <c r="C51" i="37"/>
  <c r="D51" i="37"/>
  <c r="E51" i="37" s="1"/>
  <c r="G51" i="37"/>
  <c r="H51" i="37"/>
  <c r="A52" i="37"/>
  <c r="B52" i="37"/>
  <c r="C52" i="37"/>
  <c r="F52" i="37" s="1"/>
  <c r="I52" i="37" s="1"/>
  <c r="D52" i="37"/>
  <c r="E52" i="37" s="1"/>
  <c r="G52" i="37"/>
  <c r="H52" i="37" s="1"/>
  <c r="A53" i="37"/>
  <c r="B53" i="37"/>
  <c r="C53" i="37"/>
  <c r="D53" i="37"/>
  <c r="E53" i="37"/>
  <c r="F53" i="37"/>
  <c r="I53" i="37" s="1"/>
  <c r="G53" i="37"/>
  <c r="H53" i="37" s="1"/>
  <c r="A54" i="37"/>
  <c r="B54" i="37"/>
  <c r="C54" i="37"/>
  <c r="D54" i="37"/>
  <c r="E54" i="37"/>
  <c r="F54" i="37" s="1"/>
  <c r="I54" i="37" s="1"/>
  <c r="G54" i="37"/>
  <c r="H54" i="37"/>
  <c r="A55" i="37"/>
  <c r="B55" i="37"/>
  <c r="C55" i="37"/>
  <c r="F55" i="37" s="1"/>
  <c r="I55" i="37" s="1"/>
  <c r="D55" i="37"/>
  <c r="E55" i="37" s="1"/>
  <c r="G55" i="37"/>
  <c r="H55" i="37"/>
  <c r="A56" i="37"/>
  <c r="B56" i="37"/>
  <c r="C56" i="37"/>
  <c r="D56" i="37"/>
  <c r="E56" i="37" s="1"/>
  <c r="G56" i="37"/>
  <c r="H56" i="37" s="1"/>
  <c r="A57" i="37"/>
  <c r="B57" i="37"/>
  <c r="C57" i="37"/>
  <c r="D57" i="37"/>
  <c r="E57" i="37"/>
  <c r="F57" i="37"/>
  <c r="G57" i="37"/>
  <c r="H57" i="37" s="1"/>
  <c r="A58" i="37"/>
  <c r="B58" i="37"/>
  <c r="C58" i="37"/>
  <c r="D58" i="37"/>
  <c r="E58" i="37"/>
  <c r="F58" i="37" s="1"/>
  <c r="I58" i="37" s="1"/>
  <c r="G58" i="37"/>
  <c r="H58" i="37"/>
  <c r="A59" i="37"/>
  <c r="B59" i="37"/>
  <c r="C59" i="37"/>
  <c r="D59" i="37"/>
  <c r="E59" i="37" s="1"/>
  <c r="G59" i="37"/>
  <c r="H59" i="37"/>
  <c r="A60" i="37"/>
  <c r="B60" i="37"/>
  <c r="C60" i="37"/>
  <c r="F60" i="37" s="1"/>
  <c r="I60" i="37" s="1"/>
  <c r="D60" i="37"/>
  <c r="E60" i="37" s="1"/>
  <c r="G60" i="37"/>
  <c r="H60" i="37" s="1"/>
  <c r="A61" i="37"/>
  <c r="B61" i="37"/>
  <c r="C61" i="37"/>
  <c r="D61" i="37"/>
  <c r="E61" i="37"/>
  <c r="F61" i="37"/>
  <c r="I61" i="37" s="1"/>
  <c r="G61" i="37"/>
  <c r="H61" i="37" s="1"/>
  <c r="A62" i="37"/>
  <c r="B62" i="37"/>
  <c r="C62" i="37"/>
  <c r="D62" i="37"/>
  <c r="E62" i="37"/>
  <c r="F62" i="37" s="1"/>
  <c r="G62" i="37"/>
  <c r="H62" i="37"/>
  <c r="I62" i="37"/>
  <c r="A63" i="37"/>
  <c r="B63" i="37"/>
  <c r="C63" i="37"/>
  <c r="F63" i="37" s="1"/>
  <c r="I63" i="37" s="1"/>
  <c r="D63" i="37"/>
  <c r="E63" i="37" s="1"/>
  <c r="G63" i="37"/>
  <c r="H63" i="37"/>
  <c r="A64" i="37"/>
  <c r="B64" i="37"/>
  <c r="C64" i="37"/>
  <c r="D64" i="37"/>
  <c r="E64" i="37" s="1"/>
  <c r="G64" i="37"/>
  <c r="H64" i="37" s="1"/>
  <c r="A65" i="37"/>
  <c r="B65" i="37"/>
  <c r="C65" i="37"/>
  <c r="D65" i="37"/>
  <c r="E65" i="37"/>
  <c r="F65" i="37"/>
  <c r="I65" i="37" s="1"/>
  <c r="G65" i="37"/>
  <c r="H65" i="37" s="1"/>
  <c r="A66" i="37"/>
  <c r="B66" i="37"/>
  <c r="C66" i="37"/>
  <c r="D66" i="37"/>
  <c r="E66" i="37"/>
  <c r="F66" i="37" s="1"/>
  <c r="I66" i="37" s="1"/>
  <c r="G66" i="37"/>
  <c r="H66" i="37"/>
  <c r="A67" i="37"/>
  <c r="B67" i="37"/>
  <c r="C67" i="37"/>
  <c r="F67" i="37" s="1"/>
  <c r="D67" i="37"/>
  <c r="E67" i="37" s="1"/>
  <c r="G67" i="37"/>
  <c r="H67" i="37"/>
  <c r="A68" i="37"/>
  <c r="B68" i="37"/>
  <c r="C68" i="37"/>
  <c r="F68" i="37" s="1"/>
  <c r="I68" i="37" s="1"/>
  <c r="D68" i="37"/>
  <c r="E68" i="37" s="1"/>
  <c r="G68" i="37"/>
  <c r="H68" i="37" s="1"/>
  <c r="A69" i="37"/>
  <c r="B69" i="37"/>
  <c r="C69" i="37"/>
  <c r="D69" i="37"/>
  <c r="E69" i="37"/>
  <c r="F69" i="37"/>
  <c r="I69" i="37" s="1"/>
  <c r="G69" i="37"/>
  <c r="H69" i="37" s="1"/>
  <c r="A70" i="37"/>
  <c r="B70" i="37"/>
  <c r="C70" i="37"/>
  <c r="D70" i="37"/>
  <c r="E70" i="37"/>
  <c r="F70" i="37" s="1"/>
  <c r="G70" i="37"/>
  <c r="H70" i="37"/>
  <c r="I70" i="37"/>
  <c r="A71" i="37"/>
  <c r="B71" i="37"/>
  <c r="C71" i="37"/>
  <c r="F71" i="37" s="1"/>
  <c r="I71" i="37" s="1"/>
  <c r="D71" i="37"/>
  <c r="E71" i="37" s="1"/>
  <c r="G71" i="37"/>
  <c r="H71" i="37"/>
  <c r="A72" i="37"/>
  <c r="B72" i="37"/>
  <c r="C72" i="37"/>
  <c r="D72" i="37"/>
  <c r="E72" i="37" s="1"/>
  <c r="G72" i="37"/>
  <c r="H72" i="37" s="1"/>
  <c r="A73" i="37"/>
  <c r="B73" i="37"/>
  <c r="C73" i="37"/>
  <c r="F73" i="37" s="1"/>
  <c r="I73" i="37" s="1"/>
  <c r="D73" i="37"/>
  <c r="E73" i="37"/>
  <c r="G73" i="37"/>
  <c r="H73" i="37" s="1"/>
  <c r="A74" i="37"/>
  <c r="B74" i="37"/>
  <c r="C74" i="37"/>
  <c r="D74" i="37"/>
  <c r="E74" i="37"/>
  <c r="F74" i="37" s="1"/>
  <c r="I74" i="37" s="1"/>
  <c r="G74" i="37"/>
  <c r="H74" i="37"/>
  <c r="A75" i="37"/>
  <c r="B75" i="37"/>
  <c r="C75" i="37"/>
  <c r="D75" i="37"/>
  <c r="E75" i="37" s="1"/>
  <c r="G75" i="37"/>
  <c r="H75" i="37"/>
  <c r="A76" i="37"/>
  <c r="B76" i="37"/>
  <c r="C76" i="37"/>
  <c r="F76" i="37" s="1"/>
  <c r="D76" i="37"/>
  <c r="E76" i="37" s="1"/>
  <c r="G76" i="37"/>
  <c r="H76" i="37" s="1"/>
  <c r="A77" i="37"/>
  <c r="B77" i="37"/>
  <c r="C77" i="37"/>
  <c r="D77" i="37"/>
  <c r="E77" i="37"/>
  <c r="F77" i="37"/>
  <c r="I77" i="37" s="1"/>
  <c r="G77" i="37"/>
  <c r="H77" i="37" s="1"/>
  <c r="A78" i="37"/>
  <c r="B78" i="37"/>
  <c r="C78" i="37"/>
  <c r="D78" i="37"/>
  <c r="E78" i="37"/>
  <c r="F78" i="37"/>
  <c r="I78" i="37" s="1"/>
  <c r="G78" i="37"/>
  <c r="H78" i="37"/>
  <c r="A79" i="37"/>
  <c r="B79" i="37"/>
  <c r="C79" i="37"/>
  <c r="D79" i="37"/>
  <c r="E79" i="37"/>
  <c r="G79" i="37"/>
  <c r="H79" i="37"/>
  <c r="A80" i="37"/>
  <c r="B80" i="37"/>
  <c r="C80" i="37"/>
  <c r="D80" i="37"/>
  <c r="E80" i="37" s="1"/>
  <c r="G80" i="37"/>
  <c r="H80" i="37" s="1"/>
  <c r="A81" i="37"/>
  <c r="B81" i="37"/>
  <c r="C81" i="37"/>
  <c r="F81" i="37" s="1"/>
  <c r="I81" i="37" s="1"/>
  <c r="D81" i="37"/>
  <c r="E81" i="37"/>
  <c r="G81" i="37"/>
  <c r="H81" i="37" s="1"/>
  <c r="A82" i="37"/>
  <c r="B82" i="37"/>
  <c r="C82" i="37"/>
  <c r="D82" i="37"/>
  <c r="E82" i="37"/>
  <c r="F82" i="37" s="1"/>
  <c r="I82" i="37" s="1"/>
  <c r="G82" i="37"/>
  <c r="H82" i="37"/>
  <c r="A83" i="37"/>
  <c r="B83" i="37"/>
  <c r="C83" i="37"/>
  <c r="D83" i="37"/>
  <c r="E83" i="37" s="1"/>
  <c r="G83" i="37"/>
  <c r="H83" i="37"/>
  <c r="A84" i="37"/>
  <c r="B84" i="37"/>
  <c r="C84" i="37"/>
  <c r="F84" i="37" s="1"/>
  <c r="D84" i="37"/>
  <c r="E84" i="37" s="1"/>
  <c r="G84" i="37"/>
  <c r="H84" i="37" s="1"/>
  <c r="A85" i="37"/>
  <c r="B85" i="37"/>
  <c r="C85" i="37"/>
  <c r="D85" i="37"/>
  <c r="E85" i="37"/>
  <c r="F85" i="37"/>
  <c r="I85" i="37" s="1"/>
  <c r="G85" i="37"/>
  <c r="H85" i="37" s="1"/>
  <c r="A86" i="37"/>
  <c r="B86" i="37"/>
  <c r="C86" i="37"/>
  <c r="D86" i="37"/>
  <c r="E86" i="37"/>
  <c r="F86" i="37"/>
  <c r="I86" i="37" s="1"/>
  <c r="G86" i="37"/>
  <c r="H86" i="37"/>
  <c r="A87" i="37"/>
  <c r="B87" i="37"/>
  <c r="C87" i="37"/>
  <c r="D87" i="37"/>
  <c r="E87" i="37"/>
  <c r="G87" i="37"/>
  <c r="H87" i="37"/>
  <c r="A88" i="37"/>
  <c r="B88" i="37"/>
  <c r="C88" i="37"/>
  <c r="D88" i="37"/>
  <c r="E88" i="37" s="1"/>
  <c r="F88" i="37"/>
  <c r="G88" i="37"/>
  <c r="H88" i="37" s="1"/>
  <c r="A89" i="37"/>
  <c r="B89" i="37"/>
  <c r="C89" i="37"/>
  <c r="D89" i="37"/>
  <c r="E89" i="37"/>
  <c r="F89" i="37"/>
  <c r="I89" i="37" s="1"/>
  <c r="G89" i="37"/>
  <c r="H89" i="37" s="1"/>
  <c r="A90" i="37"/>
  <c r="B90" i="37"/>
  <c r="C90" i="37"/>
  <c r="D90" i="37"/>
  <c r="E90" i="37" s="1"/>
  <c r="F90" i="37" s="1"/>
  <c r="I90" i="37" s="1"/>
  <c r="G90" i="37"/>
  <c r="H90" i="37"/>
  <c r="A91" i="37"/>
  <c r="B91" i="37"/>
  <c r="C91" i="37"/>
  <c r="D91" i="37"/>
  <c r="E91" i="37"/>
  <c r="G91" i="37"/>
  <c r="H91" i="37" s="1"/>
  <c r="A92" i="37"/>
  <c r="B92" i="37"/>
  <c r="C92" i="37"/>
  <c r="D92" i="37"/>
  <c r="E92" i="37"/>
  <c r="F92" i="37" s="1"/>
  <c r="G92" i="37"/>
  <c r="H92" i="37" s="1"/>
  <c r="A93" i="37"/>
  <c r="B93" i="37"/>
  <c r="C93" i="37"/>
  <c r="D93" i="37"/>
  <c r="E93" i="37" s="1"/>
  <c r="F93" i="37" s="1"/>
  <c r="I93" i="37" s="1"/>
  <c r="G93" i="37"/>
  <c r="H93" i="37"/>
  <c r="A94" i="37"/>
  <c r="B94" i="37"/>
  <c r="C94" i="37"/>
  <c r="D94" i="37"/>
  <c r="E94" i="37" s="1"/>
  <c r="G94" i="37"/>
  <c r="H94" i="37" s="1"/>
  <c r="A95" i="37"/>
  <c r="B95" i="37"/>
  <c r="C95" i="37"/>
  <c r="D95" i="37"/>
  <c r="E95" i="37" s="1"/>
  <c r="F95" i="37" s="1"/>
  <c r="G95" i="37"/>
  <c r="H95" i="37" s="1"/>
  <c r="A96" i="37"/>
  <c r="B96" i="37"/>
  <c r="C96" i="37"/>
  <c r="D96" i="37"/>
  <c r="E96" i="37"/>
  <c r="F96" i="37" s="1"/>
  <c r="G96" i="37"/>
  <c r="H96" i="37" s="1"/>
  <c r="A97" i="37"/>
  <c r="B97" i="37"/>
  <c r="C97" i="37"/>
  <c r="D97" i="37"/>
  <c r="E97" i="37" s="1"/>
  <c r="F97" i="37" s="1"/>
  <c r="I97" i="37" s="1"/>
  <c r="G97" i="37"/>
  <c r="H97" i="37"/>
  <c r="A98" i="37"/>
  <c r="B98" i="37"/>
  <c r="C98" i="37"/>
  <c r="D98" i="37"/>
  <c r="E98" i="37" s="1"/>
  <c r="G98" i="37"/>
  <c r="H98" i="37" s="1"/>
  <c r="A99" i="37"/>
  <c r="B99" i="37"/>
  <c r="C99" i="37"/>
  <c r="D99" i="37"/>
  <c r="E99" i="37" s="1"/>
  <c r="F99" i="37" s="1"/>
  <c r="G99" i="37"/>
  <c r="H99" i="37" s="1"/>
  <c r="A100" i="37"/>
  <c r="B100" i="37"/>
  <c r="C100" i="37"/>
  <c r="D100" i="37"/>
  <c r="E100" i="37"/>
  <c r="F100" i="37" s="1"/>
  <c r="G100" i="37"/>
  <c r="H100" i="37" s="1"/>
  <c r="A101" i="37"/>
  <c r="B101" i="37"/>
  <c r="C101" i="37"/>
  <c r="D101" i="37"/>
  <c r="E101" i="37" s="1"/>
  <c r="F101" i="37" s="1"/>
  <c r="I101" i="37" s="1"/>
  <c r="G101" i="37"/>
  <c r="H101" i="37"/>
  <c r="A102" i="37"/>
  <c r="B102" i="37"/>
  <c r="C102" i="37"/>
  <c r="D102" i="37"/>
  <c r="E102" i="37" s="1"/>
  <c r="G102" i="37"/>
  <c r="H102" i="37" s="1"/>
  <c r="A103" i="37"/>
  <c r="B103" i="37"/>
  <c r="C103" i="37"/>
  <c r="D103" i="37"/>
  <c r="E103" i="37"/>
  <c r="F103" i="37"/>
  <c r="G103" i="37"/>
  <c r="H103" i="37" s="1"/>
  <c r="A104" i="37"/>
  <c r="B104" i="37"/>
  <c r="C104" i="37"/>
  <c r="D104" i="37"/>
  <c r="E104" i="37"/>
  <c r="F104" i="37" s="1"/>
  <c r="I104" i="37" s="1"/>
  <c r="G104" i="37"/>
  <c r="H104" i="37"/>
  <c r="A105" i="37"/>
  <c r="B105" i="37"/>
  <c r="C105" i="37"/>
  <c r="F105" i="37" s="1"/>
  <c r="I105" i="37" s="1"/>
  <c r="D105" i="37"/>
  <c r="E105" i="37" s="1"/>
  <c r="G105" i="37"/>
  <c r="H105" i="37"/>
  <c r="A106" i="37"/>
  <c r="B106" i="37"/>
  <c r="C106" i="37"/>
  <c r="F106" i="37" s="1"/>
  <c r="I106" i="37" s="1"/>
  <c r="D106" i="37"/>
  <c r="E106" i="37" s="1"/>
  <c r="G106" i="37"/>
  <c r="H106" i="37" s="1"/>
  <c r="A107" i="37"/>
  <c r="B107" i="37"/>
  <c r="C107" i="37"/>
  <c r="D107" i="37"/>
  <c r="E107" i="37"/>
  <c r="F107" i="37"/>
  <c r="I107" i="37" s="1"/>
  <c r="G107" i="37"/>
  <c r="H107" i="37" s="1"/>
  <c r="A108" i="37"/>
  <c r="B108" i="37"/>
  <c r="C108" i="37"/>
  <c r="D108" i="37"/>
  <c r="E108" i="37"/>
  <c r="F108" i="37" s="1"/>
  <c r="I108" i="37" s="1"/>
  <c r="G108" i="37"/>
  <c r="H108" i="37"/>
  <c r="A109" i="37"/>
  <c r="B109" i="37"/>
  <c r="C109" i="37"/>
  <c r="D109" i="37"/>
  <c r="E109" i="37" s="1"/>
  <c r="G109" i="37"/>
  <c r="H109" i="37"/>
  <c r="A110" i="37"/>
  <c r="B110" i="37"/>
  <c r="C110" i="37"/>
  <c r="D110" i="37"/>
  <c r="E110" i="37" s="1"/>
  <c r="G110" i="37"/>
  <c r="H110" i="37" s="1"/>
  <c r="A111" i="37"/>
  <c r="B111" i="37"/>
  <c r="C111" i="37"/>
  <c r="D111" i="37"/>
  <c r="E111" i="37"/>
  <c r="F111" i="37"/>
  <c r="G111" i="37"/>
  <c r="H111" i="37" s="1"/>
  <c r="A112" i="37"/>
  <c r="B112" i="37"/>
  <c r="C112" i="37"/>
  <c r="D112" i="37"/>
  <c r="E112" i="37"/>
  <c r="F112" i="37" s="1"/>
  <c r="I112" i="37" s="1"/>
  <c r="G112" i="37"/>
  <c r="H112" i="37"/>
  <c r="A113" i="37"/>
  <c r="B113" i="37"/>
  <c r="C113" i="37"/>
  <c r="F113" i="37" s="1"/>
  <c r="I113" i="37" s="1"/>
  <c r="D113" i="37"/>
  <c r="E113" i="37" s="1"/>
  <c r="G113" i="37"/>
  <c r="H113" i="37"/>
  <c r="A114" i="37"/>
  <c r="B114" i="37"/>
  <c r="C114" i="37"/>
  <c r="F114" i="37" s="1"/>
  <c r="D114" i="37"/>
  <c r="E114" i="37" s="1"/>
  <c r="G114" i="37"/>
  <c r="H114" i="37" s="1"/>
  <c r="A115" i="37"/>
  <c r="B115" i="37"/>
  <c r="C115" i="37"/>
  <c r="D115" i="37"/>
  <c r="E115" i="37"/>
  <c r="F115" i="37"/>
  <c r="I115" i="37" s="1"/>
  <c r="G115" i="37"/>
  <c r="H115" i="37" s="1"/>
  <c r="A116" i="37"/>
  <c r="B116" i="37"/>
  <c r="C116" i="37"/>
  <c r="D116" i="37"/>
  <c r="E116" i="37"/>
  <c r="F116" i="37" s="1"/>
  <c r="I116" i="37" s="1"/>
  <c r="G116" i="37"/>
  <c r="H116" i="37"/>
  <c r="A117" i="37"/>
  <c r="B117" i="37"/>
  <c r="C117" i="37"/>
  <c r="D117" i="37"/>
  <c r="E117" i="37" s="1"/>
  <c r="G117" i="37"/>
  <c r="H117" i="37"/>
  <c r="A118" i="37"/>
  <c r="B118" i="37"/>
  <c r="C118" i="37"/>
  <c r="D118" i="37"/>
  <c r="E118" i="37" s="1"/>
  <c r="G118" i="37"/>
  <c r="H118" i="37" s="1"/>
  <c r="A119" i="37"/>
  <c r="B119" i="37"/>
  <c r="C119" i="37"/>
  <c r="D119" i="37"/>
  <c r="E119" i="37"/>
  <c r="F119" i="37"/>
  <c r="G119" i="37"/>
  <c r="H119" i="37" s="1"/>
  <c r="A120" i="37"/>
  <c r="B120" i="37"/>
  <c r="C120" i="37"/>
  <c r="D120" i="37"/>
  <c r="E120" i="37"/>
  <c r="F120" i="37" s="1"/>
  <c r="I120" i="37" s="1"/>
  <c r="G120" i="37"/>
  <c r="H120" i="37"/>
  <c r="A121" i="37"/>
  <c r="B121" i="37"/>
  <c r="C121" i="37"/>
  <c r="F121" i="37" s="1"/>
  <c r="I121" i="37" s="1"/>
  <c r="D121" i="37"/>
  <c r="E121" i="37" s="1"/>
  <c r="G121" i="37"/>
  <c r="H121" i="37"/>
  <c r="A122" i="37"/>
  <c r="B122" i="37"/>
  <c r="C122" i="37"/>
  <c r="F122" i="37" s="1"/>
  <c r="I122" i="37" s="1"/>
  <c r="D122" i="37"/>
  <c r="E122" i="37" s="1"/>
  <c r="G122" i="37"/>
  <c r="H122" i="37" s="1"/>
  <c r="A123" i="37"/>
  <c r="B123" i="37"/>
  <c r="C123" i="37"/>
  <c r="D123" i="37"/>
  <c r="E123" i="37"/>
  <c r="F123" i="37"/>
  <c r="I123" i="37" s="1"/>
  <c r="G123" i="37"/>
  <c r="H123" i="37" s="1"/>
  <c r="A124" i="37"/>
  <c r="B124" i="37"/>
  <c r="C124" i="37"/>
  <c r="D124" i="37"/>
  <c r="E124" i="37"/>
  <c r="F124" i="37" s="1"/>
  <c r="I124" i="37" s="1"/>
  <c r="G124" i="37"/>
  <c r="H124" i="37"/>
  <c r="A125" i="37"/>
  <c r="B125" i="37"/>
  <c r="C125" i="37"/>
  <c r="D125" i="37"/>
  <c r="E125" i="37" s="1"/>
  <c r="G125" i="37"/>
  <c r="H125" i="37"/>
  <c r="A126" i="37"/>
  <c r="B126" i="37"/>
  <c r="C126" i="37"/>
  <c r="D126" i="37"/>
  <c r="E126" i="37" s="1"/>
  <c r="G126" i="37"/>
  <c r="H126" i="37" s="1"/>
  <c r="A127" i="37"/>
  <c r="B127" i="37"/>
  <c r="C127" i="37"/>
  <c r="D127" i="37"/>
  <c r="E127" i="37"/>
  <c r="F127" i="37"/>
  <c r="G127" i="37"/>
  <c r="H127" i="37" s="1"/>
  <c r="A128" i="37"/>
  <c r="B128" i="37"/>
  <c r="C128" i="37"/>
  <c r="D128" i="37"/>
  <c r="E128" i="37"/>
  <c r="F128" i="37" s="1"/>
  <c r="I128" i="37" s="1"/>
  <c r="G128" i="37"/>
  <c r="H128" i="37"/>
  <c r="A129" i="37"/>
  <c r="B129" i="37"/>
  <c r="C129" i="37"/>
  <c r="F129" i="37" s="1"/>
  <c r="I129" i="37" s="1"/>
  <c r="D129" i="37"/>
  <c r="E129" i="37" s="1"/>
  <c r="G129" i="37"/>
  <c r="H129" i="37"/>
  <c r="A130" i="37"/>
  <c r="B130" i="37"/>
  <c r="C130" i="37"/>
  <c r="F130" i="37" s="1"/>
  <c r="I130" i="37" s="1"/>
  <c r="D130" i="37"/>
  <c r="E130" i="37" s="1"/>
  <c r="G130" i="37"/>
  <c r="H130" i="37" s="1"/>
  <c r="A131" i="37"/>
  <c r="B131" i="37"/>
  <c r="C131" i="37"/>
  <c r="D131" i="37"/>
  <c r="E131" i="37"/>
  <c r="F131" i="37"/>
  <c r="I131" i="37" s="1"/>
  <c r="G131" i="37"/>
  <c r="H131" i="37" s="1"/>
  <c r="A132" i="37"/>
  <c r="B132" i="37"/>
  <c r="C132" i="37"/>
  <c r="D132" i="37"/>
  <c r="E132" i="37"/>
  <c r="F132" i="37" s="1"/>
  <c r="I132" i="37" s="1"/>
  <c r="G132" i="37"/>
  <c r="H132" i="37"/>
  <c r="A133" i="37"/>
  <c r="B133" i="37"/>
  <c r="C133" i="37"/>
  <c r="D133" i="37"/>
  <c r="E133" i="37" s="1"/>
  <c r="G133" i="37"/>
  <c r="H133" i="37"/>
  <c r="A134" i="37"/>
  <c r="B134" i="37"/>
  <c r="C134" i="37"/>
  <c r="D134" i="37"/>
  <c r="E134" i="37" s="1"/>
  <c r="G134" i="37"/>
  <c r="H134" i="37" s="1"/>
  <c r="A135" i="37"/>
  <c r="B135" i="37"/>
  <c r="C135" i="37"/>
  <c r="D135" i="37"/>
  <c r="E135" i="37"/>
  <c r="F135" i="37"/>
  <c r="G135" i="37"/>
  <c r="H135" i="37" s="1"/>
  <c r="A136" i="37"/>
  <c r="B136" i="37"/>
  <c r="C136" i="37"/>
  <c r="D136" i="37"/>
  <c r="E136" i="37"/>
  <c r="F136" i="37" s="1"/>
  <c r="I136" i="37" s="1"/>
  <c r="G136" i="37"/>
  <c r="H136" i="37"/>
  <c r="A137" i="37"/>
  <c r="B137" i="37"/>
  <c r="C137" i="37"/>
  <c r="F137" i="37" s="1"/>
  <c r="I137" i="37" s="1"/>
  <c r="D137" i="37"/>
  <c r="E137" i="37" s="1"/>
  <c r="G137" i="37"/>
  <c r="H137" i="37"/>
  <c r="A138" i="37"/>
  <c r="B138" i="37"/>
  <c r="C138" i="37"/>
  <c r="F138" i="37" s="1"/>
  <c r="I138" i="37" s="1"/>
  <c r="D138" i="37"/>
  <c r="E138" i="37" s="1"/>
  <c r="G138" i="37"/>
  <c r="H138" i="37" s="1"/>
  <c r="A139" i="37"/>
  <c r="B139" i="37"/>
  <c r="C139" i="37"/>
  <c r="D139" i="37"/>
  <c r="E139" i="37"/>
  <c r="F139" i="37"/>
  <c r="I139" i="37" s="1"/>
  <c r="G139" i="37"/>
  <c r="H139" i="37" s="1"/>
  <c r="A140" i="37"/>
  <c r="B140" i="37"/>
  <c r="C140" i="37"/>
  <c r="D140" i="37"/>
  <c r="E140" i="37"/>
  <c r="F140" i="37" s="1"/>
  <c r="I140" i="37" s="1"/>
  <c r="G140" i="37"/>
  <c r="H140" i="37"/>
  <c r="A141" i="37"/>
  <c r="B141" i="37"/>
  <c r="C141" i="37"/>
  <c r="D141" i="37"/>
  <c r="E141" i="37" s="1"/>
  <c r="G141" i="37"/>
  <c r="H141" i="37"/>
  <c r="A142" i="37"/>
  <c r="B142" i="37"/>
  <c r="C142" i="37"/>
  <c r="D142" i="37"/>
  <c r="E142" i="37" s="1"/>
  <c r="G142" i="37"/>
  <c r="H142" i="37" s="1"/>
  <c r="A143" i="37"/>
  <c r="B143" i="37"/>
  <c r="C143" i="37"/>
  <c r="D143" i="37"/>
  <c r="E143" i="37"/>
  <c r="F143" i="37"/>
  <c r="G143" i="37"/>
  <c r="H143" i="37" s="1"/>
  <c r="A144" i="37"/>
  <c r="B144" i="37"/>
  <c r="C144" i="37"/>
  <c r="D144" i="37"/>
  <c r="E144" i="37"/>
  <c r="F144" i="37" s="1"/>
  <c r="I144" i="37" s="1"/>
  <c r="G144" i="37"/>
  <c r="H144" i="37"/>
  <c r="A145" i="37"/>
  <c r="B145" i="37"/>
  <c r="C145" i="37"/>
  <c r="F145" i="37" s="1"/>
  <c r="I145" i="37" s="1"/>
  <c r="D145" i="37"/>
  <c r="E145" i="37" s="1"/>
  <c r="G145" i="37"/>
  <c r="H145" i="37"/>
  <c r="A146" i="37"/>
  <c r="B146" i="37"/>
  <c r="C146" i="37"/>
  <c r="F146" i="37" s="1"/>
  <c r="D146" i="37"/>
  <c r="E146" i="37" s="1"/>
  <c r="G146" i="37"/>
  <c r="H146" i="37" s="1"/>
  <c r="A147" i="37"/>
  <c r="B147" i="37"/>
  <c r="C147" i="37"/>
  <c r="D147" i="37"/>
  <c r="E147" i="37"/>
  <c r="F147" i="37"/>
  <c r="I147" i="37" s="1"/>
  <c r="G147" i="37"/>
  <c r="H147" i="37" s="1"/>
  <c r="A148" i="37"/>
  <c r="B148" i="37"/>
  <c r="C148" i="37"/>
  <c r="D148" i="37"/>
  <c r="E148" i="37"/>
  <c r="F148" i="37" s="1"/>
  <c r="I148" i="37" s="1"/>
  <c r="G148" i="37"/>
  <c r="H148" i="37"/>
  <c r="A149" i="37"/>
  <c r="B149" i="37"/>
  <c r="C149" i="37"/>
  <c r="D149" i="37"/>
  <c r="E149" i="37" s="1"/>
  <c r="G149" i="37"/>
  <c r="H149" i="37"/>
  <c r="A150" i="37"/>
  <c r="B150" i="37"/>
  <c r="C150" i="37"/>
  <c r="D150" i="37"/>
  <c r="E150" i="37" s="1"/>
  <c r="G150" i="37"/>
  <c r="H150" i="37" s="1"/>
  <c r="A151" i="37"/>
  <c r="B151" i="37"/>
  <c r="C151" i="37"/>
  <c r="D151" i="37"/>
  <c r="E151" i="37"/>
  <c r="F151" i="37"/>
  <c r="G151" i="37"/>
  <c r="H151" i="37" s="1"/>
  <c r="A152" i="37"/>
  <c r="B152" i="37"/>
  <c r="C152" i="37"/>
  <c r="D152" i="37"/>
  <c r="E152" i="37"/>
  <c r="F152" i="37" s="1"/>
  <c r="I152" i="37" s="1"/>
  <c r="G152" i="37"/>
  <c r="H152" i="37"/>
  <c r="A153" i="37"/>
  <c r="B153" i="37"/>
  <c r="C153" i="37"/>
  <c r="F153" i="37" s="1"/>
  <c r="I153" i="37" s="1"/>
  <c r="D153" i="37"/>
  <c r="E153" i="37" s="1"/>
  <c r="G153" i="37"/>
  <c r="H153" i="37"/>
  <c r="A154" i="37"/>
  <c r="B154" i="37"/>
  <c r="C154" i="37"/>
  <c r="D154" i="37"/>
  <c r="E154" i="37" s="1"/>
  <c r="G154" i="37"/>
  <c r="H154" i="37" s="1"/>
  <c r="A155" i="37"/>
  <c r="B155" i="37"/>
  <c r="C155" i="37"/>
  <c r="D155" i="37"/>
  <c r="E155" i="37"/>
  <c r="F155" i="37"/>
  <c r="I155" i="37" s="1"/>
  <c r="G155" i="37"/>
  <c r="H155" i="37" s="1"/>
  <c r="A156" i="37"/>
  <c r="B156" i="37"/>
  <c r="C156" i="37"/>
  <c r="D156" i="37"/>
  <c r="E156" i="37"/>
  <c r="F156" i="37" s="1"/>
  <c r="I156" i="37" s="1"/>
  <c r="G156" i="37"/>
  <c r="H156" i="37"/>
  <c r="A157" i="37"/>
  <c r="B157" i="37"/>
  <c r="C157" i="37"/>
  <c r="F157" i="37" s="1"/>
  <c r="I157" i="37" s="1"/>
  <c r="D157" i="37"/>
  <c r="E157" i="37" s="1"/>
  <c r="G157" i="37"/>
  <c r="H157" i="37"/>
  <c r="A158" i="37"/>
  <c r="B158" i="37"/>
  <c r="C158" i="37"/>
  <c r="D158" i="37"/>
  <c r="E158" i="37" s="1"/>
  <c r="G158" i="37"/>
  <c r="H158" i="37" s="1"/>
  <c r="A159" i="37"/>
  <c r="B159" i="37"/>
  <c r="C159" i="37"/>
  <c r="D159" i="37"/>
  <c r="E159" i="37"/>
  <c r="F159" i="37"/>
  <c r="I159" i="37" s="1"/>
  <c r="G159" i="37"/>
  <c r="H159" i="37" s="1"/>
  <c r="A160" i="37"/>
  <c r="B160" i="37"/>
  <c r="C160" i="37"/>
  <c r="D160" i="37"/>
  <c r="E160" i="37"/>
  <c r="F160" i="37" s="1"/>
  <c r="I160" i="37" s="1"/>
  <c r="G160" i="37"/>
  <c r="H160" i="37"/>
  <c r="A161" i="37"/>
  <c r="B161" i="37"/>
  <c r="C161" i="37"/>
  <c r="F161" i="37" s="1"/>
  <c r="I161" i="37" s="1"/>
  <c r="D161" i="37"/>
  <c r="E161" i="37" s="1"/>
  <c r="G161" i="37"/>
  <c r="H161" i="37"/>
  <c r="A162" i="37"/>
  <c r="B162" i="37"/>
  <c r="C162" i="37"/>
  <c r="F162" i="37" s="1"/>
  <c r="I162" i="37" s="1"/>
  <c r="D162" i="37"/>
  <c r="E162" i="37" s="1"/>
  <c r="G162" i="37"/>
  <c r="H162" i="37" s="1"/>
  <c r="A163" i="37"/>
  <c r="B163" i="37"/>
  <c r="C163" i="37"/>
  <c r="D163" i="37"/>
  <c r="E163" i="37"/>
  <c r="F163" i="37"/>
  <c r="I163" i="37" s="1"/>
  <c r="G163" i="37"/>
  <c r="H163" i="37" s="1"/>
  <c r="A164" i="37"/>
  <c r="B164" i="37"/>
  <c r="C164" i="37"/>
  <c r="D164" i="37"/>
  <c r="E164" i="37"/>
  <c r="F164" i="37" s="1"/>
  <c r="I164" i="37" s="1"/>
  <c r="G164" i="37"/>
  <c r="H164" i="37"/>
  <c r="A165" i="37"/>
  <c r="B165" i="37"/>
  <c r="C165" i="37"/>
  <c r="F165" i="37" s="1"/>
  <c r="I165" i="37" s="1"/>
  <c r="D165" i="37"/>
  <c r="E165" i="37" s="1"/>
  <c r="G165" i="37"/>
  <c r="H165" i="37"/>
  <c r="A166" i="37"/>
  <c r="B166" i="37"/>
  <c r="C166" i="37"/>
  <c r="D166" i="37"/>
  <c r="E166" i="37" s="1"/>
  <c r="G166" i="37"/>
  <c r="H166" i="37" s="1"/>
  <c r="A167" i="37"/>
  <c r="B167" i="37"/>
  <c r="C167" i="37"/>
  <c r="D167" i="37"/>
  <c r="E167" i="37"/>
  <c r="F167" i="37"/>
  <c r="I167" i="37" s="1"/>
  <c r="G167" i="37"/>
  <c r="H167" i="37" s="1"/>
  <c r="A168" i="37"/>
  <c r="B168" i="37"/>
  <c r="C168" i="37"/>
  <c r="D168" i="37"/>
  <c r="E168" i="37"/>
  <c r="F168" i="37" s="1"/>
  <c r="I168" i="37" s="1"/>
  <c r="G168" i="37"/>
  <c r="H168" i="37"/>
  <c r="A169" i="37"/>
  <c r="B169" i="37"/>
  <c r="C169" i="37"/>
  <c r="F169" i="37" s="1"/>
  <c r="I169" i="37" s="1"/>
  <c r="D169" i="37"/>
  <c r="E169" i="37" s="1"/>
  <c r="G169" i="37"/>
  <c r="H169" i="37"/>
  <c r="A170" i="37"/>
  <c r="B170" i="37"/>
  <c r="C170" i="37"/>
  <c r="F170" i="37" s="1"/>
  <c r="D170" i="37"/>
  <c r="E170" i="37" s="1"/>
  <c r="G170" i="37"/>
  <c r="H170" i="37" s="1"/>
  <c r="A171" i="37"/>
  <c r="B171" i="37"/>
  <c r="C171" i="37"/>
  <c r="F171" i="37" s="1"/>
  <c r="I171" i="37" s="1"/>
  <c r="D171" i="37"/>
  <c r="E171" i="37"/>
  <c r="G171" i="37"/>
  <c r="H171" i="37" s="1"/>
  <c r="A172" i="37"/>
  <c r="B172" i="37"/>
  <c r="C172" i="37"/>
  <c r="D172" i="37"/>
  <c r="E172" i="37"/>
  <c r="F172" i="37" s="1"/>
  <c r="I172" i="37" s="1"/>
  <c r="G172" i="37"/>
  <c r="H172" i="37"/>
  <c r="A173" i="37"/>
  <c r="B173" i="37"/>
  <c r="C173" i="37"/>
  <c r="D173" i="37"/>
  <c r="E173" i="37" s="1"/>
  <c r="G173" i="37"/>
  <c r="H173" i="37" s="1"/>
  <c r="A174" i="37"/>
  <c r="B174" i="37"/>
  <c r="C174" i="37"/>
  <c r="D174" i="37"/>
  <c r="E174" i="37" s="1"/>
  <c r="F174" i="37" s="1"/>
  <c r="I174" i="37" s="1"/>
  <c r="G174" i="37"/>
  <c r="H174" i="37" s="1"/>
  <c r="A175" i="37"/>
  <c r="B175" i="37"/>
  <c r="C175" i="37"/>
  <c r="F175" i="37" s="1"/>
  <c r="I175" i="37" s="1"/>
  <c r="D175" i="37"/>
  <c r="E175" i="37"/>
  <c r="G175" i="37"/>
  <c r="H175" i="37" s="1"/>
  <c r="A176" i="37"/>
  <c r="B176" i="37"/>
  <c r="C176" i="37"/>
  <c r="D176" i="37"/>
  <c r="E176" i="37"/>
  <c r="F176" i="37" s="1"/>
  <c r="I176" i="37" s="1"/>
  <c r="G176" i="37"/>
  <c r="H176" i="37" s="1"/>
  <c r="A177" i="37"/>
  <c r="B177" i="37"/>
  <c r="C177" i="37"/>
  <c r="D177" i="37"/>
  <c r="E177" i="37" s="1"/>
  <c r="F177" i="37" s="1"/>
  <c r="I177" i="37" s="1"/>
  <c r="G177" i="37"/>
  <c r="H177" i="37"/>
  <c r="A178" i="37"/>
  <c r="B178" i="37"/>
  <c r="C178" i="37"/>
  <c r="F178" i="37" s="1"/>
  <c r="I178" i="37" s="1"/>
  <c r="D178" i="37"/>
  <c r="E178" i="37"/>
  <c r="G178" i="37"/>
  <c r="H178" i="37" s="1"/>
  <c r="A179" i="37"/>
  <c r="B179" i="37"/>
  <c r="C179" i="37"/>
  <c r="D179" i="37"/>
  <c r="E179" i="37" s="1"/>
  <c r="F179" i="37" s="1"/>
  <c r="I179" i="37" s="1"/>
  <c r="G179" i="37"/>
  <c r="H179" i="37"/>
  <c r="A180" i="37"/>
  <c r="B180" i="37"/>
  <c r="C180" i="37"/>
  <c r="F180" i="37" s="1"/>
  <c r="I180" i="37" s="1"/>
  <c r="D180" i="37"/>
  <c r="E180" i="37"/>
  <c r="G180" i="37"/>
  <c r="H180" i="37" s="1"/>
  <c r="A181" i="37"/>
  <c r="B181" i="37"/>
  <c r="C181" i="37"/>
  <c r="D181" i="37"/>
  <c r="E181" i="37" s="1"/>
  <c r="F181" i="37" s="1"/>
  <c r="I181" i="37" s="1"/>
  <c r="G181" i="37"/>
  <c r="H181" i="37"/>
  <c r="A182" i="37"/>
  <c r="B182" i="37"/>
  <c r="C182" i="37"/>
  <c r="F182" i="37" s="1"/>
  <c r="I182" i="37" s="1"/>
  <c r="D182" i="37"/>
  <c r="E182" i="37"/>
  <c r="G182" i="37"/>
  <c r="H182" i="37" s="1"/>
  <c r="A183" i="37"/>
  <c r="B183" i="37"/>
  <c r="C183" i="37"/>
  <c r="D183" i="37"/>
  <c r="E183" i="37" s="1"/>
  <c r="F183" i="37" s="1"/>
  <c r="I183" i="37" s="1"/>
  <c r="G183" i="37"/>
  <c r="H183" i="37"/>
  <c r="A184" i="37"/>
  <c r="B184" i="37"/>
  <c r="C184" i="37"/>
  <c r="F184" i="37" s="1"/>
  <c r="I184" i="37" s="1"/>
  <c r="D184" i="37"/>
  <c r="E184" i="37"/>
  <c r="G184" i="37"/>
  <c r="H184" i="37" s="1"/>
  <c r="A185" i="37"/>
  <c r="B185" i="37"/>
  <c r="C185" i="37"/>
  <c r="D185" i="37"/>
  <c r="E185" i="37" s="1"/>
  <c r="F185" i="37" s="1"/>
  <c r="I185" i="37" s="1"/>
  <c r="G185" i="37"/>
  <c r="H185" i="37"/>
  <c r="A186" i="37"/>
  <c r="B186" i="37"/>
  <c r="C186" i="37"/>
  <c r="F186" i="37" s="1"/>
  <c r="I186" i="37" s="1"/>
  <c r="D186" i="37"/>
  <c r="E186" i="37"/>
  <c r="G186" i="37"/>
  <c r="H186" i="37" s="1"/>
  <c r="A187" i="37"/>
  <c r="B187" i="37"/>
  <c r="C187" i="37"/>
  <c r="D187" i="37"/>
  <c r="E187" i="37" s="1"/>
  <c r="F187" i="37" s="1"/>
  <c r="I187" i="37" s="1"/>
  <c r="G187" i="37"/>
  <c r="H187" i="37"/>
  <c r="A188" i="37"/>
  <c r="B188" i="37"/>
  <c r="C188" i="37"/>
  <c r="F188" i="37" s="1"/>
  <c r="I188" i="37" s="1"/>
  <c r="D188" i="37"/>
  <c r="E188" i="37"/>
  <c r="G188" i="37"/>
  <c r="H188" i="37" s="1"/>
  <c r="A189" i="37"/>
  <c r="B189" i="37"/>
  <c r="C189" i="37"/>
  <c r="D189" i="37"/>
  <c r="E189" i="37" s="1"/>
  <c r="F189" i="37" s="1"/>
  <c r="I189" i="37" s="1"/>
  <c r="G189" i="37"/>
  <c r="H189" i="37"/>
  <c r="A190" i="37"/>
  <c r="B190" i="37"/>
  <c r="C190" i="37"/>
  <c r="F190" i="37" s="1"/>
  <c r="I190" i="37" s="1"/>
  <c r="D190" i="37"/>
  <c r="E190" i="37"/>
  <c r="G190" i="37"/>
  <c r="H190" i="37" s="1"/>
  <c r="A191" i="37"/>
  <c r="B191" i="37"/>
  <c r="C191" i="37"/>
  <c r="D191" i="37"/>
  <c r="E191" i="37" s="1"/>
  <c r="F191" i="37" s="1"/>
  <c r="I191" i="37" s="1"/>
  <c r="G191" i="37"/>
  <c r="H191" i="37"/>
  <c r="A192" i="37"/>
  <c r="B192" i="37"/>
  <c r="C192" i="37"/>
  <c r="F192" i="37" s="1"/>
  <c r="D192" i="37"/>
  <c r="E192" i="37"/>
  <c r="G192" i="37"/>
  <c r="H192" i="37" s="1"/>
  <c r="I192" i="37"/>
  <c r="A193" i="37"/>
  <c r="B193" i="37"/>
  <c r="C193" i="37"/>
  <c r="D193" i="37"/>
  <c r="E193" i="37" s="1"/>
  <c r="F193" i="37" s="1"/>
  <c r="I193" i="37" s="1"/>
  <c r="G193" i="37"/>
  <c r="H193" i="37"/>
  <c r="A194" i="37"/>
  <c r="B194" i="37"/>
  <c r="C194" i="37"/>
  <c r="D194" i="37"/>
  <c r="E194" i="37"/>
  <c r="G194" i="37"/>
  <c r="H194" i="37" s="1"/>
  <c r="A195" i="37"/>
  <c r="B195" i="37"/>
  <c r="C195" i="37"/>
  <c r="D195" i="37"/>
  <c r="E195" i="37" s="1"/>
  <c r="F195" i="37" s="1"/>
  <c r="I195" i="37" s="1"/>
  <c r="G195" i="37"/>
  <c r="H195" i="37"/>
  <c r="A196" i="37"/>
  <c r="B196" i="37"/>
  <c r="C196" i="37"/>
  <c r="D196" i="37"/>
  <c r="E196" i="37"/>
  <c r="G196" i="37"/>
  <c r="H196" i="37" s="1"/>
  <c r="A197" i="37"/>
  <c r="B197" i="37"/>
  <c r="C197" i="37"/>
  <c r="D197" i="37"/>
  <c r="E197" i="37" s="1"/>
  <c r="F197" i="37" s="1"/>
  <c r="I197" i="37" s="1"/>
  <c r="G197" i="37"/>
  <c r="H197" i="37"/>
  <c r="A198" i="37"/>
  <c r="B198" i="37"/>
  <c r="C198" i="37"/>
  <c r="F198" i="37" s="1"/>
  <c r="D198" i="37"/>
  <c r="E198" i="37"/>
  <c r="G198" i="37"/>
  <c r="H198" i="37" s="1"/>
  <c r="I198" i="37"/>
  <c r="A199" i="37"/>
  <c r="B199" i="37"/>
  <c r="C199" i="37"/>
  <c r="D199" i="37"/>
  <c r="E199" i="37" s="1"/>
  <c r="F199" i="37" s="1"/>
  <c r="I199" i="37" s="1"/>
  <c r="G199" i="37"/>
  <c r="H199" i="37"/>
  <c r="A200" i="37"/>
  <c r="B200" i="37"/>
  <c r="C200" i="37"/>
  <c r="D200" i="37"/>
  <c r="E200" i="37"/>
  <c r="G200" i="37"/>
  <c r="H200" i="37" s="1"/>
  <c r="A201" i="37"/>
  <c r="B201" i="37"/>
  <c r="C201" i="37"/>
  <c r="D201" i="37"/>
  <c r="E201" i="37" s="1"/>
  <c r="F201" i="37" s="1"/>
  <c r="I201" i="37" s="1"/>
  <c r="G201" i="37"/>
  <c r="H201" i="37"/>
  <c r="A202" i="37"/>
  <c r="B202" i="37"/>
  <c r="C202" i="37"/>
  <c r="F202" i="37" s="1"/>
  <c r="D202" i="37"/>
  <c r="E202" i="37"/>
  <c r="G202" i="37"/>
  <c r="H202" i="37" s="1"/>
  <c r="I202" i="37"/>
  <c r="A203" i="37"/>
  <c r="B203" i="37"/>
  <c r="C203" i="37"/>
  <c r="D203" i="37"/>
  <c r="E203" i="37" s="1"/>
  <c r="F203" i="37" s="1"/>
  <c r="I203" i="37" s="1"/>
  <c r="G203" i="37"/>
  <c r="H203" i="37"/>
  <c r="A204" i="37"/>
  <c r="B204" i="37"/>
  <c r="C204" i="37"/>
  <c r="F204" i="37" s="1"/>
  <c r="D204" i="37"/>
  <c r="E204" i="37"/>
  <c r="G204" i="37"/>
  <c r="H204" i="37" s="1"/>
  <c r="I204" i="37"/>
  <c r="A205" i="37"/>
  <c r="B205" i="37"/>
  <c r="C205" i="37"/>
  <c r="D205" i="37"/>
  <c r="E205" i="37" s="1"/>
  <c r="F205" i="37" s="1"/>
  <c r="I205" i="37" s="1"/>
  <c r="G205" i="37"/>
  <c r="H205" i="37"/>
  <c r="A206" i="37"/>
  <c r="B206" i="37"/>
  <c r="C206" i="37"/>
  <c r="D206" i="37"/>
  <c r="E206" i="37"/>
  <c r="G206" i="37"/>
  <c r="H206" i="37" s="1"/>
  <c r="A207" i="37"/>
  <c r="B207" i="37"/>
  <c r="C207" i="37"/>
  <c r="D207" i="37"/>
  <c r="E207" i="37" s="1"/>
  <c r="F207" i="37" s="1"/>
  <c r="I207" i="37" s="1"/>
  <c r="G207" i="37"/>
  <c r="H207" i="37"/>
  <c r="A208" i="37"/>
  <c r="B208" i="37"/>
  <c r="C208" i="37"/>
  <c r="F208" i="37" s="1"/>
  <c r="D208" i="37"/>
  <c r="E208" i="37"/>
  <c r="G208" i="37"/>
  <c r="H208" i="37" s="1"/>
  <c r="I208" i="37"/>
  <c r="A209" i="37"/>
  <c r="B209" i="37"/>
  <c r="C209" i="37"/>
  <c r="D209" i="37"/>
  <c r="E209" i="37" s="1"/>
  <c r="F209" i="37" s="1"/>
  <c r="I209" i="37" s="1"/>
  <c r="G209" i="37"/>
  <c r="H209" i="37"/>
  <c r="A210" i="37"/>
  <c r="B210" i="37"/>
  <c r="C210" i="37"/>
  <c r="D210" i="37"/>
  <c r="E210" i="37"/>
  <c r="G210" i="37"/>
  <c r="H210" i="37" s="1"/>
  <c r="A211" i="37"/>
  <c r="B211" i="37"/>
  <c r="C211" i="37"/>
  <c r="D211" i="37"/>
  <c r="E211" i="37" s="1"/>
  <c r="F211" i="37" s="1"/>
  <c r="I211" i="37" s="1"/>
  <c r="G211" i="37"/>
  <c r="H211" i="37"/>
  <c r="A212" i="37"/>
  <c r="B212" i="37"/>
  <c r="C212" i="37"/>
  <c r="F212" i="37" s="1"/>
  <c r="D212" i="37"/>
  <c r="E212" i="37"/>
  <c r="G212" i="37"/>
  <c r="H212" i="37" s="1"/>
  <c r="I212" i="37"/>
  <c r="A213" i="37"/>
  <c r="B213" i="37"/>
  <c r="C213" i="37"/>
  <c r="D213" i="37"/>
  <c r="E213" i="37" s="1"/>
  <c r="F213" i="37" s="1"/>
  <c r="I213" i="37" s="1"/>
  <c r="G213" i="37"/>
  <c r="H213" i="37"/>
  <c r="A214" i="37"/>
  <c r="B214" i="37"/>
  <c r="C214" i="37"/>
  <c r="D214" i="37"/>
  <c r="E214" i="37"/>
  <c r="G214" i="37"/>
  <c r="H214" i="37" s="1"/>
  <c r="A215" i="37"/>
  <c r="B215" i="37"/>
  <c r="C215" i="37"/>
  <c r="D215" i="37"/>
  <c r="E215" i="37" s="1"/>
  <c r="F215" i="37" s="1"/>
  <c r="I215" i="37" s="1"/>
  <c r="G215" i="37"/>
  <c r="H215" i="37"/>
  <c r="A216" i="37"/>
  <c r="B216" i="37"/>
  <c r="C216" i="37"/>
  <c r="F216" i="37" s="1"/>
  <c r="D216" i="37"/>
  <c r="E216" i="37"/>
  <c r="G216" i="37"/>
  <c r="H216" i="37" s="1"/>
  <c r="I216" i="37"/>
  <c r="A217" i="37"/>
  <c r="B217" i="37"/>
  <c r="C217" i="37"/>
  <c r="D217" i="37"/>
  <c r="E217" i="37" s="1"/>
  <c r="F217" i="37" s="1"/>
  <c r="I217" i="37" s="1"/>
  <c r="G217" i="37"/>
  <c r="H217" i="37"/>
  <c r="A218" i="37"/>
  <c r="B218" i="37"/>
  <c r="C218" i="37"/>
  <c r="D218" i="37"/>
  <c r="E218" i="37"/>
  <c r="G218" i="37"/>
  <c r="H218" i="37" s="1"/>
  <c r="A219" i="37"/>
  <c r="B219" i="37"/>
  <c r="C219" i="37"/>
  <c r="D219" i="37"/>
  <c r="E219" i="37" s="1"/>
  <c r="F219" i="37" s="1"/>
  <c r="I219" i="37" s="1"/>
  <c r="G219" i="37"/>
  <c r="H219" i="37"/>
  <c r="A220" i="37"/>
  <c r="B220" i="37"/>
  <c r="C220" i="37"/>
  <c r="F220" i="37" s="1"/>
  <c r="D220" i="37"/>
  <c r="E220" i="37"/>
  <c r="G220" i="37"/>
  <c r="H220" i="37" s="1"/>
  <c r="I220" i="37"/>
  <c r="A221" i="37"/>
  <c r="B221" i="37"/>
  <c r="C221" i="37"/>
  <c r="D221" i="37"/>
  <c r="E221" i="37" s="1"/>
  <c r="F221" i="37" s="1"/>
  <c r="I221" i="37" s="1"/>
  <c r="G221" i="37"/>
  <c r="H221" i="37"/>
  <c r="A222" i="37"/>
  <c r="B222" i="37"/>
  <c r="C222" i="37"/>
  <c r="D222" i="37"/>
  <c r="E222" i="37"/>
  <c r="G222" i="37"/>
  <c r="H222" i="37" s="1"/>
  <c r="A223" i="37"/>
  <c r="B223" i="37"/>
  <c r="C223" i="37"/>
  <c r="D223" i="37"/>
  <c r="E223" i="37" s="1"/>
  <c r="F223" i="37" s="1"/>
  <c r="I223" i="37" s="1"/>
  <c r="G223" i="37"/>
  <c r="H223" i="37"/>
  <c r="A224" i="37"/>
  <c r="B224" i="37"/>
  <c r="C224" i="37"/>
  <c r="F224" i="37" s="1"/>
  <c r="D224" i="37"/>
  <c r="E224" i="37"/>
  <c r="G224" i="37"/>
  <c r="H224" i="37" s="1"/>
  <c r="I224" i="37"/>
  <c r="A225" i="37"/>
  <c r="B225" i="37"/>
  <c r="C225" i="37"/>
  <c r="D225" i="37"/>
  <c r="E225" i="37" s="1"/>
  <c r="F225" i="37" s="1"/>
  <c r="I225" i="37" s="1"/>
  <c r="G225" i="37"/>
  <c r="H225" i="37"/>
  <c r="A226" i="37"/>
  <c r="B226" i="37"/>
  <c r="C226" i="37"/>
  <c r="D226" i="37"/>
  <c r="E226" i="37"/>
  <c r="G226" i="37"/>
  <c r="H226" i="37" s="1"/>
  <c r="A227" i="37"/>
  <c r="B227" i="37"/>
  <c r="C227" i="37"/>
  <c r="D227" i="37"/>
  <c r="E227" i="37" s="1"/>
  <c r="F227" i="37" s="1"/>
  <c r="I227" i="37" s="1"/>
  <c r="G227" i="37"/>
  <c r="H227" i="37"/>
  <c r="A228" i="37"/>
  <c r="B228" i="37"/>
  <c r="C228" i="37"/>
  <c r="F228" i="37" s="1"/>
  <c r="D228" i="37"/>
  <c r="E228" i="37"/>
  <c r="G228" i="37"/>
  <c r="H228" i="37" s="1"/>
  <c r="I228" i="37"/>
  <c r="A229" i="37"/>
  <c r="B229" i="37"/>
  <c r="C229" i="37"/>
  <c r="D229" i="37"/>
  <c r="E229" i="37" s="1"/>
  <c r="F229" i="37" s="1"/>
  <c r="I229" i="37" s="1"/>
  <c r="G229" i="37"/>
  <c r="H229" i="37"/>
  <c r="A230" i="37"/>
  <c r="B230" i="37"/>
  <c r="C230" i="37"/>
  <c r="D230" i="37"/>
  <c r="E230" i="37"/>
  <c r="G230" i="37"/>
  <c r="H230" i="37" s="1"/>
  <c r="A231" i="37"/>
  <c r="B231" i="37"/>
  <c r="C231" i="37"/>
  <c r="D231" i="37"/>
  <c r="E231" i="37" s="1"/>
  <c r="F231" i="37" s="1"/>
  <c r="I231" i="37" s="1"/>
  <c r="G231" i="37"/>
  <c r="H231" i="37"/>
  <c r="A232" i="37"/>
  <c r="B232" i="37"/>
  <c r="C232" i="37"/>
  <c r="F232" i="37" s="1"/>
  <c r="D232" i="37"/>
  <c r="E232" i="37"/>
  <c r="G232" i="37"/>
  <c r="H232" i="37" s="1"/>
  <c r="I232" i="37"/>
  <c r="A233" i="37"/>
  <c r="B233" i="37"/>
  <c r="C233" i="37"/>
  <c r="D233" i="37"/>
  <c r="E233" i="37" s="1"/>
  <c r="F233" i="37" s="1"/>
  <c r="I233" i="37" s="1"/>
  <c r="G233" i="37"/>
  <c r="H233" i="37"/>
  <c r="A234" i="37"/>
  <c r="B234" i="37"/>
  <c r="C234" i="37"/>
  <c r="D234" i="37"/>
  <c r="E234" i="37"/>
  <c r="G234" i="37"/>
  <c r="H234" i="37" s="1"/>
  <c r="A235" i="37"/>
  <c r="B235" i="37"/>
  <c r="C235" i="37"/>
  <c r="D235" i="37"/>
  <c r="E235" i="37" s="1"/>
  <c r="F235" i="37" s="1"/>
  <c r="I235" i="37" s="1"/>
  <c r="G235" i="37"/>
  <c r="H235" i="37"/>
  <c r="A236" i="37"/>
  <c r="B236" i="37"/>
  <c r="C236" i="37"/>
  <c r="F236" i="37" s="1"/>
  <c r="D236" i="37"/>
  <c r="E236" i="37"/>
  <c r="G236" i="37"/>
  <c r="H236" i="37" s="1"/>
  <c r="I236" i="37"/>
  <c r="A237" i="37"/>
  <c r="B237" i="37"/>
  <c r="C237" i="37"/>
  <c r="D237" i="37"/>
  <c r="E237" i="37" s="1"/>
  <c r="F237" i="37" s="1"/>
  <c r="I237" i="37" s="1"/>
  <c r="G237" i="37"/>
  <c r="H237" i="37"/>
  <c r="A238" i="37"/>
  <c r="B238" i="37"/>
  <c r="C238" i="37"/>
  <c r="D238" i="37"/>
  <c r="E238" i="37"/>
  <c r="G238" i="37"/>
  <c r="H238" i="37"/>
  <c r="A239" i="37"/>
  <c r="B239" i="37"/>
  <c r="C239" i="37"/>
  <c r="D239" i="37"/>
  <c r="E239" i="37" s="1"/>
  <c r="F239" i="37"/>
  <c r="I239" i="37" s="1"/>
  <c r="G239" i="37"/>
  <c r="H239" i="37"/>
  <c r="A240" i="37"/>
  <c r="B240" i="37"/>
  <c r="C240" i="37"/>
  <c r="F240" i="37" s="1"/>
  <c r="I240" i="37" s="1"/>
  <c r="D240" i="37"/>
  <c r="E240" i="37"/>
  <c r="G240" i="37"/>
  <c r="H240" i="37" s="1"/>
  <c r="A241" i="37"/>
  <c r="B241" i="37"/>
  <c r="C241" i="37"/>
  <c r="D241" i="37"/>
  <c r="E241" i="37" s="1"/>
  <c r="F241" i="37" s="1"/>
  <c r="I241" i="37" s="1"/>
  <c r="G241" i="37"/>
  <c r="H241" i="37"/>
  <c r="A242" i="37"/>
  <c r="B242" i="37"/>
  <c r="C242" i="37"/>
  <c r="F242" i="37" s="1"/>
  <c r="I242" i="37" s="1"/>
  <c r="D242" i="37"/>
  <c r="E242" i="37"/>
  <c r="G242" i="37"/>
  <c r="H242" i="37" s="1"/>
  <c r="A243" i="37"/>
  <c r="B243" i="37"/>
  <c r="C243" i="37"/>
  <c r="D243" i="37"/>
  <c r="E243" i="37" s="1"/>
  <c r="F243" i="37" s="1"/>
  <c r="I243" i="37" s="1"/>
  <c r="G243" i="37"/>
  <c r="H243" i="37"/>
  <c r="A244" i="37"/>
  <c r="B244" i="37"/>
  <c r="C244" i="37"/>
  <c r="F244" i="37" s="1"/>
  <c r="I244" i="37" s="1"/>
  <c r="D244" i="37"/>
  <c r="E244" i="37"/>
  <c r="G244" i="37"/>
  <c r="H244" i="37" s="1"/>
  <c r="A245" i="37"/>
  <c r="B245" i="37"/>
  <c r="C245" i="37"/>
  <c r="D245" i="37"/>
  <c r="E245" i="37" s="1"/>
  <c r="F245" i="37" s="1"/>
  <c r="I245" i="37" s="1"/>
  <c r="G245" i="37"/>
  <c r="H245" i="37"/>
  <c r="A246" i="37"/>
  <c r="B246" i="37"/>
  <c r="C246" i="37"/>
  <c r="F246" i="37" s="1"/>
  <c r="D246" i="37"/>
  <c r="E246" i="37"/>
  <c r="G246" i="37"/>
  <c r="H246" i="37" s="1"/>
  <c r="A247" i="37"/>
  <c r="B247" i="37"/>
  <c r="C247" i="37"/>
  <c r="D247" i="37"/>
  <c r="E247" i="37" s="1"/>
  <c r="F247" i="37" s="1"/>
  <c r="I247" i="37" s="1"/>
  <c r="G247" i="37"/>
  <c r="H247" i="37"/>
  <c r="A248" i="37"/>
  <c r="B248" i="37"/>
  <c r="C248" i="37"/>
  <c r="F248" i="37" s="1"/>
  <c r="D248" i="37"/>
  <c r="E248" i="37"/>
  <c r="G248" i="37"/>
  <c r="H248" i="37" s="1"/>
  <c r="A249" i="37"/>
  <c r="B249" i="37"/>
  <c r="C249" i="37"/>
  <c r="D249" i="37"/>
  <c r="E249" i="37" s="1"/>
  <c r="F249" i="37" s="1"/>
  <c r="I249" i="37" s="1"/>
  <c r="G249" i="37"/>
  <c r="H249" i="37"/>
  <c r="A250" i="37"/>
  <c r="B250" i="37"/>
  <c r="C250" i="37"/>
  <c r="F250" i="37" s="1"/>
  <c r="D250" i="37"/>
  <c r="E250" i="37"/>
  <c r="G250" i="37"/>
  <c r="H250" i="37" s="1"/>
  <c r="A251" i="37"/>
  <c r="B251" i="37"/>
  <c r="C251" i="37"/>
  <c r="D251" i="37"/>
  <c r="E251" i="37" s="1"/>
  <c r="F251" i="37" s="1"/>
  <c r="I251" i="37" s="1"/>
  <c r="G251" i="37"/>
  <c r="H251" i="37"/>
  <c r="A252" i="37"/>
  <c r="B252" i="37"/>
  <c r="C252" i="37"/>
  <c r="F252" i="37" s="1"/>
  <c r="D252" i="37"/>
  <c r="E252" i="37"/>
  <c r="G252" i="37"/>
  <c r="H252" i="37" s="1"/>
  <c r="A253" i="37"/>
  <c r="B253" i="37"/>
  <c r="C253" i="37"/>
  <c r="D253" i="37"/>
  <c r="E253" i="37" s="1"/>
  <c r="F253" i="37" s="1"/>
  <c r="I253" i="37" s="1"/>
  <c r="G253" i="37"/>
  <c r="H253" i="37"/>
  <c r="A254" i="37"/>
  <c r="B254" i="37"/>
  <c r="C254" i="37"/>
  <c r="F254" i="37" s="1"/>
  <c r="D254" i="37"/>
  <c r="E254" i="37"/>
  <c r="G254" i="37"/>
  <c r="H254" i="37" s="1"/>
  <c r="A255" i="37"/>
  <c r="B255" i="37"/>
  <c r="C255" i="37"/>
  <c r="D255" i="37"/>
  <c r="E255" i="37" s="1"/>
  <c r="F255" i="37" s="1"/>
  <c r="I255" i="37" s="1"/>
  <c r="G255" i="37"/>
  <c r="H255" i="37"/>
  <c r="A256" i="37"/>
  <c r="B256" i="37"/>
  <c r="C256" i="37"/>
  <c r="F256" i="37" s="1"/>
  <c r="D256" i="37"/>
  <c r="E256" i="37"/>
  <c r="G256" i="37"/>
  <c r="H256" i="37" s="1"/>
  <c r="A257" i="37"/>
  <c r="B257" i="37"/>
  <c r="C257" i="37"/>
  <c r="D257" i="37"/>
  <c r="E257" i="37" s="1"/>
  <c r="F257" i="37" s="1"/>
  <c r="I257" i="37" s="1"/>
  <c r="G257" i="37"/>
  <c r="H257" i="37"/>
  <c r="A258" i="37"/>
  <c r="B258" i="37"/>
  <c r="C258" i="37"/>
  <c r="F258" i="37" s="1"/>
  <c r="D258" i="37"/>
  <c r="E258" i="37"/>
  <c r="G258" i="37"/>
  <c r="H258" i="37" s="1"/>
  <c r="A259" i="37"/>
  <c r="B259" i="37"/>
  <c r="C259" i="37"/>
  <c r="D259" i="37"/>
  <c r="E259" i="37" s="1"/>
  <c r="F259" i="37" s="1"/>
  <c r="I259" i="37" s="1"/>
  <c r="G259" i="37"/>
  <c r="H259" i="37"/>
  <c r="A260" i="37"/>
  <c r="B260" i="37"/>
  <c r="C260" i="37"/>
  <c r="F260" i="37" s="1"/>
  <c r="D260" i="37"/>
  <c r="E260" i="37"/>
  <c r="G260" i="37"/>
  <c r="H260" i="37" s="1"/>
  <c r="A261" i="37"/>
  <c r="B261" i="37"/>
  <c r="C261" i="37"/>
  <c r="D261" i="37"/>
  <c r="E261" i="37" s="1"/>
  <c r="F261" i="37" s="1"/>
  <c r="I261" i="37" s="1"/>
  <c r="G261" i="37"/>
  <c r="H261" i="37"/>
  <c r="A262" i="37"/>
  <c r="B262" i="37"/>
  <c r="C262" i="37"/>
  <c r="F262" i="37" s="1"/>
  <c r="D262" i="37"/>
  <c r="E262" i="37"/>
  <c r="G262" i="37"/>
  <c r="H262" i="37" s="1"/>
  <c r="A263" i="37"/>
  <c r="B263" i="37"/>
  <c r="C263" i="37"/>
  <c r="D263" i="37"/>
  <c r="E263" i="37" s="1"/>
  <c r="F263" i="37" s="1"/>
  <c r="I263" i="37" s="1"/>
  <c r="G263" i="37"/>
  <c r="H263" i="37"/>
  <c r="A264" i="37"/>
  <c r="B264" i="37"/>
  <c r="C264" i="37"/>
  <c r="F264" i="37" s="1"/>
  <c r="D264" i="37"/>
  <c r="E264" i="37"/>
  <c r="G264" i="37"/>
  <c r="H264" i="37" s="1"/>
  <c r="A265" i="37"/>
  <c r="B265" i="37"/>
  <c r="C265" i="37"/>
  <c r="D265" i="37"/>
  <c r="E265" i="37" s="1"/>
  <c r="F265" i="37" s="1"/>
  <c r="I265" i="37" s="1"/>
  <c r="G265" i="37"/>
  <c r="H265" i="37"/>
  <c r="A266" i="37"/>
  <c r="B266" i="37"/>
  <c r="C266" i="37"/>
  <c r="F266" i="37" s="1"/>
  <c r="D266" i="37"/>
  <c r="E266" i="37"/>
  <c r="G266" i="37"/>
  <c r="H266" i="37" s="1"/>
  <c r="A267" i="37"/>
  <c r="B267" i="37"/>
  <c r="C267" i="37"/>
  <c r="D267" i="37"/>
  <c r="E267" i="37" s="1"/>
  <c r="F267" i="37" s="1"/>
  <c r="I267" i="37" s="1"/>
  <c r="G267" i="37"/>
  <c r="H267" i="37"/>
  <c r="A268" i="37"/>
  <c r="B268" i="37"/>
  <c r="C268" i="37"/>
  <c r="F268" i="37" s="1"/>
  <c r="D268" i="37"/>
  <c r="E268" i="37"/>
  <c r="G268" i="37"/>
  <c r="H268" i="37" s="1"/>
  <c r="A269" i="37"/>
  <c r="B269" i="37"/>
  <c r="C269" i="37"/>
  <c r="D269" i="37"/>
  <c r="E269" i="37" s="1"/>
  <c r="F269" i="37" s="1"/>
  <c r="I269" i="37" s="1"/>
  <c r="G269" i="37"/>
  <c r="H269" i="37"/>
  <c r="A270" i="37"/>
  <c r="B270" i="37"/>
  <c r="C270" i="37"/>
  <c r="F270" i="37" s="1"/>
  <c r="D270" i="37"/>
  <c r="E270" i="37"/>
  <c r="G270" i="37"/>
  <c r="H270" i="37" s="1"/>
  <c r="A271" i="37"/>
  <c r="B271" i="37"/>
  <c r="C271" i="37"/>
  <c r="D271" i="37"/>
  <c r="E271" i="37" s="1"/>
  <c r="F271" i="37" s="1"/>
  <c r="I271" i="37" s="1"/>
  <c r="G271" i="37"/>
  <c r="H271" i="37"/>
  <c r="A272" i="37"/>
  <c r="B272" i="37"/>
  <c r="C272" i="37"/>
  <c r="F272" i="37" s="1"/>
  <c r="D272" i="37"/>
  <c r="E272" i="37"/>
  <c r="G272" i="37"/>
  <c r="H272" i="37" s="1"/>
  <c r="A273" i="37"/>
  <c r="B273" i="37"/>
  <c r="C273" i="37"/>
  <c r="D273" i="37"/>
  <c r="E273" i="37" s="1"/>
  <c r="F273" i="37" s="1"/>
  <c r="I273" i="37" s="1"/>
  <c r="G273" i="37"/>
  <c r="H273" i="37"/>
  <c r="A274" i="37"/>
  <c r="B274" i="37"/>
  <c r="C274" i="37"/>
  <c r="F274" i="37" s="1"/>
  <c r="D274" i="37"/>
  <c r="E274" i="37"/>
  <c r="G274" i="37"/>
  <c r="H274" i="37" s="1"/>
  <c r="A275" i="37"/>
  <c r="B275" i="37"/>
  <c r="C275" i="37"/>
  <c r="D275" i="37"/>
  <c r="E275" i="37" s="1"/>
  <c r="F275" i="37" s="1"/>
  <c r="I275" i="37" s="1"/>
  <c r="G275" i="37"/>
  <c r="H275" i="37"/>
  <c r="A276" i="37"/>
  <c r="B276" i="37"/>
  <c r="C276" i="37"/>
  <c r="F276" i="37" s="1"/>
  <c r="D276" i="37"/>
  <c r="E276" i="37"/>
  <c r="G276" i="37"/>
  <c r="H276" i="37" s="1"/>
  <c r="A277" i="37"/>
  <c r="B277" i="37"/>
  <c r="C277" i="37"/>
  <c r="D277" i="37"/>
  <c r="E277" i="37" s="1"/>
  <c r="F277" i="37" s="1"/>
  <c r="I277" i="37" s="1"/>
  <c r="G277" i="37"/>
  <c r="H277" i="37"/>
  <c r="A278" i="37"/>
  <c r="B278" i="37"/>
  <c r="C278" i="37"/>
  <c r="F278" i="37" s="1"/>
  <c r="D278" i="37"/>
  <c r="E278" i="37"/>
  <c r="G278" i="37"/>
  <c r="H278" i="37" s="1"/>
  <c r="A279" i="37"/>
  <c r="B279" i="37"/>
  <c r="C279" i="37"/>
  <c r="D279" i="37"/>
  <c r="E279" i="37" s="1"/>
  <c r="F279" i="37" s="1"/>
  <c r="I279" i="37" s="1"/>
  <c r="G279" i="37"/>
  <c r="H279" i="37"/>
  <c r="A280" i="37"/>
  <c r="B280" i="37"/>
  <c r="C280" i="37"/>
  <c r="F280" i="37" s="1"/>
  <c r="D280" i="37"/>
  <c r="E280" i="37"/>
  <c r="G280" i="37"/>
  <c r="H280" i="37" s="1"/>
  <c r="A281" i="37"/>
  <c r="B281" i="37"/>
  <c r="C281" i="37"/>
  <c r="D281" i="37"/>
  <c r="E281" i="37" s="1"/>
  <c r="F281" i="37" s="1"/>
  <c r="I281" i="37" s="1"/>
  <c r="G281" i="37"/>
  <c r="H281" i="37"/>
  <c r="A282" i="37"/>
  <c r="B282" i="37"/>
  <c r="C282" i="37"/>
  <c r="F282" i="37" s="1"/>
  <c r="D282" i="37"/>
  <c r="E282" i="37"/>
  <c r="G282" i="37"/>
  <c r="H282" i="37" s="1"/>
  <c r="A283" i="37"/>
  <c r="B283" i="37"/>
  <c r="C283" i="37"/>
  <c r="D283" i="37"/>
  <c r="E283" i="37" s="1"/>
  <c r="F283" i="37" s="1"/>
  <c r="I283" i="37" s="1"/>
  <c r="G283" i="37"/>
  <c r="H283" i="37"/>
  <c r="A284" i="37"/>
  <c r="B284" i="37"/>
  <c r="C284" i="37"/>
  <c r="F284" i="37" s="1"/>
  <c r="D284" i="37"/>
  <c r="E284" i="37"/>
  <c r="G284" i="37"/>
  <c r="H284" i="37" s="1"/>
  <c r="A285" i="37"/>
  <c r="B285" i="37"/>
  <c r="C285" i="37"/>
  <c r="D285" i="37"/>
  <c r="E285" i="37" s="1"/>
  <c r="F285" i="37" s="1"/>
  <c r="I285" i="37" s="1"/>
  <c r="G285" i="37"/>
  <c r="H285" i="37"/>
  <c r="A286" i="37"/>
  <c r="B286" i="37"/>
  <c r="C286" i="37"/>
  <c r="F286" i="37" s="1"/>
  <c r="D286" i="37"/>
  <c r="E286" i="37"/>
  <c r="G286" i="37"/>
  <c r="H286" i="37" s="1"/>
  <c r="A287" i="37"/>
  <c r="B287" i="37"/>
  <c r="C287" i="37"/>
  <c r="D287" i="37"/>
  <c r="E287" i="37" s="1"/>
  <c r="F287" i="37" s="1"/>
  <c r="I287" i="37" s="1"/>
  <c r="G287" i="37"/>
  <c r="H287" i="37"/>
  <c r="A288" i="37"/>
  <c r="B288" i="37"/>
  <c r="C288" i="37"/>
  <c r="F288" i="37" s="1"/>
  <c r="D288" i="37"/>
  <c r="E288" i="37"/>
  <c r="G288" i="37"/>
  <c r="H288" i="37" s="1"/>
  <c r="A289" i="37"/>
  <c r="B289" i="37"/>
  <c r="C289" i="37"/>
  <c r="D289" i="37"/>
  <c r="E289" i="37" s="1"/>
  <c r="F289" i="37" s="1"/>
  <c r="I289" i="37" s="1"/>
  <c r="G289" i="37"/>
  <c r="H289" i="37"/>
  <c r="A290" i="37"/>
  <c r="B290" i="37"/>
  <c r="C290" i="37"/>
  <c r="F290" i="37" s="1"/>
  <c r="D290" i="37"/>
  <c r="E290" i="37"/>
  <c r="G290" i="37"/>
  <c r="H290" i="37" s="1"/>
  <c r="A291" i="37"/>
  <c r="B291" i="37"/>
  <c r="C291" i="37"/>
  <c r="D291" i="37"/>
  <c r="E291" i="37" s="1"/>
  <c r="F291" i="37" s="1"/>
  <c r="I291" i="37" s="1"/>
  <c r="G291" i="37"/>
  <c r="H291" i="37"/>
  <c r="A292" i="37"/>
  <c r="B292" i="37"/>
  <c r="C292" i="37"/>
  <c r="F292" i="37" s="1"/>
  <c r="D292" i="37"/>
  <c r="E292" i="37"/>
  <c r="G292" i="37"/>
  <c r="H292" i="37" s="1"/>
  <c r="A293" i="37"/>
  <c r="B293" i="37"/>
  <c r="C293" i="37"/>
  <c r="D293" i="37"/>
  <c r="E293" i="37" s="1"/>
  <c r="F293" i="37" s="1"/>
  <c r="I293" i="37" s="1"/>
  <c r="G293" i="37"/>
  <c r="H293" i="37"/>
  <c r="A294" i="37"/>
  <c r="B294" i="37"/>
  <c r="C294" i="37"/>
  <c r="F294" i="37" s="1"/>
  <c r="D294" i="37"/>
  <c r="E294" i="37"/>
  <c r="G294" i="37"/>
  <c r="H294" i="37" s="1"/>
  <c r="A295" i="37"/>
  <c r="B295" i="37"/>
  <c r="C295" i="37"/>
  <c r="D295" i="37"/>
  <c r="E295" i="37" s="1"/>
  <c r="F295" i="37" s="1"/>
  <c r="I295" i="37" s="1"/>
  <c r="G295" i="37"/>
  <c r="H295" i="37"/>
  <c r="A296" i="37"/>
  <c r="B296" i="37"/>
  <c r="C296" i="37"/>
  <c r="F296" i="37" s="1"/>
  <c r="D296" i="37"/>
  <c r="E296" i="37"/>
  <c r="G296" i="37"/>
  <c r="H296" i="37" s="1"/>
  <c r="A297" i="37"/>
  <c r="B297" i="37"/>
  <c r="C297" i="37"/>
  <c r="D297" i="37"/>
  <c r="E297" i="37" s="1"/>
  <c r="F297" i="37" s="1"/>
  <c r="I297" i="37" s="1"/>
  <c r="G297" i="37"/>
  <c r="H297" i="37"/>
  <c r="A298" i="37"/>
  <c r="B298" i="37"/>
  <c r="C298" i="37"/>
  <c r="F298" i="37" s="1"/>
  <c r="D298" i="37"/>
  <c r="E298" i="37"/>
  <c r="G298" i="37"/>
  <c r="H298" i="37" s="1"/>
  <c r="A299" i="37"/>
  <c r="B299" i="37"/>
  <c r="C299" i="37"/>
  <c r="D299" i="37"/>
  <c r="E299" i="37" s="1"/>
  <c r="F299" i="37" s="1"/>
  <c r="I299" i="37" s="1"/>
  <c r="G299" i="37"/>
  <c r="H299" i="37"/>
  <c r="A300" i="37"/>
  <c r="B300" i="37"/>
  <c r="C300" i="37"/>
  <c r="F300" i="37" s="1"/>
  <c r="D300" i="37"/>
  <c r="E300" i="37"/>
  <c r="G300" i="37"/>
  <c r="H300" i="37" s="1"/>
  <c r="A301" i="37"/>
  <c r="B301" i="37"/>
  <c r="C301" i="37"/>
  <c r="D301" i="37"/>
  <c r="E301" i="37" s="1"/>
  <c r="F301" i="37" s="1"/>
  <c r="I301" i="37" s="1"/>
  <c r="G301" i="37"/>
  <c r="H301" i="37"/>
  <c r="A302" i="37"/>
  <c r="B302" i="37"/>
  <c r="C302" i="37"/>
  <c r="F302" i="37" s="1"/>
  <c r="D302" i="37"/>
  <c r="E302" i="37"/>
  <c r="G302" i="37"/>
  <c r="H302" i="37" s="1"/>
  <c r="A303" i="37"/>
  <c r="B303" i="37"/>
  <c r="C303" i="37"/>
  <c r="D303" i="37"/>
  <c r="E303" i="37" s="1"/>
  <c r="F303" i="37" s="1"/>
  <c r="I303" i="37" s="1"/>
  <c r="G303" i="37"/>
  <c r="H303" i="37"/>
  <c r="A304" i="37"/>
  <c r="B304" i="37"/>
  <c r="C304" i="37"/>
  <c r="F304" i="37" s="1"/>
  <c r="D304" i="37"/>
  <c r="E304" i="37"/>
  <c r="G304" i="37"/>
  <c r="H304" i="37" s="1"/>
  <c r="A305" i="37"/>
  <c r="B305" i="37"/>
  <c r="C305" i="37"/>
  <c r="D305" i="37"/>
  <c r="E305" i="37" s="1"/>
  <c r="F305" i="37" s="1"/>
  <c r="I305" i="37" s="1"/>
  <c r="G305" i="37"/>
  <c r="H305" i="37"/>
  <c r="A306" i="37"/>
  <c r="B306" i="37"/>
  <c r="C306" i="37"/>
  <c r="F306" i="37" s="1"/>
  <c r="D306" i="37"/>
  <c r="E306" i="37"/>
  <c r="G306" i="37"/>
  <c r="H306" i="37" s="1"/>
  <c r="A307" i="37"/>
  <c r="B307" i="37"/>
  <c r="C307" i="37"/>
  <c r="D307" i="37"/>
  <c r="E307" i="37" s="1"/>
  <c r="F307" i="37" s="1"/>
  <c r="I307" i="37" s="1"/>
  <c r="G307" i="37"/>
  <c r="H307" i="37"/>
  <c r="A308" i="37"/>
  <c r="B308" i="37"/>
  <c r="C308" i="37"/>
  <c r="F308" i="37" s="1"/>
  <c r="D308" i="37"/>
  <c r="E308" i="37"/>
  <c r="G308" i="37"/>
  <c r="H308" i="37" s="1"/>
  <c r="A309" i="37"/>
  <c r="B309" i="37"/>
  <c r="C309" i="37"/>
  <c r="D309" i="37"/>
  <c r="E309" i="37" s="1"/>
  <c r="F309" i="37" s="1"/>
  <c r="I309" i="37" s="1"/>
  <c r="G309" i="37"/>
  <c r="H309" i="37"/>
  <c r="A310" i="37"/>
  <c r="B310" i="37"/>
  <c r="C310" i="37"/>
  <c r="F310" i="37" s="1"/>
  <c r="D310" i="37"/>
  <c r="E310" i="37"/>
  <c r="G310" i="37"/>
  <c r="H310" i="37" s="1"/>
  <c r="A311" i="37"/>
  <c r="B311" i="37"/>
  <c r="C311" i="37"/>
  <c r="D311" i="37"/>
  <c r="E311" i="37" s="1"/>
  <c r="F311" i="37" s="1"/>
  <c r="I311" i="37" s="1"/>
  <c r="G311" i="37"/>
  <c r="H311" i="37"/>
  <c r="A312" i="37"/>
  <c r="B312" i="37"/>
  <c r="C312" i="37"/>
  <c r="F312" i="37" s="1"/>
  <c r="D312" i="37"/>
  <c r="E312" i="37"/>
  <c r="G312" i="37"/>
  <c r="H312" i="37" s="1"/>
  <c r="A313" i="37"/>
  <c r="B313" i="37"/>
  <c r="C313" i="37"/>
  <c r="D313" i="37"/>
  <c r="E313" i="37" s="1"/>
  <c r="F313" i="37" s="1"/>
  <c r="I313" i="37" s="1"/>
  <c r="G313" i="37"/>
  <c r="H313" i="37"/>
  <c r="A9" i="36"/>
  <c r="B9" i="36"/>
  <c r="C9" i="36"/>
  <c r="D9" i="36" s="1"/>
  <c r="E9" i="36"/>
  <c r="F9" i="36"/>
  <c r="G9" i="36"/>
  <c r="I9" i="36"/>
  <c r="J9" i="36"/>
  <c r="A10" i="36"/>
  <c r="B10" i="36"/>
  <c r="C10" i="36"/>
  <c r="F10" i="36" s="1"/>
  <c r="G10" i="36"/>
  <c r="J10" i="36"/>
  <c r="A11" i="36"/>
  <c r="B11" i="36"/>
  <c r="C11" i="36"/>
  <c r="D11" i="36" s="1"/>
  <c r="G11" i="36"/>
  <c r="H11" i="36"/>
  <c r="A12" i="36"/>
  <c r="B12" i="36"/>
  <c r="C12" i="36"/>
  <c r="D12" i="36"/>
  <c r="K12" i="36" s="1"/>
  <c r="E12" i="36"/>
  <c r="F12" i="36"/>
  <c r="G12" i="36"/>
  <c r="H12" i="36"/>
  <c r="I12" i="36"/>
  <c r="J12" i="36"/>
  <c r="A13" i="36"/>
  <c r="B13" i="36"/>
  <c r="C13" i="36"/>
  <c r="D13" i="36" s="1"/>
  <c r="E13" i="36"/>
  <c r="F13" i="36"/>
  <c r="G13" i="36"/>
  <c r="I13" i="36"/>
  <c r="J13" i="36"/>
  <c r="A14" i="36"/>
  <c r="B14" i="36"/>
  <c r="C14" i="36"/>
  <c r="F14" i="36" s="1"/>
  <c r="G14" i="36"/>
  <c r="J14" i="36"/>
  <c r="A15" i="36"/>
  <c r="B15" i="36"/>
  <c r="C15" i="36"/>
  <c r="E15" i="36" s="1"/>
  <c r="D15" i="36"/>
  <c r="G15" i="36"/>
  <c r="H15" i="36"/>
  <c r="A16" i="36"/>
  <c r="B16" i="36"/>
  <c r="C16" i="36"/>
  <c r="D16" i="36"/>
  <c r="K16" i="36" s="1"/>
  <c r="E16" i="36"/>
  <c r="F16" i="36"/>
  <c r="G16" i="36"/>
  <c r="H16" i="36"/>
  <c r="I16" i="36"/>
  <c r="J16" i="36"/>
  <c r="A17" i="36"/>
  <c r="B17" i="36"/>
  <c r="C17" i="36"/>
  <c r="D17" i="36" s="1"/>
  <c r="E17" i="36"/>
  <c r="F17" i="36"/>
  <c r="G17" i="36"/>
  <c r="I17" i="36"/>
  <c r="J17" i="36"/>
  <c r="A18" i="36"/>
  <c r="B18" i="36"/>
  <c r="C18" i="36"/>
  <c r="D18" i="36" s="1"/>
  <c r="F18" i="36"/>
  <c r="G18" i="36"/>
  <c r="J18" i="36"/>
  <c r="A19" i="36"/>
  <c r="B19" i="36"/>
  <c r="C19" i="36"/>
  <c r="D19" i="36" s="1"/>
  <c r="G19" i="36"/>
  <c r="A20" i="36"/>
  <c r="B20" i="36"/>
  <c r="C20" i="36"/>
  <c r="D20" i="36"/>
  <c r="K20" i="36" s="1"/>
  <c r="E20" i="36"/>
  <c r="F20" i="36"/>
  <c r="G20" i="36"/>
  <c r="H20" i="36"/>
  <c r="I20" i="36"/>
  <c r="J20" i="36"/>
  <c r="A21" i="36"/>
  <c r="B21" i="36"/>
  <c r="C21" i="36"/>
  <c r="D21" i="36" s="1"/>
  <c r="E21" i="36"/>
  <c r="F21" i="36"/>
  <c r="G21" i="36"/>
  <c r="I21" i="36"/>
  <c r="J21" i="36"/>
  <c r="A22" i="36"/>
  <c r="B22" i="36"/>
  <c r="C22" i="36"/>
  <c r="D22" i="36" s="1"/>
  <c r="F22" i="36"/>
  <c r="G22" i="36"/>
  <c r="J22" i="36"/>
  <c r="A23" i="36"/>
  <c r="B23" i="36"/>
  <c r="C23" i="36"/>
  <c r="D23" i="36" s="1"/>
  <c r="G23" i="36"/>
  <c r="A24" i="36"/>
  <c r="B24" i="36"/>
  <c r="C24" i="36"/>
  <c r="D24" i="36"/>
  <c r="K24" i="36" s="1"/>
  <c r="E24" i="36"/>
  <c r="F24" i="36"/>
  <c r="G24" i="36"/>
  <c r="H24" i="36"/>
  <c r="I24" i="36"/>
  <c r="J24" i="36"/>
  <c r="A25" i="36"/>
  <c r="B25" i="36"/>
  <c r="C25" i="36"/>
  <c r="D25" i="36" s="1"/>
  <c r="E25" i="36"/>
  <c r="F25" i="36"/>
  <c r="G25" i="36"/>
  <c r="I25" i="36"/>
  <c r="J25" i="36"/>
  <c r="A26" i="36"/>
  <c r="B26" i="36"/>
  <c r="C26" i="36"/>
  <c r="D26" i="36" s="1"/>
  <c r="F26" i="36"/>
  <c r="G26" i="36"/>
  <c r="J26" i="36"/>
  <c r="A27" i="36"/>
  <c r="B27" i="36"/>
  <c r="C27" i="36"/>
  <c r="D27" i="36" s="1"/>
  <c r="G27" i="36"/>
  <c r="A28" i="36"/>
  <c r="B28" i="36"/>
  <c r="C28" i="36"/>
  <c r="D28" i="36"/>
  <c r="K28" i="36" s="1"/>
  <c r="E28" i="36"/>
  <c r="F28" i="36"/>
  <c r="G28" i="36"/>
  <c r="H28" i="36"/>
  <c r="I28" i="36"/>
  <c r="J28" i="36"/>
  <c r="A29" i="36"/>
  <c r="B29" i="36"/>
  <c r="C29" i="36"/>
  <c r="D29" i="36" s="1"/>
  <c r="E29" i="36"/>
  <c r="F29" i="36"/>
  <c r="G29" i="36"/>
  <c r="I29" i="36"/>
  <c r="J29" i="36"/>
  <c r="A30" i="36"/>
  <c r="B30" i="36"/>
  <c r="C30" i="36"/>
  <c r="D30" i="36" s="1"/>
  <c r="F30" i="36"/>
  <c r="G30" i="36"/>
  <c r="J30" i="36"/>
  <c r="A31" i="36"/>
  <c r="B31" i="36"/>
  <c r="C31" i="36"/>
  <c r="D31" i="36" s="1"/>
  <c r="G31" i="36"/>
  <c r="A32" i="36"/>
  <c r="B32" i="36"/>
  <c r="C32" i="36"/>
  <c r="D32" i="36"/>
  <c r="K32" i="36" s="1"/>
  <c r="E32" i="36"/>
  <c r="F32" i="36"/>
  <c r="G32" i="36"/>
  <c r="H32" i="36"/>
  <c r="I32" i="36"/>
  <c r="J32" i="36"/>
  <c r="A33" i="36"/>
  <c r="B33" i="36"/>
  <c r="C33" i="36"/>
  <c r="D33" i="36" s="1"/>
  <c r="E33" i="36"/>
  <c r="F33" i="36"/>
  <c r="G33" i="36"/>
  <c r="I33" i="36"/>
  <c r="J33" i="36"/>
  <c r="A34" i="36"/>
  <c r="B34" i="36"/>
  <c r="C34" i="36"/>
  <c r="D34" i="36" s="1"/>
  <c r="F34" i="36"/>
  <c r="G34" i="36"/>
  <c r="J34" i="36"/>
  <c r="A35" i="36"/>
  <c r="B35" i="36"/>
  <c r="C35" i="36"/>
  <c r="G35" i="36" s="1"/>
  <c r="A36" i="36"/>
  <c r="B36" i="36"/>
  <c r="C36" i="36"/>
  <c r="D36" i="36"/>
  <c r="E36" i="36"/>
  <c r="F36" i="36"/>
  <c r="G36" i="36"/>
  <c r="H36" i="36"/>
  <c r="I36" i="36"/>
  <c r="J36" i="36"/>
  <c r="A37" i="36"/>
  <c r="B37" i="36"/>
  <c r="C37" i="36"/>
  <c r="D37" i="36" s="1"/>
  <c r="E37" i="36"/>
  <c r="F37" i="36"/>
  <c r="G37" i="36"/>
  <c r="I37" i="36"/>
  <c r="J37" i="36"/>
  <c r="A38" i="36"/>
  <c r="B38" i="36"/>
  <c r="C38" i="36"/>
  <c r="G38" i="36" s="1"/>
  <c r="F38" i="36"/>
  <c r="A39" i="36"/>
  <c r="B39" i="36"/>
  <c r="C39" i="36"/>
  <c r="D39" i="36"/>
  <c r="G39" i="36"/>
  <c r="A40" i="36"/>
  <c r="B40" i="36"/>
  <c r="C40" i="36"/>
  <c r="D40" i="36"/>
  <c r="E40" i="36"/>
  <c r="F40" i="36"/>
  <c r="G40" i="36"/>
  <c r="H40" i="36"/>
  <c r="I40" i="36"/>
  <c r="J40" i="36"/>
  <c r="A41" i="36"/>
  <c r="B41" i="36"/>
  <c r="C41" i="36"/>
  <c r="D41" i="36" s="1"/>
  <c r="E41" i="36"/>
  <c r="F41" i="36"/>
  <c r="G41" i="36"/>
  <c r="I41" i="36"/>
  <c r="J41" i="36"/>
  <c r="A42" i="36"/>
  <c r="B42" i="36"/>
  <c r="C42" i="36"/>
  <c r="G42" i="36" s="1"/>
  <c r="F42" i="36"/>
  <c r="A43" i="36"/>
  <c r="B43" i="36"/>
  <c r="C43" i="36"/>
  <c r="D43" i="36"/>
  <c r="G43" i="36"/>
  <c r="A44" i="36"/>
  <c r="B44" i="36"/>
  <c r="C44" i="36"/>
  <c r="D44" i="36"/>
  <c r="E44" i="36"/>
  <c r="F44" i="36"/>
  <c r="G44" i="36"/>
  <c r="H44" i="36"/>
  <c r="I44" i="36"/>
  <c r="J44" i="36"/>
  <c r="A45" i="36"/>
  <c r="B45" i="36"/>
  <c r="C45" i="36"/>
  <c r="D45" i="36" s="1"/>
  <c r="E45" i="36"/>
  <c r="F45" i="36"/>
  <c r="G45" i="36"/>
  <c r="I45" i="36"/>
  <c r="J45" i="36"/>
  <c r="A46" i="36"/>
  <c r="B46" i="36"/>
  <c r="C46" i="36"/>
  <c r="F46" i="36" s="1"/>
  <c r="A47" i="36"/>
  <c r="B47" i="36"/>
  <c r="C47" i="36"/>
  <c r="D47" i="36"/>
  <c r="G47" i="36"/>
  <c r="A48" i="36"/>
  <c r="B48" i="36"/>
  <c r="C48" i="36"/>
  <c r="D48" i="36"/>
  <c r="E48" i="36"/>
  <c r="F48" i="36"/>
  <c r="G48" i="36"/>
  <c r="H48" i="36"/>
  <c r="I48" i="36"/>
  <c r="J48" i="36"/>
  <c r="A49" i="36"/>
  <c r="B49" i="36"/>
  <c r="C49" i="36"/>
  <c r="D49" i="36" s="1"/>
  <c r="E49" i="36"/>
  <c r="F49" i="36"/>
  <c r="G49" i="36"/>
  <c r="I49" i="36"/>
  <c r="J49" i="36"/>
  <c r="A50" i="36"/>
  <c r="B50" i="36"/>
  <c r="C50" i="36"/>
  <c r="F50" i="36" s="1"/>
  <c r="A51" i="36"/>
  <c r="B51" i="36"/>
  <c r="C51" i="36"/>
  <c r="D51" i="36"/>
  <c r="A52" i="36"/>
  <c r="B52" i="36"/>
  <c r="C52" i="36"/>
  <c r="D52" i="36"/>
  <c r="E52" i="36"/>
  <c r="F52" i="36"/>
  <c r="G52" i="36"/>
  <c r="H52" i="36"/>
  <c r="I52" i="36"/>
  <c r="J52" i="36"/>
  <c r="A53" i="36"/>
  <c r="B53" i="36"/>
  <c r="C53" i="36"/>
  <c r="E53" i="36" s="1"/>
  <c r="I53" i="36"/>
  <c r="A54" i="36"/>
  <c r="B54" i="36"/>
  <c r="C54" i="36"/>
  <c r="D54" i="36" s="1"/>
  <c r="F54" i="36"/>
  <c r="G54" i="36"/>
  <c r="H54" i="36"/>
  <c r="A55" i="36"/>
  <c r="B55" i="36"/>
  <c r="C55" i="36"/>
  <c r="D55" i="36"/>
  <c r="E55" i="36"/>
  <c r="G55" i="36"/>
  <c r="H55" i="36"/>
  <c r="I55" i="36"/>
  <c r="A56" i="36"/>
  <c r="B56" i="36"/>
  <c r="C56" i="36"/>
  <c r="D56" i="36"/>
  <c r="E56" i="36"/>
  <c r="F56" i="36"/>
  <c r="G56" i="36"/>
  <c r="H56" i="36"/>
  <c r="I56" i="36"/>
  <c r="J56" i="36"/>
  <c r="A57" i="36"/>
  <c r="B57" i="36"/>
  <c r="C57" i="36"/>
  <c r="D57" i="36" s="1"/>
  <c r="F57" i="36"/>
  <c r="G57" i="36"/>
  <c r="H57" i="36"/>
  <c r="J57" i="36"/>
  <c r="A58" i="36"/>
  <c r="B58" i="36"/>
  <c r="C58" i="36"/>
  <c r="E58" i="36" s="1"/>
  <c r="D58" i="36"/>
  <c r="G58" i="36"/>
  <c r="H58" i="36"/>
  <c r="A59" i="36"/>
  <c r="B59" i="36"/>
  <c r="C59" i="36"/>
  <c r="D59" i="36"/>
  <c r="K59" i="36" s="1"/>
  <c r="E59" i="36"/>
  <c r="F59" i="36"/>
  <c r="G59" i="36"/>
  <c r="H59" i="36"/>
  <c r="I59" i="36"/>
  <c r="J59" i="36"/>
  <c r="A60" i="36"/>
  <c r="B60" i="36"/>
  <c r="C60" i="36"/>
  <c r="D60" i="36" s="1"/>
  <c r="E60" i="36"/>
  <c r="F60" i="36"/>
  <c r="G60" i="36"/>
  <c r="I60" i="36"/>
  <c r="J60" i="36"/>
  <c r="A61" i="36"/>
  <c r="B61" i="36"/>
  <c r="C61" i="36"/>
  <c r="D61" i="36" s="1"/>
  <c r="G61" i="36"/>
  <c r="A62" i="36"/>
  <c r="B62" i="36"/>
  <c r="C62" i="36"/>
  <c r="E62" i="36" s="1"/>
  <c r="D62" i="36"/>
  <c r="G62" i="36"/>
  <c r="H62" i="36"/>
  <c r="A63" i="36"/>
  <c r="B63" i="36"/>
  <c r="C63" i="36"/>
  <c r="D63" i="36"/>
  <c r="K63" i="36" s="1"/>
  <c r="E63" i="36"/>
  <c r="F63" i="36"/>
  <c r="G63" i="36"/>
  <c r="H63" i="36"/>
  <c r="I63" i="36"/>
  <c r="J63" i="36"/>
  <c r="A64" i="36"/>
  <c r="B64" i="36"/>
  <c r="C64" i="36"/>
  <c r="D64" i="36" s="1"/>
  <c r="E64" i="36"/>
  <c r="F64" i="36"/>
  <c r="G64" i="36"/>
  <c r="I64" i="36"/>
  <c r="J64" i="36"/>
  <c r="A65" i="36"/>
  <c r="B65" i="36"/>
  <c r="C65" i="36"/>
  <c r="D65" i="36" s="1"/>
  <c r="G65" i="36"/>
  <c r="A66" i="36"/>
  <c r="B66" i="36"/>
  <c r="C66" i="36"/>
  <c r="E66" i="36" s="1"/>
  <c r="D66" i="36"/>
  <c r="G66" i="36"/>
  <c r="H66" i="36"/>
  <c r="A67" i="36"/>
  <c r="B67" i="36"/>
  <c r="C67" i="36"/>
  <c r="D67" i="36"/>
  <c r="K67" i="36" s="1"/>
  <c r="E67" i="36"/>
  <c r="F67" i="36"/>
  <c r="G67" i="36"/>
  <c r="H67" i="36"/>
  <c r="I67" i="36"/>
  <c r="J67" i="36"/>
  <c r="A68" i="36"/>
  <c r="B68" i="36"/>
  <c r="C68" i="36"/>
  <c r="D68" i="36" s="1"/>
  <c r="E68" i="36"/>
  <c r="F68" i="36"/>
  <c r="G68" i="36"/>
  <c r="I68" i="36"/>
  <c r="J68" i="36"/>
  <c r="A69" i="36"/>
  <c r="B69" i="36"/>
  <c r="C69" i="36"/>
  <c r="D69" i="36" s="1"/>
  <c r="G69" i="36"/>
  <c r="A70" i="36"/>
  <c r="B70" i="36"/>
  <c r="C70" i="36"/>
  <c r="E70" i="36" s="1"/>
  <c r="D70" i="36"/>
  <c r="G70" i="36"/>
  <c r="H70" i="36"/>
  <c r="A71" i="36"/>
  <c r="B71" i="36"/>
  <c r="C71" i="36"/>
  <c r="D71" i="36"/>
  <c r="K71" i="36" s="1"/>
  <c r="E71" i="36"/>
  <c r="F71" i="36"/>
  <c r="G71" i="36"/>
  <c r="H71" i="36"/>
  <c r="I71" i="36"/>
  <c r="J71" i="36"/>
  <c r="A72" i="36"/>
  <c r="B72" i="36"/>
  <c r="C72" i="36"/>
  <c r="D72" i="36" s="1"/>
  <c r="E72" i="36"/>
  <c r="F72" i="36"/>
  <c r="G72" i="36"/>
  <c r="I72" i="36"/>
  <c r="J72" i="36"/>
  <c r="A73" i="36"/>
  <c r="B73" i="36"/>
  <c r="C73" i="36"/>
  <c r="D73" i="36" s="1"/>
  <c r="G73" i="36"/>
  <c r="A74" i="36"/>
  <c r="B74" i="36"/>
  <c r="C74" i="36"/>
  <c r="E74" i="36" s="1"/>
  <c r="D74" i="36"/>
  <c r="G74" i="36"/>
  <c r="H74" i="36"/>
  <c r="A75" i="36"/>
  <c r="B75" i="36"/>
  <c r="C75" i="36"/>
  <c r="D75" i="36"/>
  <c r="K75" i="36" s="1"/>
  <c r="E75" i="36"/>
  <c r="F75" i="36"/>
  <c r="G75" i="36"/>
  <c r="H75" i="36"/>
  <c r="I75" i="36"/>
  <c r="J75" i="36"/>
  <c r="A76" i="36"/>
  <c r="B76" i="36"/>
  <c r="C76" i="36"/>
  <c r="D76" i="36" s="1"/>
  <c r="E76" i="36"/>
  <c r="F76" i="36"/>
  <c r="G76" i="36"/>
  <c r="I76" i="36"/>
  <c r="J76" i="36"/>
  <c r="A77" i="36"/>
  <c r="B77" i="36"/>
  <c r="C77" i="36"/>
  <c r="D77" i="36" s="1"/>
  <c r="G77" i="36"/>
  <c r="A78" i="36"/>
  <c r="B78" i="36"/>
  <c r="C78" i="36"/>
  <c r="E78" i="36" s="1"/>
  <c r="D78" i="36"/>
  <c r="G78" i="36"/>
  <c r="H78" i="36"/>
  <c r="A79" i="36"/>
  <c r="B79" i="36"/>
  <c r="C79" i="36"/>
  <c r="D79" i="36"/>
  <c r="K79" i="36" s="1"/>
  <c r="E79" i="36"/>
  <c r="F79" i="36"/>
  <c r="G79" i="36"/>
  <c r="H79" i="36"/>
  <c r="I79" i="36"/>
  <c r="J79" i="36"/>
  <c r="A80" i="36"/>
  <c r="B80" i="36"/>
  <c r="C80" i="36"/>
  <c r="D80" i="36" s="1"/>
  <c r="E80" i="36"/>
  <c r="F80" i="36"/>
  <c r="G80" i="36"/>
  <c r="I80" i="36"/>
  <c r="J80" i="36"/>
  <c r="A81" i="36"/>
  <c r="B81" i="36"/>
  <c r="C81" i="36"/>
  <c r="G81" i="36" s="1"/>
  <c r="A82" i="36"/>
  <c r="B82" i="36"/>
  <c r="C82" i="36"/>
  <c r="D82" i="36"/>
  <c r="G82" i="36"/>
  <c r="H82" i="36"/>
  <c r="A83" i="36"/>
  <c r="B83" i="36"/>
  <c r="C83" i="36"/>
  <c r="D83" i="36"/>
  <c r="E83" i="36"/>
  <c r="F83" i="36"/>
  <c r="G83" i="36"/>
  <c r="H83" i="36"/>
  <c r="I83" i="36"/>
  <c r="J83" i="36"/>
  <c r="A84" i="36"/>
  <c r="B84" i="36"/>
  <c r="C84" i="36"/>
  <c r="D84" i="36" s="1"/>
  <c r="E84" i="36"/>
  <c r="F84" i="36"/>
  <c r="G84" i="36"/>
  <c r="I84" i="36"/>
  <c r="J84" i="36"/>
  <c r="A85" i="36"/>
  <c r="B85" i="36"/>
  <c r="C85" i="36"/>
  <c r="G85" i="36" s="1"/>
  <c r="F85" i="36"/>
  <c r="A86" i="36"/>
  <c r="B86" i="36"/>
  <c r="C86" i="36"/>
  <c r="H86" i="36" s="1"/>
  <c r="D86" i="36"/>
  <c r="G86" i="36"/>
  <c r="A87" i="36"/>
  <c r="B87" i="36"/>
  <c r="C87" i="36"/>
  <c r="D87" i="36"/>
  <c r="E87" i="36"/>
  <c r="F87" i="36"/>
  <c r="G87" i="36"/>
  <c r="H87" i="36"/>
  <c r="I87" i="36"/>
  <c r="J87" i="36"/>
  <c r="A88" i="36"/>
  <c r="B88" i="36"/>
  <c r="C88" i="36"/>
  <c r="D88" i="36" s="1"/>
  <c r="E88" i="36"/>
  <c r="F88" i="36"/>
  <c r="G88" i="36"/>
  <c r="I88" i="36"/>
  <c r="J88" i="36"/>
  <c r="A89" i="36"/>
  <c r="B89" i="36"/>
  <c r="C89" i="36"/>
  <c r="G89" i="36" s="1"/>
  <c r="F89" i="36"/>
  <c r="A90" i="36"/>
  <c r="B90" i="36"/>
  <c r="C90" i="36"/>
  <c r="H90" i="36" s="1"/>
  <c r="D90" i="36"/>
  <c r="G90" i="36"/>
  <c r="A91" i="36"/>
  <c r="B91" i="36"/>
  <c r="C91" i="36"/>
  <c r="D91" i="36"/>
  <c r="E91" i="36"/>
  <c r="F91" i="36"/>
  <c r="G91" i="36"/>
  <c r="H91" i="36"/>
  <c r="I91" i="36"/>
  <c r="J91" i="36"/>
  <c r="A92" i="36"/>
  <c r="B92" i="36"/>
  <c r="C92" i="36"/>
  <c r="D92" i="36" s="1"/>
  <c r="E92" i="36"/>
  <c r="F92" i="36"/>
  <c r="G92" i="36"/>
  <c r="I92" i="36"/>
  <c r="J92" i="36"/>
  <c r="A93" i="36"/>
  <c r="B93" i="36"/>
  <c r="C93" i="36"/>
  <c r="D93" i="36" s="1"/>
  <c r="G93" i="36"/>
  <c r="H93" i="36"/>
  <c r="A94" i="36"/>
  <c r="B94" i="36"/>
  <c r="C94" i="36"/>
  <c r="D94" i="36"/>
  <c r="E94" i="36"/>
  <c r="G94" i="36"/>
  <c r="H94" i="36"/>
  <c r="I94" i="36"/>
  <c r="A95" i="36"/>
  <c r="B95" i="36"/>
  <c r="C95" i="36"/>
  <c r="D95" i="36"/>
  <c r="E95" i="36"/>
  <c r="F95" i="36"/>
  <c r="G95" i="36"/>
  <c r="H95" i="36"/>
  <c r="I95" i="36"/>
  <c r="J95" i="36"/>
  <c r="A96" i="36"/>
  <c r="B96" i="36"/>
  <c r="C96" i="36"/>
  <c r="E96" i="36" s="1"/>
  <c r="G96" i="36"/>
  <c r="I96" i="36"/>
  <c r="A97" i="36"/>
  <c r="B97" i="36"/>
  <c r="C97" i="36"/>
  <c r="D97" i="36"/>
  <c r="K97" i="36" s="1"/>
  <c r="E97" i="36"/>
  <c r="F97" i="36"/>
  <c r="G97" i="36"/>
  <c r="H97" i="36"/>
  <c r="I97" i="36"/>
  <c r="J97" i="36"/>
  <c r="A98" i="36"/>
  <c r="B98" i="36"/>
  <c r="C98" i="36"/>
  <c r="E98" i="36" s="1"/>
  <c r="F98" i="36"/>
  <c r="G98" i="36"/>
  <c r="J98" i="36"/>
  <c r="A99" i="36"/>
  <c r="B99" i="36"/>
  <c r="C99" i="36"/>
  <c r="F99" i="36" s="1"/>
  <c r="G99" i="36"/>
  <c r="A100" i="36"/>
  <c r="B100" i="36"/>
  <c r="C100" i="36"/>
  <c r="F100" i="36" s="1"/>
  <c r="D100" i="36"/>
  <c r="E100" i="36"/>
  <c r="G100" i="36"/>
  <c r="H100" i="36"/>
  <c r="I100" i="36"/>
  <c r="A101" i="36"/>
  <c r="B101" i="36"/>
  <c r="C101" i="36"/>
  <c r="D101" i="36"/>
  <c r="K101" i="36" s="1"/>
  <c r="E101" i="36"/>
  <c r="F101" i="36"/>
  <c r="G101" i="36"/>
  <c r="H101" i="36"/>
  <c r="I101" i="36"/>
  <c r="J101" i="36"/>
  <c r="A102" i="36"/>
  <c r="B102" i="36"/>
  <c r="C102" i="36"/>
  <c r="E102" i="36" s="1"/>
  <c r="F102" i="36"/>
  <c r="G102" i="36"/>
  <c r="J102" i="36"/>
  <c r="A103" i="36"/>
  <c r="B103" i="36"/>
  <c r="C103" i="36"/>
  <c r="F103" i="36" s="1"/>
  <c r="G103" i="36"/>
  <c r="A104" i="36"/>
  <c r="B104" i="36"/>
  <c r="C104" i="36"/>
  <c r="F104" i="36" s="1"/>
  <c r="D104" i="36"/>
  <c r="E104" i="36"/>
  <c r="G104" i="36"/>
  <c r="H104" i="36"/>
  <c r="I104" i="36"/>
  <c r="A105" i="36"/>
  <c r="B105" i="36"/>
  <c r="C105" i="36"/>
  <c r="D105" i="36"/>
  <c r="K105" i="36" s="1"/>
  <c r="E105" i="36"/>
  <c r="F105" i="36"/>
  <c r="G105" i="36"/>
  <c r="H105" i="36"/>
  <c r="I105" i="36"/>
  <c r="J105" i="36"/>
  <c r="A106" i="36"/>
  <c r="B106" i="36"/>
  <c r="C106" i="36"/>
  <c r="E106" i="36" s="1"/>
  <c r="F106" i="36"/>
  <c r="G106" i="36"/>
  <c r="J106" i="36"/>
  <c r="A107" i="36"/>
  <c r="B107" i="36"/>
  <c r="C107" i="36"/>
  <c r="F107" i="36" s="1"/>
  <c r="G107" i="36"/>
  <c r="A108" i="36"/>
  <c r="B108" i="36"/>
  <c r="C108" i="36"/>
  <c r="F108" i="36" s="1"/>
  <c r="D108" i="36"/>
  <c r="E108" i="36"/>
  <c r="G108" i="36"/>
  <c r="H108" i="36"/>
  <c r="I108" i="36"/>
  <c r="A109" i="36"/>
  <c r="B109" i="36"/>
  <c r="C109" i="36"/>
  <c r="D109" i="36"/>
  <c r="K109" i="36" s="1"/>
  <c r="E109" i="36"/>
  <c r="F109" i="36"/>
  <c r="G109" i="36"/>
  <c r="H109" i="36"/>
  <c r="I109" i="36"/>
  <c r="J109" i="36"/>
  <c r="A110" i="36"/>
  <c r="B110" i="36"/>
  <c r="C110" i="36"/>
  <c r="E110" i="36" s="1"/>
  <c r="F110" i="36"/>
  <c r="G110" i="36"/>
  <c r="J110" i="36"/>
  <c r="A111" i="36"/>
  <c r="B111" i="36"/>
  <c r="C111" i="36"/>
  <c r="F111" i="36" s="1"/>
  <c r="G111" i="36"/>
  <c r="A112" i="36"/>
  <c r="B112" i="36"/>
  <c r="C112" i="36"/>
  <c r="F112" i="36" s="1"/>
  <c r="D112" i="36"/>
  <c r="E112" i="36"/>
  <c r="G112" i="36"/>
  <c r="H112" i="36"/>
  <c r="I112" i="36"/>
  <c r="A113" i="36"/>
  <c r="B113" i="36"/>
  <c r="C113" i="36"/>
  <c r="D113" i="36"/>
  <c r="K113" i="36" s="1"/>
  <c r="E113" i="36"/>
  <c r="F113" i="36"/>
  <c r="G113" i="36"/>
  <c r="H113" i="36"/>
  <c r="I113" i="36"/>
  <c r="J113" i="36"/>
  <c r="A114" i="36"/>
  <c r="B114" i="36"/>
  <c r="C114" i="36"/>
  <c r="E114" i="36" s="1"/>
  <c r="F114" i="36"/>
  <c r="G114" i="36"/>
  <c r="J114" i="36"/>
  <c r="A115" i="36"/>
  <c r="B115" i="36"/>
  <c r="C115" i="36"/>
  <c r="F115" i="36" s="1"/>
  <c r="G115" i="36"/>
  <c r="A116" i="36"/>
  <c r="B116" i="36"/>
  <c r="C116" i="36"/>
  <c r="F116" i="36" s="1"/>
  <c r="D116" i="36"/>
  <c r="E116" i="36"/>
  <c r="G116" i="36"/>
  <c r="H116" i="36"/>
  <c r="I116" i="36"/>
  <c r="A117" i="36"/>
  <c r="B117" i="36"/>
  <c r="C117" i="36"/>
  <c r="D117" i="36"/>
  <c r="K117" i="36" s="1"/>
  <c r="E117" i="36"/>
  <c r="F117" i="36"/>
  <c r="G117" i="36"/>
  <c r="H117" i="36"/>
  <c r="I117" i="36"/>
  <c r="J117" i="36"/>
  <c r="A118" i="36"/>
  <c r="B118" i="36"/>
  <c r="C118" i="36"/>
  <c r="E118" i="36" s="1"/>
  <c r="F118" i="36"/>
  <c r="G118" i="36"/>
  <c r="J118" i="36"/>
  <c r="A119" i="36"/>
  <c r="B119" i="36"/>
  <c r="C119" i="36"/>
  <c r="F119" i="36" s="1"/>
  <c r="G119" i="36"/>
  <c r="A120" i="36"/>
  <c r="B120" i="36"/>
  <c r="C120" i="36"/>
  <c r="F120" i="36" s="1"/>
  <c r="D120" i="36"/>
  <c r="E120" i="36"/>
  <c r="G120" i="36"/>
  <c r="H120" i="36"/>
  <c r="I120" i="36"/>
  <c r="A121" i="36"/>
  <c r="B121" i="36"/>
  <c r="C121" i="36"/>
  <c r="D121" i="36"/>
  <c r="K121" i="36" s="1"/>
  <c r="E121" i="36"/>
  <c r="F121" i="36"/>
  <c r="G121" i="36"/>
  <c r="H121" i="36"/>
  <c r="I121" i="36"/>
  <c r="J121" i="36"/>
  <c r="A122" i="36"/>
  <c r="B122" i="36"/>
  <c r="C122" i="36"/>
  <c r="E122" i="36" s="1"/>
  <c r="F122" i="36"/>
  <c r="G122" i="36"/>
  <c r="J122" i="36"/>
  <c r="A123" i="36"/>
  <c r="B123" i="36"/>
  <c r="C123" i="36"/>
  <c r="F123" i="36" s="1"/>
  <c r="G123" i="36"/>
  <c r="A124" i="36"/>
  <c r="B124" i="36"/>
  <c r="C124" i="36"/>
  <c r="F124" i="36" s="1"/>
  <c r="D124" i="36"/>
  <c r="E124" i="36"/>
  <c r="G124" i="36"/>
  <c r="H124" i="36"/>
  <c r="I124" i="36"/>
  <c r="A125" i="36"/>
  <c r="B125" i="36"/>
  <c r="C125" i="36"/>
  <c r="D125" i="36"/>
  <c r="K125" i="36" s="1"/>
  <c r="E125" i="36"/>
  <c r="F125" i="36"/>
  <c r="G125" i="36"/>
  <c r="H125" i="36"/>
  <c r="I125" i="36"/>
  <c r="J125" i="36"/>
  <c r="A126" i="36"/>
  <c r="B126" i="36"/>
  <c r="C126" i="36"/>
  <c r="E126" i="36" s="1"/>
  <c r="G126" i="36"/>
  <c r="J126" i="36"/>
  <c r="A127" i="36"/>
  <c r="B127" i="36"/>
  <c r="C127" i="36"/>
  <c r="F127" i="36" s="1"/>
  <c r="D127" i="36"/>
  <c r="G127" i="36"/>
  <c r="H127" i="36"/>
  <c r="A128" i="36"/>
  <c r="B128" i="36"/>
  <c r="C128" i="36"/>
  <c r="F128" i="36" s="1"/>
  <c r="D128" i="36"/>
  <c r="E128" i="36"/>
  <c r="G128" i="36"/>
  <c r="H128" i="36"/>
  <c r="I128" i="36"/>
  <c r="A129" i="36"/>
  <c r="B129" i="36"/>
  <c r="C129" i="36"/>
  <c r="D129" i="36"/>
  <c r="E129" i="36"/>
  <c r="F129" i="36"/>
  <c r="G129" i="36"/>
  <c r="H129" i="36"/>
  <c r="I129" i="36"/>
  <c r="J129" i="36"/>
  <c r="A130" i="36"/>
  <c r="B130" i="36"/>
  <c r="C130" i="36"/>
  <c r="F130" i="36" s="1"/>
  <c r="G130" i="36"/>
  <c r="A131" i="36"/>
  <c r="B131" i="36"/>
  <c r="C131" i="36"/>
  <c r="D131" i="36"/>
  <c r="G131" i="36"/>
  <c r="H131" i="36"/>
  <c r="A132" i="36"/>
  <c r="B132" i="36"/>
  <c r="C132" i="36"/>
  <c r="F132" i="36" s="1"/>
  <c r="D132" i="36"/>
  <c r="E132" i="36"/>
  <c r="G132" i="36"/>
  <c r="H132" i="36"/>
  <c r="I132" i="36"/>
  <c r="A133" i="36"/>
  <c r="B133" i="36"/>
  <c r="C133" i="36"/>
  <c r="D133" i="36"/>
  <c r="E133" i="36"/>
  <c r="F133" i="36"/>
  <c r="G133" i="36"/>
  <c r="H133" i="36"/>
  <c r="I133" i="36"/>
  <c r="J133" i="36"/>
  <c r="A134" i="36"/>
  <c r="B134" i="36"/>
  <c r="C134" i="36"/>
  <c r="F134" i="36" s="1"/>
  <c r="G134" i="36"/>
  <c r="A135" i="36"/>
  <c r="B135" i="36"/>
  <c r="C135" i="36"/>
  <c r="D135" i="36"/>
  <c r="G135" i="36"/>
  <c r="H135" i="36"/>
  <c r="A136" i="36"/>
  <c r="B136" i="36"/>
  <c r="C136" i="36"/>
  <c r="F136" i="36" s="1"/>
  <c r="D136" i="36"/>
  <c r="E136" i="36"/>
  <c r="G136" i="36"/>
  <c r="H136" i="36"/>
  <c r="I136" i="36"/>
  <c r="A137" i="36"/>
  <c r="B137" i="36"/>
  <c r="C137" i="36"/>
  <c r="D137" i="36"/>
  <c r="E137" i="36"/>
  <c r="F137" i="36"/>
  <c r="G137" i="36"/>
  <c r="H137" i="36"/>
  <c r="I137" i="36"/>
  <c r="J137" i="36"/>
  <c r="A138" i="36"/>
  <c r="B138" i="36"/>
  <c r="C138" i="36"/>
  <c r="F138" i="36" s="1"/>
  <c r="G138" i="36"/>
  <c r="A139" i="36"/>
  <c r="B139" i="36"/>
  <c r="C139" i="36"/>
  <c r="D139" i="36"/>
  <c r="G139" i="36"/>
  <c r="H139" i="36"/>
  <c r="A140" i="36"/>
  <c r="B140" i="36"/>
  <c r="C140" i="36"/>
  <c r="F140" i="36" s="1"/>
  <c r="D140" i="36"/>
  <c r="E140" i="36"/>
  <c r="G140" i="36"/>
  <c r="H140" i="36"/>
  <c r="I140" i="36"/>
  <c r="A141" i="36"/>
  <c r="B141" i="36"/>
  <c r="C141" i="36"/>
  <c r="D141" i="36"/>
  <c r="E141" i="36"/>
  <c r="F141" i="36"/>
  <c r="G141" i="36"/>
  <c r="H141" i="36"/>
  <c r="I141" i="36"/>
  <c r="J141" i="36"/>
  <c r="A142" i="36"/>
  <c r="B142" i="36"/>
  <c r="C142" i="36"/>
  <c r="F142" i="36" s="1"/>
  <c r="G142" i="36"/>
  <c r="A143" i="36"/>
  <c r="B143" i="36"/>
  <c r="C143" i="36"/>
  <c r="G143" i="36" s="1"/>
  <c r="D143" i="36"/>
  <c r="H143" i="36"/>
  <c r="A144" i="36"/>
  <c r="B144" i="36"/>
  <c r="C144" i="36"/>
  <c r="F144" i="36" s="1"/>
  <c r="D144" i="36"/>
  <c r="E144" i="36"/>
  <c r="G144" i="36"/>
  <c r="H144" i="36"/>
  <c r="I144" i="36"/>
  <c r="A145" i="36"/>
  <c r="B145" i="36"/>
  <c r="C145" i="36"/>
  <c r="D145" i="36"/>
  <c r="E145" i="36"/>
  <c r="F145" i="36"/>
  <c r="G145" i="36"/>
  <c r="H145" i="36"/>
  <c r="I145" i="36"/>
  <c r="J145" i="36"/>
  <c r="A146" i="36"/>
  <c r="B146" i="36"/>
  <c r="C146" i="36"/>
  <c r="F146" i="36" s="1"/>
  <c r="G146" i="36"/>
  <c r="A147" i="36"/>
  <c r="B147" i="36"/>
  <c r="C147" i="36"/>
  <c r="G147" i="36" s="1"/>
  <c r="D147" i="36"/>
  <c r="H147" i="36"/>
  <c r="A148" i="36"/>
  <c r="B148" i="36"/>
  <c r="C148" i="36"/>
  <c r="F148" i="36" s="1"/>
  <c r="D148" i="36"/>
  <c r="E148" i="36"/>
  <c r="G148" i="36"/>
  <c r="H148" i="36"/>
  <c r="I148" i="36"/>
  <c r="A149" i="36"/>
  <c r="B149" i="36"/>
  <c r="C149" i="36"/>
  <c r="D149" i="36"/>
  <c r="E149" i="36"/>
  <c r="F149" i="36"/>
  <c r="G149" i="36"/>
  <c r="H149" i="36"/>
  <c r="I149" i="36"/>
  <c r="J149" i="36"/>
  <c r="A150" i="36"/>
  <c r="B150" i="36"/>
  <c r="C150" i="36"/>
  <c r="F150" i="36" s="1"/>
  <c r="G150" i="36"/>
  <c r="A151" i="36"/>
  <c r="B151" i="36"/>
  <c r="C151" i="36"/>
  <c r="G151" i="36" s="1"/>
  <c r="D151" i="36"/>
  <c r="H151" i="36"/>
  <c r="A152" i="36"/>
  <c r="B152" i="36"/>
  <c r="C152" i="36"/>
  <c r="F152" i="36" s="1"/>
  <c r="D152" i="36"/>
  <c r="E152" i="36"/>
  <c r="G152" i="36"/>
  <c r="H152" i="36"/>
  <c r="I152" i="36"/>
  <c r="A153" i="36"/>
  <c r="B153" i="36"/>
  <c r="C153" i="36"/>
  <c r="D153" i="36"/>
  <c r="E153" i="36"/>
  <c r="F153" i="36"/>
  <c r="G153" i="36"/>
  <c r="H153" i="36"/>
  <c r="I153" i="36"/>
  <c r="J153" i="36"/>
  <c r="A154" i="36"/>
  <c r="B154" i="36"/>
  <c r="C154" i="36"/>
  <c r="E154" i="36" s="1"/>
  <c r="F154" i="36"/>
  <c r="I154" i="36"/>
  <c r="A155" i="36"/>
  <c r="B155" i="36"/>
  <c r="C155" i="36"/>
  <c r="D155" i="36"/>
  <c r="F155" i="36"/>
  <c r="G155" i="36"/>
  <c r="H155" i="36"/>
  <c r="J155" i="36"/>
  <c r="A156" i="36"/>
  <c r="B156" i="36"/>
  <c r="C156" i="36"/>
  <c r="D156" i="36" s="1"/>
  <c r="E156" i="36"/>
  <c r="H156" i="36"/>
  <c r="A157" i="36"/>
  <c r="B157" i="36"/>
  <c r="C157" i="36"/>
  <c r="D157" i="36"/>
  <c r="E157" i="36"/>
  <c r="F157" i="36"/>
  <c r="G157" i="36"/>
  <c r="H157" i="36"/>
  <c r="I157" i="36"/>
  <c r="J157" i="36"/>
  <c r="A158" i="36"/>
  <c r="B158" i="36"/>
  <c r="C158" i="36"/>
  <c r="E158" i="36"/>
  <c r="G158" i="36"/>
  <c r="I158" i="36"/>
  <c r="J158" i="36"/>
  <c r="A159" i="36"/>
  <c r="B159" i="36"/>
  <c r="C159" i="36"/>
  <c r="D159" i="36" s="1"/>
  <c r="F159" i="36"/>
  <c r="H159" i="36"/>
  <c r="A160" i="36"/>
  <c r="B160" i="36"/>
  <c r="C160" i="36"/>
  <c r="D160" i="36"/>
  <c r="E160" i="36"/>
  <c r="G160" i="36"/>
  <c r="H160" i="36"/>
  <c r="I160" i="36"/>
  <c r="A161" i="36"/>
  <c r="B161" i="36"/>
  <c r="C161" i="36"/>
  <c r="D161" i="36"/>
  <c r="E161" i="36"/>
  <c r="F161" i="36"/>
  <c r="G161" i="36"/>
  <c r="H161" i="36"/>
  <c r="I161" i="36"/>
  <c r="J161" i="36"/>
  <c r="A162" i="36"/>
  <c r="B162" i="36"/>
  <c r="C162" i="36"/>
  <c r="E162" i="36" s="1"/>
  <c r="F162" i="36"/>
  <c r="I162" i="36"/>
  <c r="A163" i="36"/>
  <c r="B163" i="36"/>
  <c r="C163" i="36"/>
  <c r="D163" i="36"/>
  <c r="F163" i="36"/>
  <c r="G163" i="36"/>
  <c r="H163" i="36"/>
  <c r="J163" i="36"/>
  <c r="A164" i="36"/>
  <c r="B164" i="36"/>
  <c r="C164" i="36"/>
  <c r="D164" i="36" s="1"/>
  <c r="H164" i="36"/>
  <c r="A165" i="36"/>
  <c r="B165" i="36"/>
  <c r="C165" i="36"/>
  <c r="D165" i="36"/>
  <c r="E165" i="36"/>
  <c r="F165" i="36"/>
  <c r="G165" i="36"/>
  <c r="H165" i="36"/>
  <c r="I165" i="36"/>
  <c r="J165" i="36"/>
  <c r="A166" i="36"/>
  <c r="B166" i="36"/>
  <c r="C166" i="36"/>
  <c r="E166" i="36"/>
  <c r="F166" i="36"/>
  <c r="G166" i="36"/>
  <c r="I166" i="36"/>
  <c r="J166" i="36"/>
  <c r="A167" i="36"/>
  <c r="B167" i="36"/>
  <c r="C167" i="36"/>
  <c r="D167" i="36" s="1"/>
  <c r="H167" i="36"/>
  <c r="A168" i="36"/>
  <c r="B168" i="36"/>
  <c r="C168" i="36"/>
  <c r="D168" i="36"/>
  <c r="G168" i="36"/>
  <c r="H168" i="36"/>
  <c r="I168" i="36"/>
  <c r="A169" i="36"/>
  <c r="B169" i="36"/>
  <c r="C169" i="36"/>
  <c r="D169" i="36"/>
  <c r="E169" i="36"/>
  <c r="F169" i="36"/>
  <c r="G169" i="36"/>
  <c r="H169" i="36"/>
  <c r="I169" i="36"/>
  <c r="J169" i="36"/>
  <c r="A170" i="36"/>
  <c r="B170" i="36"/>
  <c r="C170" i="36"/>
  <c r="I170" i="36" s="1"/>
  <c r="F170" i="36"/>
  <c r="A171" i="36"/>
  <c r="B171" i="36"/>
  <c r="C171" i="36"/>
  <c r="D171" i="36"/>
  <c r="F171" i="36"/>
  <c r="G171" i="36"/>
  <c r="H171" i="36"/>
  <c r="J171" i="36"/>
  <c r="A172" i="36"/>
  <c r="B172" i="36"/>
  <c r="C172" i="36"/>
  <c r="E172" i="36"/>
  <c r="H172" i="36"/>
  <c r="A173" i="36"/>
  <c r="B173" i="36"/>
  <c r="C173" i="36"/>
  <c r="D173" i="36"/>
  <c r="E173" i="36"/>
  <c r="F173" i="36"/>
  <c r="G173" i="36"/>
  <c r="H173" i="36"/>
  <c r="I173" i="36"/>
  <c r="J173" i="36"/>
  <c r="A174" i="36"/>
  <c r="B174" i="36"/>
  <c r="C174" i="36"/>
  <c r="D174" i="36" s="1"/>
  <c r="E174" i="36"/>
  <c r="G174" i="36"/>
  <c r="H174" i="36"/>
  <c r="I174" i="36"/>
  <c r="A175" i="36"/>
  <c r="B175" i="36"/>
  <c r="C175" i="36"/>
  <c r="D175" i="36"/>
  <c r="E175" i="36"/>
  <c r="F175" i="36"/>
  <c r="G175" i="36"/>
  <c r="H175" i="36"/>
  <c r="I175" i="36"/>
  <c r="J175" i="36"/>
  <c r="A176" i="36"/>
  <c r="B176" i="36"/>
  <c r="C176" i="36"/>
  <c r="G176" i="36" s="1"/>
  <c r="E176" i="36"/>
  <c r="I176" i="36"/>
  <c r="A177" i="36"/>
  <c r="B177" i="36"/>
  <c r="C177" i="36"/>
  <c r="E177" i="36" s="1"/>
  <c r="D177" i="36"/>
  <c r="F177" i="36"/>
  <c r="G177" i="36"/>
  <c r="H177" i="36"/>
  <c r="J177" i="36"/>
  <c r="A178" i="36"/>
  <c r="B178" i="36"/>
  <c r="C178" i="36"/>
  <c r="E178" i="36" s="1"/>
  <c r="G178" i="36"/>
  <c r="A179" i="36"/>
  <c r="B179" i="36"/>
  <c r="C179" i="36"/>
  <c r="D179" i="36"/>
  <c r="E179" i="36"/>
  <c r="F179" i="36"/>
  <c r="G179" i="36"/>
  <c r="H179" i="36"/>
  <c r="I179" i="36"/>
  <c r="J179" i="36"/>
  <c r="A180" i="36"/>
  <c r="B180" i="36"/>
  <c r="C180" i="36"/>
  <c r="G180" i="36" s="1"/>
  <c r="E180" i="36"/>
  <c r="I180" i="36"/>
  <c r="A181" i="36"/>
  <c r="B181" i="36"/>
  <c r="C181" i="36"/>
  <c r="E181" i="36" s="1"/>
  <c r="D181" i="36"/>
  <c r="F181" i="36"/>
  <c r="G181" i="36"/>
  <c r="H181" i="36"/>
  <c r="J181" i="36"/>
  <c r="A182" i="36"/>
  <c r="B182" i="36"/>
  <c r="C182" i="36"/>
  <c r="E182" i="36" s="1"/>
  <c r="G182" i="36"/>
  <c r="A183" i="36"/>
  <c r="B183" i="36"/>
  <c r="C183" i="36"/>
  <c r="D183" i="36"/>
  <c r="E183" i="36"/>
  <c r="F183" i="36"/>
  <c r="G183" i="36"/>
  <c r="H183" i="36"/>
  <c r="I183" i="36"/>
  <c r="J183" i="36"/>
  <c r="A184" i="36"/>
  <c r="B184" i="36"/>
  <c r="C184" i="36"/>
  <c r="G184" i="36" s="1"/>
  <c r="E184" i="36"/>
  <c r="I184" i="36"/>
  <c r="A185" i="36"/>
  <c r="B185" i="36"/>
  <c r="C185" i="36"/>
  <c r="E185" i="36" s="1"/>
  <c r="D185" i="36"/>
  <c r="F185" i="36"/>
  <c r="G185" i="36"/>
  <c r="H185" i="36"/>
  <c r="J185" i="36"/>
  <c r="A186" i="36"/>
  <c r="B186" i="36"/>
  <c r="C186" i="36"/>
  <c r="E186" i="36" s="1"/>
  <c r="G186" i="36"/>
  <c r="A187" i="36"/>
  <c r="B187" i="36"/>
  <c r="C187" i="36"/>
  <c r="D187" i="36"/>
  <c r="E187" i="36"/>
  <c r="F187" i="36"/>
  <c r="G187" i="36"/>
  <c r="H187" i="36"/>
  <c r="I187" i="36"/>
  <c r="J187" i="36"/>
  <c r="A188" i="36"/>
  <c r="B188" i="36"/>
  <c r="C188" i="36"/>
  <c r="G188" i="36" s="1"/>
  <c r="E188" i="36"/>
  <c r="I188" i="36"/>
  <c r="A189" i="36"/>
  <c r="B189" i="36"/>
  <c r="C189" i="36"/>
  <c r="E189" i="36" s="1"/>
  <c r="D189" i="36"/>
  <c r="F189" i="36"/>
  <c r="G189" i="36"/>
  <c r="H189" i="36"/>
  <c r="J189" i="36"/>
  <c r="A190" i="36"/>
  <c r="B190" i="36"/>
  <c r="C190" i="36"/>
  <c r="E190" i="36" s="1"/>
  <c r="G190" i="36"/>
  <c r="A191" i="36"/>
  <c r="B191" i="36"/>
  <c r="C191" i="36"/>
  <c r="D191" i="36"/>
  <c r="E191" i="36"/>
  <c r="F191" i="36"/>
  <c r="G191" i="36"/>
  <c r="H191" i="36"/>
  <c r="I191" i="36"/>
  <c r="J191" i="36"/>
  <c r="A192" i="36"/>
  <c r="B192" i="36"/>
  <c r="C192" i="36"/>
  <c r="F192" i="36" s="1"/>
  <c r="E192" i="36"/>
  <c r="G192" i="36"/>
  <c r="I192" i="36"/>
  <c r="J192" i="36"/>
  <c r="A193" i="36"/>
  <c r="B193" i="36"/>
  <c r="C193" i="36"/>
  <c r="D193" i="36" s="1"/>
  <c r="H193" i="36"/>
  <c r="A194" i="36"/>
  <c r="B194" i="36"/>
  <c r="C194" i="36"/>
  <c r="F194" i="36" s="1"/>
  <c r="D194" i="36"/>
  <c r="E194" i="36"/>
  <c r="G194" i="36"/>
  <c r="H194" i="36"/>
  <c r="I194" i="36"/>
  <c r="J194" i="36"/>
  <c r="K194" i="36"/>
  <c r="A195" i="36"/>
  <c r="B195" i="36"/>
  <c r="C195" i="36"/>
  <c r="E195" i="36" s="1"/>
  <c r="D195" i="36"/>
  <c r="F195" i="36"/>
  <c r="G195" i="36"/>
  <c r="H195" i="36"/>
  <c r="J195" i="36"/>
  <c r="A196" i="36"/>
  <c r="B196" i="36"/>
  <c r="C196" i="36"/>
  <c r="D196" i="36" s="1"/>
  <c r="E196" i="36"/>
  <c r="G196" i="36"/>
  <c r="I196" i="36"/>
  <c r="A197" i="36"/>
  <c r="B197" i="36"/>
  <c r="C197" i="36"/>
  <c r="D197" i="36"/>
  <c r="K197" i="36" s="1"/>
  <c r="E197" i="36"/>
  <c r="F197" i="36"/>
  <c r="G197" i="36"/>
  <c r="H197" i="36"/>
  <c r="I197" i="36"/>
  <c r="J197" i="36"/>
  <c r="A198" i="36"/>
  <c r="B198" i="36"/>
  <c r="C198" i="36"/>
  <c r="E198" i="36" s="1"/>
  <c r="G198" i="36"/>
  <c r="A199" i="36"/>
  <c r="B199" i="36"/>
  <c r="C199" i="36"/>
  <c r="E199" i="36" s="1"/>
  <c r="D199" i="36"/>
  <c r="F199" i="36"/>
  <c r="G199" i="36"/>
  <c r="H199" i="36"/>
  <c r="J199" i="36"/>
  <c r="A200" i="36"/>
  <c r="B200" i="36"/>
  <c r="C200" i="36"/>
  <c r="D200" i="36" s="1"/>
  <c r="E200" i="36"/>
  <c r="G200" i="36"/>
  <c r="I200" i="36"/>
  <c r="A201" i="36"/>
  <c r="B201" i="36"/>
  <c r="C201" i="36"/>
  <c r="D201" i="36"/>
  <c r="K201" i="36" s="1"/>
  <c r="E201" i="36"/>
  <c r="F201" i="36"/>
  <c r="G201" i="36"/>
  <c r="H201" i="36"/>
  <c r="I201" i="36"/>
  <c r="J201" i="36"/>
  <c r="A202" i="36"/>
  <c r="B202" i="36"/>
  <c r="C202" i="36"/>
  <c r="E202" i="36" s="1"/>
  <c r="G202" i="36"/>
  <c r="A203" i="36"/>
  <c r="B203" i="36"/>
  <c r="C203" i="36"/>
  <c r="E203" i="36" s="1"/>
  <c r="D203" i="36"/>
  <c r="F203" i="36"/>
  <c r="G203" i="36"/>
  <c r="H203" i="36"/>
  <c r="J203" i="36"/>
  <c r="A204" i="36"/>
  <c r="B204" i="36"/>
  <c r="C204" i="36"/>
  <c r="D204" i="36" s="1"/>
  <c r="E204" i="36"/>
  <c r="G204" i="36"/>
  <c r="I204" i="36"/>
  <c r="A205" i="36"/>
  <c r="B205" i="36"/>
  <c r="C205" i="36"/>
  <c r="D205" i="36"/>
  <c r="K205" i="36" s="1"/>
  <c r="E205" i="36"/>
  <c r="F205" i="36"/>
  <c r="G205" i="36"/>
  <c r="H205" i="36"/>
  <c r="I205" i="36"/>
  <c r="J205" i="36"/>
  <c r="A206" i="36"/>
  <c r="B206" i="36"/>
  <c r="C206" i="36"/>
  <c r="E206" i="36" s="1"/>
  <c r="G206" i="36"/>
  <c r="A207" i="36"/>
  <c r="B207" i="36"/>
  <c r="C207" i="36"/>
  <c r="E207" i="36" s="1"/>
  <c r="D207" i="36"/>
  <c r="F207" i="36"/>
  <c r="G207" i="36"/>
  <c r="H207" i="36"/>
  <c r="J207" i="36"/>
  <c r="A208" i="36"/>
  <c r="B208" i="36"/>
  <c r="C208" i="36"/>
  <c r="D208" i="36" s="1"/>
  <c r="E208" i="36"/>
  <c r="G208" i="36"/>
  <c r="I208" i="36"/>
  <c r="A209" i="36"/>
  <c r="B209" i="36"/>
  <c r="C209" i="36"/>
  <c r="D209" i="36"/>
  <c r="K209" i="36" s="1"/>
  <c r="E209" i="36"/>
  <c r="F209" i="36"/>
  <c r="G209" i="36"/>
  <c r="H209" i="36"/>
  <c r="I209" i="36"/>
  <c r="J209" i="36"/>
  <c r="A210" i="36"/>
  <c r="B210" i="36"/>
  <c r="C210" i="36"/>
  <c r="E210" i="36" s="1"/>
  <c r="G210" i="36"/>
  <c r="A211" i="36"/>
  <c r="B211" i="36"/>
  <c r="C211" i="36"/>
  <c r="E211" i="36" s="1"/>
  <c r="D211" i="36"/>
  <c r="F211" i="36"/>
  <c r="G211" i="36"/>
  <c r="H211" i="36"/>
  <c r="J211" i="36"/>
  <c r="A212" i="36"/>
  <c r="B212" i="36"/>
  <c r="C212" i="36"/>
  <c r="D212" i="36" s="1"/>
  <c r="E212" i="36"/>
  <c r="G212" i="36"/>
  <c r="I212" i="36"/>
  <c r="A213" i="36"/>
  <c r="B213" i="36"/>
  <c r="C213" i="36"/>
  <c r="D213" i="36"/>
  <c r="K213" i="36" s="1"/>
  <c r="E213" i="36"/>
  <c r="F213" i="36"/>
  <c r="G213" i="36"/>
  <c r="H213" i="36"/>
  <c r="I213" i="36"/>
  <c r="J213" i="36"/>
  <c r="A214" i="36"/>
  <c r="B214" i="36"/>
  <c r="C214" i="36"/>
  <c r="E214" i="36" s="1"/>
  <c r="G214" i="36"/>
  <c r="A215" i="36"/>
  <c r="B215" i="36"/>
  <c r="C215" i="36"/>
  <c r="E215" i="36" s="1"/>
  <c r="D215" i="36"/>
  <c r="F215" i="36"/>
  <c r="G215" i="36"/>
  <c r="H215" i="36"/>
  <c r="J215" i="36"/>
  <c r="A216" i="36"/>
  <c r="B216" i="36"/>
  <c r="C216" i="36"/>
  <c r="D216" i="36" s="1"/>
  <c r="E216" i="36"/>
  <c r="G216" i="36"/>
  <c r="I216" i="36"/>
  <c r="A217" i="36"/>
  <c r="B217" i="36"/>
  <c r="C217" i="36"/>
  <c r="D217" i="36"/>
  <c r="K217" i="36" s="1"/>
  <c r="E217" i="36"/>
  <c r="F217" i="36"/>
  <c r="G217" i="36"/>
  <c r="H217" i="36"/>
  <c r="I217" i="36"/>
  <c r="J217" i="36"/>
  <c r="A218" i="36"/>
  <c r="B218" i="36"/>
  <c r="C218" i="36"/>
  <c r="E218" i="36" s="1"/>
  <c r="G218" i="36"/>
  <c r="A219" i="36"/>
  <c r="B219" i="36"/>
  <c r="C219" i="36"/>
  <c r="E219" i="36" s="1"/>
  <c r="D219" i="36"/>
  <c r="F219" i="36"/>
  <c r="G219" i="36"/>
  <c r="H219" i="36"/>
  <c r="J219" i="36"/>
  <c r="A220" i="36"/>
  <c r="B220" i="36"/>
  <c r="C220" i="36"/>
  <c r="D220" i="36" s="1"/>
  <c r="E220" i="36"/>
  <c r="G220" i="36"/>
  <c r="I220" i="36"/>
  <c r="A221" i="36"/>
  <c r="B221" i="36"/>
  <c r="C221" i="36"/>
  <c r="D221" i="36"/>
  <c r="K221" i="36" s="1"/>
  <c r="E221" i="36"/>
  <c r="F221" i="36"/>
  <c r="G221" i="36"/>
  <c r="H221" i="36"/>
  <c r="I221" i="36"/>
  <c r="J221" i="36"/>
  <c r="A222" i="36"/>
  <c r="B222" i="36"/>
  <c r="C222" i="36"/>
  <c r="G222" i="36"/>
  <c r="A223" i="36"/>
  <c r="B223" i="36"/>
  <c r="C223" i="36"/>
  <c r="E223" i="36" s="1"/>
  <c r="D223" i="36"/>
  <c r="F223" i="36"/>
  <c r="G223" i="36"/>
  <c r="H223" i="36"/>
  <c r="J223" i="36"/>
  <c r="A224" i="36"/>
  <c r="B224" i="36"/>
  <c r="C224" i="36"/>
  <c r="D224" i="36" s="1"/>
  <c r="E224" i="36"/>
  <c r="G224" i="36"/>
  <c r="I224" i="36"/>
  <c r="A225" i="36"/>
  <c r="B225" i="36"/>
  <c r="C225" i="36"/>
  <c r="D225" i="36"/>
  <c r="E225" i="36"/>
  <c r="F225" i="36"/>
  <c r="G225" i="36"/>
  <c r="H225" i="36"/>
  <c r="I225" i="36"/>
  <c r="J225" i="36"/>
  <c r="A226" i="36"/>
  <c r="B226" i="36"/>
  <c r="C226" i="36"/>
  <c r="G226" i="36" s="1"/>
  <c r="E226" i="36"/>
  <c r="I226" i="36"/>
  <c r="A227" i="36"/>
  <c r="B227" i="36"/>
  <c r="C227" i="36"/>
  <c r="E227" i="36" s="1"/>
  <c r="D227" i="36"/>
  <c r="F227" i="36"/>
  <c r="G227" i="36"/>
  <c r="H227" i="36"/>
  <c r="J227" i="36"/>
  <c r="A228" i="36"/>
  <c r="B228" i="36"/>
  <c r="C228" i="36"/>
  <c r="E228" i="36" s="1"/>
  <c r="G228" i="36"/>
  <c r="A229" i="36"/>
  <c r="B229" i="36"/>
  <c r="C229" i="36"/>
  <c r="D229" i="36"/>
  <c r="E229" i="36"/>
  <c r="F229" i="36"/>
  <c r="G229" i="36"/>
  <c r="H229" i="36"/>
  <c r="I229" i="36"/>
  <c r="J229" i="36"/>
  <c r="A230" i="36"/>
  <c r="B230" i="36"/>
  <c r="C230" i="36"/>
  <c r="G230" i="36" s="1"/>
  <c r="E230" i="36"/>
  <c r="I230" i="36"/>
  <c r="A231" i="36"/>
  <c r="B231" i="36"/>
  <c r="C231" i="36"/>
  <c r="E231" i="36" s="1"/>
  <c r="D231" i="36"/>
  <c r="F231" i="36"/>
  <c r="G231" i="36"/>
  <c r="H231" i="36"/>
  <c r="J231" i="36"/>
  <c r="A232" i="36"/>
  <c r="B232" i="36"/>
  <c r="C232" i="36"/>
  <c r="E232" i="36" s="1"/>
  <c r="G232" i="36"/>
  <c r="A233" i="36"/>
  <c r="B233" i="36"/>
  <c r="C233" i="36"/>
  <c r="D233" i="36"/>
  <c r="E233" i="36"/>
  <c r="F233" i="36"/>
  <c r="G233" i="36"/>
  <c r="H233" i="36"/>
  <c r="I233" i="36"/>
  <c r="J233" i="36"/>
  <c r="A234" i="36"/>
  <c r="B234" i="36"/>
  <c r="C234" i="36"/>
  <c r="G234" i="36" s="1"/>
  <c r="E234" i="36"/>
  <c r="I234" i="36"/>
  <c r="A235" i="36"/>
  <c r="B235" i="36"/>
  <c r="C235" i="36"/>
  <c r="E235" i="36" s="1"/>
  <c r="D235" i="36"/>
  <c r="F235" i="36"/>
  <c r="G235" i="36"/>
  <c r="H235" i="36"/>
  <c r="J235" i="36"/>
  <c r="A236" i="36"/>
  <c r="B236" i="36"/>
  <c r="C236" i="36"/>
  <c r="E236" i="36" s="1"/>
  <c r="G236" i="36"/>
  <c r="A237" i="36"/>
  <c r="B237" i="36"/>
  <c r="C237" i="36"/>
  <c r="D237" i="36"/>
  <c r="E237" i="36"/>
  <c r="F237" i="36"/>
  <c r="G237" i="36"/>
  <c r="H237" i="36"/>
  <c r="I237" i="36"/>
  <c r="J237" i="36"/>
  <c r="A238" i="36"/>
  <c r="B238" i="36"/>
  <c r="C238" i="36"/>
  <c r="G238" i="36" s="1"/>
  <c r="E238" i="36"/>
  <c r="I238" i="36"/>
  <c r="A239" i="36"/>
  <c r="B239" i="36"/>
  <c r="C239" i="36"/>
  <c r="E239" i="36" s="1"/>
  <c r="D239" i="36"/>
  <c r="F239" i="36"/>
  <c r="G239" i="36"/>
  <c r="H239" i="36"/>
  <c r="J239" i="36"/>
  <c r="A240" i="36"/>
  <c r="B240" i="36"/>
  <c r="C240" i="36"/>
  <c r="E240" i="36" s="1"/>
  <c r="G240" i="36"/>
  <c r="A241" i="36"/>
  <c r="B241" i="36"/>
  <c r="C241" i="36"/>
  <c r="D241" i="36"/>
  <c r="E241" i="36"/>
  <c r="F241" i="36"/>
  <c r="G241" i="36"/>
  <c r="H241" i="36"/>
  <c r="I241" i="36"/>
  <c r="J241" i="36"/>
  <c r="A242" i="36"/>
  <c r="B242" i="36"/>
  <c r="C242" i="36"/>
  <c r="G242" i="36" s="1"/>
  <c r="E242" i="36"/>
  <c r="I242" i="36"/>
  <c r="A243" i="36"/>
  <c r="B243" i="36"/>
  <c r="C243" i="36"/>
  <c r="E243" i="36" s="1"/>
  <c r="D243" i="36"/>
  <c r="F243" i="36"/>
  <c r="G243" i="36"/>
  <c r="H243" i="36"/>
  <c r="J243" i="36"/>
  <c r="A244" i="36"/>
  <c r="B244" i="36"/>
  <c r="C244" i="36"/>
  <c r="E244" i="36" s="1"/>
  <c r="G244" i="36"/>
  <c r="A245" i="36"/>
  <c r="B245" i="36"/>
  <c r="C245" i="36"/>
  <c r="D245" i="36"/>
  <c r="E245" i="36"/>
  <c r="F245" i="36"/>
  <c r="G245" i="36"/>
  <c r="H245" i="36"/>
  <c r="I245" i="36"/>
  <c r="J245" i="36"/>
  <c r="A246" i="36"/>
  <c r="B246" i="36"/>
  <c r="C246" i="36"/>
  <c r="G246" i="36" s="1"/>
  <c r="E246" i="36"/>
  <c r="I246" i="36"/>
  <c r="A247" i="36"/>
  <c r="B247" i="36"/>
  <c r="C247" i="36"/>
  <c r="E247" i="36" s="1"/>
  <c r="D247" i="36"/>
  <c r="F247" i="36"/>
  <c r="G247" i="36"/>
  <c r="H247" i="36"/>
  <c r="J247" i="36"/>
  <c r="A248" i="36"/>
  <c r="B248" i="36"/>
  <c r="C248" i="36"/>
  <c r="E248" i="36" s="1"/>
  <c r="G248" i="36"/>
  <c r="A249" i="36"/>
  <c r="B249" i="36"/>
  <c r="C249" i="36"/>
  <c r="D249" i="36"/>
  <c r="E249" i="36"/>
  <c r="F249" i="36"/>
  <c r="G249" i="36"/>
  <c r="H249" i="36"/>
  <c r="I249" i="36"/>
  <c r="J249" i="36"/>
  <c r="A250" i="36"/>
  <c r="B250" i="36"/>
  <c r="C250" i="36"/>
  <c r="G250" i="36" s="1"/>
  <c r="E250" i="36"/>
  <c r="I250" i="36"/>
  <c r="A251" i="36"/>
  <c r="B251" i="36"/>
  <c r="C251" i="36"/>
  <c r="E251" i="36" s="1"/>
  <c r="D251" i="36"/>
  <c r="F251" i="36"/>
  <c r="G251" i="36"/>
  <c r="H251" i="36"/>
  <c r="J251" i="36"/>
  <c r="A252" i="36"/>
  <c r="B252" i="36"/>
  <c r="C252" i="36"/>
  <c r="E252" i="36" s="1"/>
  <c r="G252" i="36"/>
  <c r="A253" i="36"/>
  <c r="B253" i="36"/>
  <c r="C253" i="36"/>
  <c r="D253" i="36"/>
  <c r="E253" i="36"/>
  <c r="F253" i="36"/>
  <c r="G253" i="36"/>
  <c r="H253" i="36"/>
  <c r="I253" i="36"/>
  <c r="J253" i="36"/>
  <c r="A254" i="36"/>
  <c r="B254" i="36"/>
  <c r="C254" i="36"/>
  <c r="G254" i="36" s="1"/>
  <c r="E254" i="36"/>
  <c r="I254" i="36"/>
  <c r="A255" i="36"/>
  <c r="B255" i="36"/>
  <c r="C255" i="36"/>
  <c r="E255" i="36" s="1"/>
  <c r="D255" i="36"/>
  <c r="F255" i="36"/>
  <c r="G255" i="36"/>
  <c r="H255" i="36"/>
  <c r="J255" i="36"/>
  <c r="A256" i="36"/>
  <c r="B256" i="36"/>
  <c r="C256" i="36"/>
  <c r="E256" i="36" s="1"/>
  <c r="G256" i="36"/>
  <c r="A257" i="36"/>
  <c r="B257" i="36"/>
  <c r="C257" i="36"/>
  <c r="D257" i="36"/>
  <c r="E257" i="36"/>
  <c r="F257" i="36"/>
  <c r="G257" i="36"/>
  <c r="H257" i="36"/>
  <c r="I257" i="36"/>
  <c r="J257" i="36"/>
  <c r="A258" i="36"/>
  <c r="B258" i="36"/>
  <c r="C258" i="36"/>
  <c r="G258" i="36" s="1"/>
  <c r="E258" i="36"/>
  <c r="I258" i="36"/>
  <c r="A259" i="36"/>
  <c r="B259" i="36"/>
  <c r="C259" i="36"/>
  <c r="E259" i="36" s="1"/>
  <c r="D259" i="36"/>
  <c r="F259" i="36"/>
  <c r="G259" i="36"/>
  <c r="H259" i="36"/>
  <c r="J259" i="36"/>
  <c r="A260" i="36"/>
  <c r="B260" i="36"/>
  <c r="C260" i="36"/>
  <c r="E260" i="36" s="1"/>
  <c r="G260" i="36"/>
  <c r="A261" i="36"/>
  <c r="B261" i="36"/>
  <c r="C261" i="36"/>
  <c r="D261" i="36"/>
  <c r="E261" i="36"/>
  <c r="F261" i="36"/>
  <c r="G261" i="36"/>
  <c r="H261" i="36"/>
  <c r="I261" i="36"/>
  <c r="J261" i="36"/>
  <c r="A262" i="36"/>
  <c r="B262" i="36"/>
  <c r="C262" i="36"/>
  <c r="G262" i="36" s="1"/>
  <c r="E262" i="36"/>
  <c r="I262" i="36"/>
  <c r="A263" i="36"/>
  <c r="B263" i="36"/>
  <c r="C263" i="36"/>
  <c r="E263" i="36" s="1"/>
  <c r="D263" i="36"/>
  <c r="F263" i="36"/>
  <c r="G263" i="36"/>
  <c r="H263" i="36"/>
  <c r="J263" i="36"/>
  <c r="A264" i="36"/>
  <c r="B264" i="36"/>
  <c r="C264" i="36"/>
  <c r="E264" i="36" s="1"/>
  <c r="G264" i="36"/>
  <c r="A265" i="36"/>
  <c r="B265" i="36"/>
  <c r="C265" i="36"/>
  <c r="D265" i="36"/>
  <c r="E265" i="36"/>
  <c r="F265" i="36"/>
  <c r="G265" i="36"/>
  <c r="H265" i="36"/>
  <c r="I265" i="36"/>
  <c r="J265" i="36"/>
  <c r="A266" i="36"/>
  <c r="B266" i="36"/>
  <c r="C266" i="36"/>
  <c r="G266" i="36" s="1"/>
  <c r="E266" i="36"/>
  <c r="I266" i="36"/>
  <c r="A267" i="36"/>
  <c r="B267" i="36"/>
  <c r="C267" i="36"/>
  <c r="E267" i="36" s="1"/>
  <c r="D267" i="36"/>
  <c r="F267" i="36"/>
  <c r="G267" i="36"/>
  <c r="H267" i="36"/>
  <c r="J267" i="36"/>
  <c r="A268" i="36"/>
  <c r="B268" i="36"/>
  <c r="C268" i="36"/>
  <c r="E268" i="36" s="1"/>
  <c r="G268" i="36"/>
  <c r="A269" i="36"/>
  <c r="B269" i="36"/>
  <c r="C269" i="36"/>
  <c r="D269" i="36"/>
  <c r="E269" i="36"/>
  <c r="F269" i="36"/>
  <c r="G269" i="36"/>
  <c r="H269" i="36"/>
  <c r="I269" i="36"/>
  <c r="J269" i="36"/>
  <c r="A270" i="36"/>
  <c r="B270" i="36"/>
  <c r="C270" i="36"/>
  <c r="F270" i="36" s="1"/>
  <c r="E270" i="36"/>
  <c r="G270" i="36"/>
  <c r="I270" i="36"/>
  <c r="J270" i="36"/>
  <c r="A271" i="36"/>
  <c r="B271" i="36"/>
  <c r="C271" i="36"/>
  <c r="D271" i="36" s="1"/>
  <c r="H271" i="36"/>
  <c r="A272" i="36"/>
  <c r="B272" i="36"/>
  <c r="C272" i="36"/>
  <c r="D272" i="36"/>
  <c r="E272" i="36"/>
  <c r="G272" i="36"/>
  <c r="H272" i="36"/>
  <c r="I272" i="36"/>
  <c r="A273" i="36"/>
  <c r="B273" i="36"/>
  <c r="C273" i="36"/>
  <c r="D273" i="36"/>
  <c r="E273" i="36"/>
  <c r="F273" i="36"/>
  <c r="G273" i="36"/>
  <c r="H273" i="36"/>
  <c r="I273" i="36"/>
  <c r="J273" i="36"/>
  <c r="A274" i="36"/>
  <c r="B274" i="36"/>
  <c r="C274" i="36"/>
  <c r="E274" i="36" s="1"/>
  <c r="I274" i="36"/>
  <c r="A275" i="36"/>
  <c r="B275" i="36"/>
  <c r="C275" i="36"/>
  <c r="D275" i="36"/>
  <c r="F275" i="36"/>
  <c r="G275" i="36"/>
  <c r="H275" i="36"/>
  <c r="J275" i="36"/>
  <c r="A276" i="36"/>
  <c r="B276" i="36"/>
  <c r="C276" i="36"/>
  <c r="D276" i="36" s="1"/>
  <c r="E276" i="36"/>
  <c r="H276" i="36"/>
  <c r="A277" i="36"/>
  <c r="B277" i="36"/>
  <c r="C277" i="36"/>
  <c r="D277" i="36"/>
  <c r="E277" i="36"/>
  <c r="F277" i="36"/>
  <c r="G277" i="36"/>
  <c r="H277" i="36"/>
  <c r="I277" i="36"/>
  <c r="J277" i="36"/>
  <c r="A278" i="36"/>
  <c r="B278" i="36"/>
  <c r="C278" i="36"/>
  <c r="E278" i="36"/>
  <c r="F278" i="36"/>
  <c r="G278" i="36"/>
  <c r="I278" i="36"/>
  <c r="J278" i="36"/>
  <c r="A279" i="36"/>
  <c r="B279" i="36"/>
  <c r="C279" i="36"/>
  <c r="D279" i="36" s="1"/>
  <c r="F279" i="36"/>
  <c r="H279" i="36"/>
  <c r="A280" i="36"/>
  <c r="B280" i="36"/>
  <c r="C280" i="36"/>
  <c r="E280" i="36" s="1"/>
  <c r="D280" i="36"/>
  <c r="G280" i="36"/>
  <c r="H280" i="36"/>
  <c r="I280" i="36"/>
  <c r="A281" i="36"/>
  <c r="B281" i="36"/>
  <c r="C281" i="36"/>
  <c r="D281" i="36"/>
  <c r="E281" i="36"/>
  <c r="F281" i="36"/>
  <c r="G281" i="36"/>
  <c r="H281" i="36"/>
  <c r="I281" i="36"/>
  <c r="J281" i="36"/>
  <c r="A282" i="36"/>
  <c r="B282" i="36"/>
  <c r="C282" i="36"/>
  <c r="D282" i="36" s="1"/>
  <c r="E282" i="36"/>
  <c r="G282" i="36"/>
  <c r="I282" i="36"/>
  <c r="A283" i="36"/>
  <c r="B283" i="36"/>
  <c r="C283" i="36"/>
  <c r="D283" i="36"/>
  <c r="K283" i="36" s="1"/>
  <c r="E283" i="36"/>
  <c r="F283" i="36"/>
  <c r="G283" i="36"/>
  <c r="H283" i="36"/>
  <c r="I283" i="36"/>
  <c r="J283" i="36"/>
  <c r="A284" i="36"/>
  <c r="B284" i="36"/>
  <c r="C284" i="36"/>
  <c r="E284" i="36" s="1"/>
  <c r="G284" i="36"/>
  <c r="A285" i="36"/>
  <c r="B285" i="36"/>
  <c r="C285" i="36"/>
  <c r="E285" i="36" s="1"/>
  <c r="D285" i="36"/>
  <c r="F285" i="36"/>
  <c r="G285" i="36"/>
  <c r="H285" i="36"/>
  <c r="J285" i="36"/>
  <c r="A286" i="36"/>
  <c r="B286" i="36"/>
  <c r="C286" i="36"/>
  <c r="D286" i="36" s="1"/>
  <c r="E286" i="36"/>
  <c r="G286" i="36"/>
  <c r="I286" i="36"/>
  <c r="A287" i="36"/>
  <c r="B287" i="36"/>
  <c r="C287" i="36"/>
  <c r="D287" i="36"/>
  <c r="K287" i="36" s="1"/>
  <c r="E287" i="36"/>
  <c r="F287" i="36"/>
  <c r="G287" i="36"/>
  <c r="H287" i="36"/>
  <c r="I287" i="36"/>
  <c r="J287" i="36"/>
  <c r="A288" i="36"/>
  <c r="B288" i="36"/>
  <c r="C288" i="36"/>
  <c r="E288" i="36" s="1"/>
  <c r="G288" i="36"/>
  <c r="A289" i="36"/>
  <c r="B289" i="36"/>
  <c r="C289" i="36"/>
  <c r="E289" i="36" s="1"/>
  <c r="D289" i="36"/>
  <c r="F289" i="36"/>
  <c r="G289" i="36"/>
  <c r="H289" i="36"/>
  <c r="J289" i="36"/>
  <c r="A290" i="36"/>
  <c r="B290" i="36"/>
  <c r="C290" i="36"/>
  <c r="D290" i="36" s="1"/>
  <c r="E290" i="36"/>
  <c r="G290" i="36"/>
  <c r="I290" i="36"/>
  <c r="A291" i="36"/>
  <c r="B291" i="36"/>
  <c r="C291" i="36"/>
  <c r="D291" i="36"/>
  <c r="K291" i="36" s="1"/>
  <c r="E291" i="36"/>
  <c r="F291" i="36"/>
  <c r="G291" i="36"/>
  <c r="H291" i="36"/>
  <c r="I291" i="36"/>
  <c r="J291" i="36"/>
  <c r="A292" i="36"/>
  <c r="B292" i="36"/>
  <c r="C292" i="36"/>
  <c r="E292" i="36" s="1"/>
  <c r="G292" i="36"/>
  <c r="A293" i="36"/>
  <c r="B293" i="36"/>
  <c r="C293" i="36"/>
  <c r="E293" i="36" s="1"/>
  <c r="D293" i="36"/>
  <c r="F293" i="36"/>
  <c r="G293" i="36"/>
  <c r="H293" i="36"/>
  <c r="J293" i="36"/>
  <c r="A294" i="36"/>
  <c r="B294" i="36"/>
  <c r="C294" i="36"/>
  <c r="D294" i="36" s="1"/>
  <c r="E294" i="36"/>
  <c r="G294" i="36"/>
  <c r="I294" i="36"/>
  <c r="A295" i="36"/>
  <c r="B295" i="36"/>
  <c r="C295" i="36"/>
  <c r="D295" i="36"/>
  <c r="K295" i="36" s="1"/>
  <c r="E295" i="36"/>
  <c r="F295" i="36"/>
  <c r="G295" i="36"/>
  <c r="H295" i="36"/>
  <c r="I295" i="36"/>
  <c r="J295" i="36"/>
  <c r="A296" i="36"/>
  <c r="B296" i="36"/>
  <c r="C296" i="36"/>
  <c r="E296" i="36" s="1"/>
  <c r="G296" i="36"/>
  <c r="A297" i="36"/>
  <c r="B297" i="36"/>
  <c r="C297" i="36"/>
  <c r="E297" i="36" s="1"/>
  <c r="D297" i="36"/>
  <c r="F297" i="36"/>
  <c r="G297" i="36"/>
  <c r="H297" i="36"/>
  <c r="J297" i="36"/>
  <c r="A298" i="36"/>
  <c r="B298" i="36"/>
  <c r="C298" i="36"/>
  <c r="D298" i="36" s="1"/>
  <c r="E298" i="36"/>
  <c r="G298" i="36"/>
  <c r="I298" i="36"/>
  <c r="A299" i="36"/>
  <c r="B299" i="36"/>
  <c r="C299" i="36"/>
  <c r="D299" i="36"/>
  <c r="K299" i="36" s="1"/>
  <c r="E299" i="36"/>
  <c r="F299" i="36"/>
  <c r="G299" i="36"/>
  <c r="H299" i="36"/>
  <c r="I299" i="36"/>
  <c r="J299" i="36"/>
  <c r="A300" i="36"/>
  <c r="B300" i="36"/>
  <c r="C300" i="36"/>
  <c r="E300" i="36" s="1"/>
  <c r="G300" i="36"/>
  <c r="A301" i="36"/>
  <c r="B301" i="36"/>
  <c r="C301" i="36"/>
  <c r="E301" i="36" s="1"/>
  <c r="D301" i="36"/>
  <c r="F301" i="36"/>
  <c r="G301" i="36"/>
  <c r="H301" i="36"/>
  <c r="J301" i="36"/>
  <c r="A302" i="36"/>
  <c r="B302" i="36"/>
  <c r="C302" i="36"/>
  <c r="D302" i="36" s="1"/>
  <c r="E302" i="36"/>
  <c r="G302" i="36"/>
  <c r="I302" i="36"/>
  <c r="A303" i="36"/>
  <c r="B303" i="36"/>
  <c r="C303" i="36"/>
  <c r="D303" i="36"/>
  <c r="K303" i="36" s="1"/>
  <c r="E303" i="36"/>
  <c r="F303" i="36"/>
  <c r="G303" i="36"/>
  <c r="H303" i="36"/>
  <c r="I303" i="36"/>
  <c r="J303" i="36"/>
  <c r="A304" i="36"/>
  <c r="B304" i="36"/>
  <c r="C304" i="36"/>
  <c r="E304" i="36" s="1"/>
  <c r="G304" i="36"/>
  <c r="A305" i="36"/>
  <c r="B305" i="36"/>
  <c r="C305" i="36"/>
  <c r="E305" i="36" s="1"/>
  <c r="D305" i="36"/>
  <c r="F305" i="36"/>
  <c r="G305" i="36"/>
  <c r="H305" i="36"/>
  <c r="J305" i="36"/>
  <c r="A306" i="36"/>
  <c r="B306" i="36"/>
  <c r="C306" i="36"/>
  <c r="D306" i="36" s="1"/>
  <c r="E306" i="36"/>
  <c r="G306" i="36"/>
  <c r="I306" i="36"/>
  <c r="A307" i="36"/>
  <c r="B307" i="36"/>
  <c r="C307" i="36"/>
  <c r="D307" i="36"/>
  <c r="K307" i="36" s="1"/>
  <c r="E307" i="36"/>
  <c r="F307" i="36"/>
  <c r="G307" i="36"/>
  <c r="H307" i="36"/>
  <c r="I307" i="36"/>
  <c r="J307" i="36"/>
  <c r="A308" i="36"/>
  <c r="B308" i="36"/>
  <c r="C308" i="36"/>
  <c r="E308" i="36" s="1"/>
  <c r="G308" i="36"/>
  <c r="A309" i="36"/>
  <c r="B309" i="36"/>
  <c r="C309" i="36"/>
  <c r="E309" i="36" s="1"/>
  <c r="D309" i="36"/>
  <c r="F309" i="36"/>
  <c r="G309" i="36"/>
  <c r="H309" i="36"/>
  <c r="J309" i="36"/>
  <c r="A310" i="36"/>
  <c r="B310" i="36"/>
  <c r="C310" i="36"/>
  <c r="D310" i="36" s="1"/>
  <c r="E310" i="36"/>
  <c r="G310" i="36"/>
  <c r="I310" i="36"/>
  <c r="A311" i="36"/>
  <c r="B311" i="36"/>
  <c r="C311" i="36"/>
  <c r="D311" i="36"/>
  <c r="K311" i="36" s="1"/>
  <c r="E311" i="36"/>
  <c r="F311" i="36"/>
  <c r="G311" i="36"/>
  <c r="H311" i="36"/>
  <c r="I311" i="36"/>
  <c r="J311" i="36"/>
  <c r="A312" i="36"/>
  <c r="B312" i="36"/>
  <c r="C312" i="36"/>
  <c r="E312" i="36" s="1"/>
  <c r="G312" i="36"/>
  <c r="A313" i="36"/>
  <c r="B313" i="36"/>
  <c r="C313" i="36"/>
  <c r="E313" i="36" s="1"/>
  <c r="D313" i="36"/>
  <c r="F313" i="36"/>
  <c r="G313" i="36"/>
  <c r="H313" i="36"/>
  <c r="J313" i="36"/>
  <c r="A314" i="36"/>
  <c r="B314" i="36"/>
  <c r="C314" i="36"/>
  <c r="D314" i="36" s="1"/>
  <c r="E314" i="36"/>
  <c r="G314" i="36"/>
  <c r="I314" i="36"/>
  <c r="A315" i="36"/>
  <c r="B315" i="36"/>
  <c r="C315" i="36"/>
  <c r="D315" i="36"/>
  <c r="K315" i="36" s="1"/>
  <c r="E315" i="36"/>
  <c r="F315" i="36"/>
  <c r="G315" i="36"/>
  <c r="H315" i="36"/>
  <c r="I315" i="36"/>
  <c r="J315" i="36"/>
  <c r="A316" i="36"/>
  <c r="B316" i="36"/>
  <c r="C316" i="36"/>
  <c r="E316" i="36" s="1"/>
  <c r="G316" i="36"/>
  <c r="A12" i="9"/>
  <c r="B12" i="9"/>
  <c r="C12" i="9"/>
  <c r="D12" i="9"/>
  <c r="G12" i="9" s="1"/>
  <c r="E12" i="9"/>
  <c r="F12" i="9"/>
  <c r="A13" i="9"/>
  <c r="B13" i="9"/>
  <c r="C13" i="9"/>
  <c r="D13" i="9"/>
  <c r="E13" i="9"/>
  <c r="G13" i="9" s="1"/>
  <c r="F13" i="9"/>
  <c r="A14" i="9"/>
  <c r="B14" i="9"/>
  <c r="C14" i="9"/>
  <c r="D14" i="9"/>
  <c r="G14" i="9" s="1"/>
  <c r="E14" i="9"/>
  <c r="F14" i="9"/>
  <c r="A15" i="9"/>
  <c r="B15" i="9"/>
  <c r="C15" i="9"/>
  <c r="D15" i="9"/>
  <c r="E15" i="9"/>
  <c r="F15" i="9"/>
  <c r="G15" i="9"/>
  <c r="A16" i="9"/>
  <c r="B16" i="9"/>
  <c r="C16" i="9"/>
  <c r="D16" i="9"/>
  <c r="G16" i="9" s="1"/>
  <c r="E16" i="9"/>
  <c r="F16" i="9"/>
  <c r="A17" i="9"/>
  <c r="B17" i="9"/>
  <c r="C17" i="9"/>
  <c r="D17" i="9"/>
  <c r="E17" i="9"/>
  <c r="G17" i="9" s="1"/>
  <c r="F17" i="9"/>
  <c r="A18" i="9"/>
  <c r="B18" i="9"/>
  <c r="C18" i="9"/>
  <c r="D18" i="9"/>
  <c r="G18" i="9" s="1"/>
  <c r="E18" i="9"/>
  <c r="F18" i="9"/>
  <c r="A19" i="9"/>
  <c r="B19" i="9"/>
  <c r="C19" i="9"/>
  <c r="D19" i="9"/>
  <c r="E19" i="9"/>
  <c r="F19" i="9"/>
  <c r="G19" i="9" s="1"/>
  <c r="A20" i="9"/>
  <c r="B20" i="9"/>
  <c r="C20" i="9"/>
  <c r="D20" i="9"/>
  <c r="E20" i="9"/>
  <c r="F20" i="9"/>
  <c r="G20" i="9" s="1"/>
  <c r="A21" i="9"/>
  <c r="B21" i="9"/>
  <c r="C21" i="9"/>
  <c r="D21" i="9"/>
  <c r="E21" i="9"/>
  <c r="F21" i="9"/>
  <c r="G21" i="9"/>
  <c r="A22" i="9"/>
  <c r="B22" i="9"/>
  <c r="C22" i="9"/>
  <c r="D22" i="9"/>
  <c r="G22" i="9" s="1"/>
  <c r="E22" i="9"/>
  <c r="F22" i="9"/>
  <c r="A23" i="9"/>
  <c r="B23" i="9"/>
  <c r="C23" i="9"/>
  <c r="D23" i="9"/>
  <c r="E23" i="9"/>
  <c r="F23" i="9"/>
  <c r="G23" i="9" s="1"/>
  <c r="A24" i="9"/>
  <c r="B24" i="9"/>
  <c r="C24" i="9"/>
  <c r="D24" i="9"/>
  <c r="E24" i="9"/>
  <c r="F24" i="9"/>
  <c r="G24" i="9"/>
  <c r="A25" i="9"/>
  <c r="B25" i="9"/>
  <c r="C25" i="9"/>
  <c r="D25" i="9"/>
  <c r="G25" i="9" s="1"/>
  <c r="E25" i="9"/>
  <c r="F25" i="9"/>
  <c r="A26" i="9"/>
  <c r="B26" i="9"/>
  <c r="C26" i="9"/>
  <c r="D26" i="9"/>
  <c r="G26" i="9" s="1"/>
  <c r="E26" i="9"/>
  <c r="F26" i="9"/>
  <c r="A27" i="9"/>
  <c r="B27" i="9"/>
  <c r="C27" i="9"/>
  <c r="D27" i="9"/>
  <c r="G27" i="9" s="1"/>
  <c r="E27" i="9"/>
  <c r="F27" i="9"/>
  <c r="A28" i="9"/>
  <c r="B28" i="9"/>
  <c r="C28" i="9"/>
  <c r="D28" i="9"/>
  <c r="E28" i="9"/>
  <c r="F28" i="9"/>
  <c r="G28" i="9"/>
  <c r="A29" i="9"/>
  <c r="B29" i="9"/>
  <c r="C29" i="9"/>
  <c r="D29" i="9"/>
  <c r="G29" i="9" s="1"/>
  <c r="E29" i="9"/>
  <c r="F29" i="9"/>
  <c r="A30" i="9"/>
  <c r="B30" i="9"/>
  <c r="C30" i="9"/>
  <c r="D30" i="9"/>
  <c r="G30" i="9" s="1"/>
  <c r="E30" i="9"/>
  <c r="F30" i="9"/>
  <c r="A31" i="9"/>
  <c r="B31" i="9"/>
  <c r="C31" i="9"/>
  <c r="D31" i="9"/>
  <c r="G31" i="9" s="1"/>
  <c r="E31" i="9"/>
  <c r="F31" i="9"/>
  <c r="A32" i="9"/>
  <c r="B32" i="9"/>
  <c r="C32" i="9"/>
  <c r="D32" i="9"/>
  <c r="E32" i="9"/>
  <c r="F32" i="9"/>
  <c r="G32" i="9"/>
  <c r="A33" i="9"/>
  <c r="B33" i="9"/>
  <c r="C33" i="9"/>
  <c r="D33" i="9"/>
  <c r="G33" i="9" s="1"/>
  <c r="E33" i="9"/>
  <c r="F33" i="9"/>
  <c r="A34" i="9"/>
  <c r="B34" i="9"/>
  <c r="C34" i="9"/>
  <c r="D34" i="9"/>
  <c r="G34" i="9" s="1"/>
  <c r="E34" i="9"/>
  <c r="F34" i="9"/>
  <c r="A35" i="9"/>
  <c r="B35" i="9"/>
  <c r="C35" i="9"/>
  <c r="D35" i="9"/>
  <c r="G35" i="9" s="1"/>
  <c r="E35" i="9"/>
  <c r="F35" i="9"/>
  <c r="A36" i="9"/>
  <c r="B36" i="9"/>
  <c r="C36" i="9"/>
  <c r="D36" i="9"/>
  <c r="E36" i="9"/>
  <c r="F36" i="9"/>
  <c r="G36" i="9"/>
  <c r="A37" i="9"/>
  <c r="B37" i="9"/>
  <c r="C37" i="9"/>
  <c r="D37" i="9"/>
  <c r="G37" i="9" s="1"/>
  <c r="E37" i="9"/>
  <c r="F37" i="9"/>
  <c r="A38" i="9"/>
  <c r="B38" i="9"/>
  <c r="C38" i="9"/>
  <c r="D38" i="9"/>
  <c r="G38" i="9" s="1"/>
  <c r="E38" i="9"/>
  <c r="F38" i="9"/>
  <c r="A39" i="9"/>
  <c r="B39" i="9"/>
  <c r="C39" i="9"/>
  <c r="D39" i="9"/>
  <c r="G39" i="9" s="1"/>
  <c r="E39" i="9"/>
  <c r="F39" i="9"/>
  <c r="A40" i="9"/>
  <c r="B40" i="9"/>
  <c r="C40" i="9"/>
  <c r="D40" i="9"/>
  <c r="E40" i="9"/>
  <c r="F40" i="9"/>
  <c r="G40" i="9"/>
  <c r="A41" i="9"/>
  <c r="B41" i="9"/>
  <c r="C41" i="9"/>
  <c r="D41" i="9"/>
  <c r="G41" i="9" s="1"/>
  <c r="E41" i="9"/>
  <c r="F41" i="9"/>
  <c r="A42" i="9"/>
  <c r="B42" i="9"/>
  <c r="C42" i="9"/>
  <c r="D42" i="9"/>
  <c r="G42" i="9" s="1"/>
  <c r="E42" i="9"/>
  <c r="F42" i="9"/>
  <c r="A43" i="9"/>
  <c r="B43" i="9"/>
  <c r="C43" i="9"/>
  <c r="D43" i="9"/>
  <c r="G43" i="9" s="1"/>
  <c r="E43" i="9"/>
  <c r="F43" i="9"/>
  <c r="A44" i="9"/>
  <c r="B44" i="9"/>
  <c r="C44" i="9"/>
  <c r="D44" i="9"/>
  <c r="E44" i="9"/>
  <c r="F44" i="9"/>
  <c r="G44" i="9"/>
  <c r="A45" i="9"/>
  <c r="B45" i="9"/>
  <c r="C45" i="9"/>
  <c r="D45" i="9"/>
  <c r="G45" i="9" s="1"/>
  <c r="E45" i="9"/>
  <c r="F45" i="9"/>
  <c r="A46" i="9"/>
  <c r="B46" i="9"/>
  <c r="C46" i="9"/>
  <c r="D46" i="9"/>
  <c r="G46" i="9" s="1"/>
  <c r="E46" i="9"/>
  <c r="F46" i="9"/>
  <c r="A47" i="9"/>
  <c r="B47" i="9"/>
  <c r="C47" i="9"/>
  <c r="D47" i="9"/>
  <c r="G47" i="9" s="1"/>
  <c r="E47" i="9"/>
  <c r="F47" i="9"/>
  <c r="A48" i="9"/>
  <c r="B48" i="9"/>
  <c r="C48" i="9"/>
  <c r="D48" i="9"/>
  <c r="E48" i="9"/>
  <c r="F48" i="9"/>
  <c r="G48" i="9"/>
  <c r="A49" i="9"/>
  <c r="B49" i="9"/>
  <c r="C49" i="9"/>
  <c r="D49" i="9"/>
  <c r="G49" i="9" s="1"/>
  <c r="E49" i="9"/>
  <c r="F49" i="9"/>
  <c r="A50" i="9"/>
  <c r="B50" i="9"/>
  <c r="C50" i="9"/>
  <c r="D50" i="9"/>
  <c r="G50" i="9" s="1"/>
  <c r="E50" i="9"/>
  <c r="F50" i="9"/>
  <c r="A51" i="9"/>
  <c r="B51" i="9"/>
  <c r="C51" i="9"/>
  <c r="D51" i="9"/>
  <c r="G51" i="9" s="1"/>
  <c r="E51" i="9"/>
  <c r="F51" i="9"/>
  <c r="A52" i="9"/>
  <c r="B52" i="9"/>
  <c r="C52" i="9"/>
  <c r="D52" i="9"/>
  <c r="E52" i="9"/>
  <c r="F52" i="9"/>
  <c r="G52" i="9"/>
  <c r="A53" i="9"/>
  <c r="B53" i="9"/>
  <c r="C53" i="9"/>
  <c r="D53" i="9"/>
  <c r="G53" i="9" s="1"/>
  <c r="E53" i="9"/>
  <c r="F53" i="9"/>
  <c r="A54" i="9"/>
  <c r="B54" i="9"/>
  <c r="C54" i="9"/>
  <c r="D54" i="9"/>
  <c r="G54" i="9" s="1"/>
  <c r="E54" i="9"/>
  <c r="F54" i="9"/>
  <c r="A55" i="9"/>
  <c r="B55" i="9"/>
  <c r="C55" i="9"/>
  <c r="D55" i="9"/>
  <c r="G55" i="9" s="1"/>
  <c r="E55" i="9"/>
  <c r="F55" i="9"/>
  <c r="A56" i="9"/>
  <c r="B56" i="9"/>
  <c r="C56" i="9"/>
  <c r="D56" i="9"/>
  <c r="E56" i="9"/>
  <c r="F56" i="9"/>
  <c r="G56" i="9"/>
  <c r="A57" i="9"/>
  <c r="B57" i="9"/>
  <c r="C57" i="9"/>
  <c r="D57" i="9"/>
  <c r="G57" i="9" s="1"/>
  <c r="E57" i="9"/>
  <c r="F57" i="9"/>
  <c r="A58" i="9"/>
  <c r="B58" i="9"/>
  <c r="C58" i="9"/>
  <c r="D58" i="9"/>
  <c r="G58" i="9" s="1"/>
  <c r="E58" i="9"/>
  <c r="F58" i="9"/>
  <c r="A59" i="9"/>
  <c r="B59" i="9"/>
  <c r="C59" i="9"/>
  <c r="D59" i="9"/>
  <c r="G59" i="9" s="1"/>
  <c r="E59" i="9"/>
  <c r="F59" i="9"/>
  <c r="A60" i="9"/>
  <c r="B60" i="9"/>
  <c r="C60" i="9"/>
  <c r="D60" i="9"/>
  <c r="E60" i="9"/>
  <c r="F60" i="9"/>
  <c r="G60" i="9"/>
  <c r="A61" i="9"/>
  <c r="B61" i="9"/>
  <c r="C61" i="9"/>
  <c r="D61" i="9"/>
  <c r="G61" i="9" s="1"/>
  <c r="E61" i="9"/>
  <c r="F61" i="9"/>
  <c r="A62" i="9"/>
  <c r="B62" i="9"/>
  <c r="C62" i="9"/>
  <c r="D62" i="9"/>
  <c r="G62" i="9" s="1"/>
  <c r="E62" i="9"/>
  <c r="F62" i="9"/>
  <c r="A63" i="9"/>
  <c r="B63" i="9"/>
  <c r="C63" i="9"/>
  <c r="D63" i="9"/>
  <c r="G63" i="9" s="1"/>
  <c r="E63" i="9"/>
  <c r="F63" i="9"/>
  <c r="A64" i="9"/>
  <c r="B64" i="9"/>
  <c r="C64" i="9"/>
  <c r="D64" i="9"/>
  <c r="E64" i="9"/>
  <c r="F64" i="9"/>
  <c r="G64" i="9"/>
  <c r="A65" i="9"/>
  <c r="B65" i="9"/>
  <c r="C65" i="9"/>
  <c r="D65" i="9"/>
  <c r="G65" i="9" s="1"/>
  <c r="E65" i="9"/>
  <c r="F65" i="9"/>
  <c r="A66" i="9"/>
  <c r="B66" i="9"/>
  <c r="C66" i="9"/>
  <c r="D66" i="9"/>
  <c r="G66" i="9" s="1"/>
  <c r="E66" i="9"/>
  <c r="F66" i="9"/>
  <c r="A67" i="9"/>
  <c r="B67" i="9"/>
  <c r="C67" i="9"/>
  <c r="D67" i="9"/>
  <c r="G67" i="9" s="1"/>
  <c r="E67" i="9"/>
  <c r="F67" i="9"/>
  <c r="A68" i="9"/>
  <c r="B68" i="9"/>
  <c r="C68" i="9"/>
  <c r="D68" i="9"/>
  <c r="E68" i="9"/>
  <c r="F68" i="9"/>
  <c r="G68" i="9"/>
  <c r="A69" i="9"/>
  <c r="B69" i="9"/>
  <c r="C69" i="9"/>
  <c r="D69" i="9"/>
  <c r="G69" i="9" s="1"/>
  <c r="E69" i="9"/>
  <c r="F69" i="9"/>
  <c r="A70" i="9"/>
  <c r="B70" i="9"/>
  <c r="C70" i="9"/>
  <c r="D70" i="9"/>
  <c r="G70" i="9" s="1"/>
  <c r="E70" i="9"/>
  <c r="F70" i="9"/>
  <c r="A71" i="9"/>
  <c r="B71" i="9"/>
  <c r="C71" i="9"/>
  <c r="D71" i="9"/>
  <c r="G71" i="9" s="1"/>
  <c r="E71" i="9"/>
  <c r="F71" i="9"/>
  <c r="A72" i="9"/>
  <c r="B72" i="9"/>
  <c r="C72" i="9"/>
  <c r="D72" i="9"/>
  <c r="E72" i="9"/>
  <c r="F72" i="9"/>
  <c r="G72" i="9"/>
  <c r="A73" i="9"/>
  <c r="B73" i="9"/>
  <c r="C73" i="9"/>
  <c r="D73" i="9"/>
  <c r="G73" i="9" s="1"/>
  <c r="E73" i="9"/>
  <c r="F73" i="9"/>
  <c r="A74" i="9"/>
  <c r="B74" i="9"/>
  <c r="C74" i="9"/>
  <c r="D74" i="9"/>
  <c r="G74" i="9" s="1"/>
  <c r="E74" i="9"/>
  <c r="F74" i="9"/>
  <c r="A75" i="9"/>
  <c r="B75" i="9"/>
  <c r="C75" i="9"/>
  <c r="D75" i="9"/>
  <c r="G75" i="9" s="1"/>
  <c r="E75" i="9"/>
  <c r="F75" i="9"/>
  <c r="A76" i="9"/>
  <c r="B76" i="9"/>
  <c r="C76" i="9"/>
  <c r="D76" i="9"/>
  <c r="E76" i="9"/>
  <c r="F76" i="9"/>
  <c r="G76" i="9"/>
  <c r="A77" i="9"/>
  <c r="B77" i="9"/>
  <c r="C77" i="9"/>
  <c r="D77" i="9"/>
  <c r="G77" i="9" s="1"/>
  <c r="E77" i="9"/>
  <c r="F77" i="9"/>
  <c r="A78" i="9"/>
  <c r="B78" i="9"/>
  <c r="C78" i="9"/>
  <c r="D78" i="9"/>
  <c r="G78" i="9" s="1"/>
  <c r="E78" i="9"/>
  <c r="F78" i="9"/>
  <c r="A79" i="9"/>
  <c r="B79" i="9"/>
  <c r="C79" i="9"/>
  <c r="D79" i="9"/>
  <c r="G79" i="9" s="1"/>
  <c r="E79" i="9"/>
  <c r="F79" i="9"/>
  <c r="A80" i="9"/>
  <c r="B80" i="9"/>
  <c r="C80" i="9"/>
  <c r="D80" i="9"/>
  <c r="E80" i="9"/>
  <c r="F80" i="9"/>
  <c r="G80" i="9"/>
  <c r="A81" i="9"/>
  <c r="B81" i="9"/>
  <c r="C81" i="9"/>
  <c r="D81" i="9"/>
  <c r="G81" i="9" s="1"/>
  <c r="E81" i="9"/>
  <c r="F81" i="9"/>
  <c r="A82" i="9"/>
  <c r="B82" i="9"/>
  <c r="C82" i="9"/>
  <c r="D82" i="9"/>
  <c r="G82" i="9" s="1"/>
  <c r="E82" i="9"/>
  <c r="F82" i="9"/>
  <c r="A83" i="9"/>
  <c r="B83" i="9"/>
  <c r="C83" i="9"/>
  <c r="D83" i="9"/>
  <c r="G83" i="9" s="1"/>
  <c r="E83" i="9"/>
  <c r="F83" i="9"/>
  <c r="A84" i="9"/>
  <c r="B84" i="9"/>
  <c r="C84" i="9"/>
  <c r="D84" i="9"/>
  <c r="E84" i="9"/>
  <c r="F84" i="9"/>
  <c r="G84" i="9"/>
  <c r="A85" i="9"/>
  <c r="B85" i="9"/>
  <c r="C85" i="9"/>
  <c r="D85" i="9"/>
  <c r="G85" i="9" s="1"/>
  <c r="E85" i="9"/>
  <c r="F85" i="9"/>
  <c r="A86" i="9"/>
  <c r="B86" i="9"/>
  <c r="C86" i="9"/>
  <c r="D86" i="9"/>
  <c r="G86" i="9" s="1"/>
  <c r="E86" i="9"/>
  <c r="F86" i="9"/>
  <c r="A87" i="9"/>
  <c r="B87" i="9"/>
  <c r="C87" i="9"/>
  <c r="D87" i="9"/>
  <c r="G87" i="9" s="1"/>
  <c r="E87" i="9"/>
  <c r="F87" i="9"/>
  <c r="A88" i="9"/>
  <c r="B88" i="9"/>
  <c r="C88" i="9"/>
  <c r="D88" i="9"/>
  <c r="E88" i="9"/>
  <c r="F88" i="9"/>
  <c r="G88" i="9"/>
  <c r="A89" i="9"/>
  <c r="B89" i="9"/>
  <c r="C89" i="9"/>
  <c r="D89" i="9"/>
  <c r="G89" i="9" s="1"/>
  <c r="E89" i="9"/>
  <c r="F89" i="9"/>
  <c r="A90" i="9"/>
  <c r="B90" i="9"/>
  <c r="C90" i="9"/>
  <c r="D90" i="9"/>
  <c r="G90" i="9" s="1"/>
  <c r="E90" i="9"/>
  <c r="F90" i="9"/>
  <c r="A91" i="9"/>
  <c r="B91" i="9"/>
  <c r="C91" i="9"/>
  <c r="D91" i="9"/>
  <c r="G91" i="9" s="1"/>
  <c r="E91" i="9"/>
  <c r="F91" i="9"/>
  <c r="A92" i="9"/>
  <c r="B92" i="9"/>
  <c r="C92" i="9"/>
  <c r="D92" i="9"/>
  <c r="E92" i="9"/>
  <c r="F92" i="9"/>
  <c r="G92" i="9"/>
  <c r="A93" i="9"/>
  <c r="B93" i="9"/>
  <c r="C93" i="9"/>
  <c r="D93" i="9"/>
  <c r="G93" i="9" s="1"/>
  <c r="E93" i="9"/>
  <c r="F93" i="9"/>
  <c r="A94" i="9"/>
  <c r="B94" i="9"/>
  <c r="C94" i="9"/>
  <c r="D94" i="9"/>
  <c r="G94" i="9" s="1"/>
  <c r="E94" i="9"/>
  <c r="F94" i="9"/>
  <c r="A95" i="9"/>
  <c r="B95" i="9"/>
  <c r="C95" i="9"/>
  <c r="D95" i="9"/>
  <c r="G95" i="9" s="1"/>
  <c r="E95" i="9"/>
  <c r="F95" i="9"/>
  <c r="A96" i="9"/>
  <c r="B96" i="9"/>
  <c r="C96" i="9"/>
  <c r="D96" i="9"/>
  <c r="E96" i="9"/>
  <c r="F96" i="9"/>
  <c r="G96" i="9"/>
  <c r="A97" i="9"/>
  <c r="B97" i="9"/>
  <c r="C97" i="9"/>
  <c r="D97" i="9"/>
  <c r="G97" i="9" s="1"/>
  <c r="E97" i="9"/>
  <c r="F97" i="9"/>
  <c r="A98" i="9"/>
  <c r="B98" i="9"/>
  <c r="C98" i="9"/>
  <c r="D98" i="9"/>
  <c r="G98" i="9" s="1"/>
  <c r="E98" i="9"/>
  <c r="F98" i="9"/>
  <c r="A99" i="9"/>
  <c r="B99" i="9"/>
  <c r="C99" i="9"/>
  <c r="D99" i="9"/>
  <c r="E99" i="9"/>
  <c r="F99" i="9"/>
  <c r="G99" i="9" s="1"/>
  <c r="A100" i="9"/>
  <c r="B100" i="9"/>
  <c r="C100" i="9"/>
  <c r="D100" i="9"/>
  <c r="E100" i="9"/>
  <c r="F100" i="9"/>
  <c r="G100" i="9"/>
  <c r="A101" i="9"/>
  <c r="B101" i="9"/>
  <c r="C101" i="9"/>
  <c r="D101" i="9"/>
  <c r="G101" i="9" s="1"/>
  <c r="E101" i="9"/>
  <c r="F101" i="9"/>
  <c r="A102" i="9"/>
  <c r="B102" i="9"/>
  <c r="C102" i="9"/>
  <c r="D102" i="9"/>
  <c r="G102" i="9" s="1"/>
  <c r="E102" i="9"/>
  <c r="F102" i="9"/>
  <c r="A103" i="9"/>
  <c r="B103" i="9"/>
  <c r="C103" i="9"/>
  <c r="D103" i="9"/>
  <c r="G103" i="9" s="1"/>
  <c r="E103" i="9"/>
  <c r="F103" i="9"/>
  <c r="A104" i="9"/>
  <c r="B104" i="9"/>
  <c r="C104" i="9"/>
  <c r="D104" i="9"/>
  <c r="E104" i="9"/>
  <c r="F104" i="9"/>
  <c r="G104" i="9"/>
  <c r="A105" i="9"/>
  <c r="B105" i="9"/>
  <c r="C105" i="9"/>
  <c r="D105" i="9"/>
  <c r="G105" i="9" s="1"/>
  <c r="E105" i="9"/>
  <c r="F105" i="9"/>
  <c r="A106" i="9"/>
  <c r="B106" i="9"/>
  <c r="C106" i="9"/>
  <c r="D106" i="9"/>
  <c r="G106" i="9" s="1"/>
  <c r="E106" i="9"/>
  <c r="F106" i="9"/>
  <c r="A107" i="9"/>
  <c r="B107" i="9"/>
  <c r="C107" i="9"/>
  <c r="D107" i="9"/>
  <c r="E107" i="9"/>
  <c r="F107" i="9"/>
  <c r="G107" i="9" s="1"/>
  <c r="A108" i="9"/>
  <c r="B108" i="9"/>
  <c r="C108" i="9"/>
  <c r="D108" i="9"/>
  <c r="E108" i="9"/>
  <c r="F108" i="9"/>
  <c r="G108" i="9"/>
  <c r="A109" i="9"/>
  <c r="B109" i="9"/>
  <c r="C109" i="9"/>
  <c r="D109" i="9"/>
  <c r="G109" i="9" s="1"/>
  <c r="E109" i="9"/>
  <c r="F109" i="9"/>
  <c r="A110" i="9"/>
  <c r="B110" i="9"/>
  <c r="C110" i="9"/>
  <c r="D110" i="9"/>
  <c r="G110" i="9" s="1"/>
  <c r="E110" i="9"/>
  <c r="F110" i="9"/>
  <c r="A111" i="9"/>
  <c r="B111" i="9"/>
  <c r="C111" i="9"/>
  <c r="D111" i="9"/>
  <c r="E111" i="9"/>
  <c r="F111" i="9"/>
  <c r="G111" i="9" s="1"/>
  <c r="A112" i="9"/>
  <c r="B112" i="9"/>
  <c r="C112" i="9"/>
  <c r="D112" i="9"/>
  <c r="E112" i="9"/>
  <c r="F112" i="9"/>
  <c r="G112" i="9"/>
  <c r="A113" i="9"/>
  <c r="B113" i="9"/>
  <c r="C113" i="9"/>
  <c r="D113" i="9"/>
  <c r="G113" i="9" s="1"/>
  <c r="E113" i="9"/>
  <c r="F113" i="9"/>
  <c r="A114" i="9"/>
  <c r="B114" i="9"/>
  <c r="C114" i="9"/>
  <c r="D114" i="9"/>
  <c r="G114" i="9" s="1"/>
  <c r="E114" i="9"/>
  <c r="F114" i="9"/>
  <c r="A115" i="9"/>
  <c r="B115" i="9"/>
  <c r="C115" i="9"/>
  <c r="D115" i="9"/>
  <c r="G115" i="9" s="1"/>
  <c r="E115" i="9"/>
  <c r="F115" i="9"/>
  <c r="A116" i="9"/>
  <c r="B116" i="9"/>
  <c r="C116" i="9"/>
  <c r="D116" i="9"/>
  <c r="E116" i="9"/>
  <c r="F116" i="9"/>
  <c r="G116" i="9"/>
  <c r="A117" i="9"/>
  <c r="B117" i="9"/>
  <c r="C117" i="9"/>
  <c r="D117" i="9"/>
  <c r="G117" i="9" s="1"/>
  <c r="E117" i="9"/>
  <c r="F117" i="9"/>
  <c r="A118" i="9"/>
  <c r="B118" i="9"/>
  <c r="C118" i="9"/>
  <c r="D118" i="9"/>
  <c r="G118" i="9" s="1"/>
  <c r="E118" i="9"/>
  <c r="F118" i="9"/>
  <c r="A119" i="9"/>
  <c r="B119" i="9"/>
  <c r="C119" i="9"/>
  <c r="D119" i="9"/>
  <c r="G119" i="9" s="1"/>
  <c r="E119" i="9"/>
  <c r="F119" i="9"/>
  <c r="A120" i="9"/>
  <c r="B120" i="9"/>
  <c r="C120" i="9"/>
  <c r="D120" i="9"/>
  <c r="E120" i="9"/>
  <c r="F120" i="9"/>
  <c r="G120" i="9"/>
  <c r="A121" i="9"/>
  <c r="B121" i="9"/>
  <c r="C121" i="9"/>
  <c r="D121" i="9"/>
  <c r="G121" i="9" s="1"/>
  <c r="E121" i="9"/>
  <c r="F121" i="9"/>
  <c r="A122" i="9"/>
  <c r="B122" i="9"/>
  <c r="C122" i="9"/>
  <c r="D122" i="9"/>
  <c r="G122" i="9" s="1"/>
  <c r="E122" i="9"/>
  <c r="F122" i="9"/>
  <c r="A123" i="9"/>
  <c r="B123" i="9"/>
  <c r="C123" i="9"/>
  <c r="D123" i="9"/>
  <c r="G123" i="9" s="1"/>
  <c r="E123" i="9"/>
  <c r="F123" i="9"/>
  <c r="A124" i="9"/>
  <c r="B124" i="9"/>
  <c r="C124" i="9"/>
  <c r="D124" i="9"/>
  <c r="E124" i="9"/>
  <c r="F124" i="9"/>
  <c r="G124" i="9"/>
  <c r="A125" i="9"/>
  <c r="B125" i="9"/>
  <c r="C125" i="9"/>
  <c r="D125" i="9"/>
  <c r="G125" i="9" s="1"/>
  <c r="E125" i="9"/>
  <c r="F125" i="9"/>
  <c r="A126" i="9"/>
  <c r="B126" i="9"/>
  <c r="C126" i="9"/>
  <c r="D126" i="9"/>
  <c r="G126" i="9" s="1"/>
  <c r="E126" i="9"/>
  <c r="F126" i="9"/>
  <c r="A127" i="9"/>
  <c r="B127" i="9"/>
  <c r="C127" i="9"/>
  <c r="D127" i="9"/>
  <c r="G127" i="9" s="1"/>
  <c r="E127" i="9"/>
  <c r="F127" i="9"/>
  <c r="A128" i="9"/>
  <c r="B128" i="9"/>
  <c r="C128" i="9"/>
  <c r="D128" i="9"/>
  <c r="E128" i="9"/>
  <c r="F128" i="9"/>
  <c r="G128" i="9"/>
  <c r="A129" i="9"/>
  <c r="B129" i="9"/>
  <c r="C129" i="9"/>
  <c r="D129" i="9"/>
  <c r="G129" i="9" s="1"/>
  <c r="E129" i="9"/>
  <c r="F129" i="9"/>
  <c r="A130" i="9"/>
  <c r="B130" i="9"/>
  <c r="C130" i="9"/>
  <c r="D130" i="9"/>
  <c r="G130" i="9" s="1"/>
  <c r="E130" i="9"/>
  <c r="F130" i="9"/>
  <c r="A131" i="9"/>
  <c r="B131" i="9"/>
  <c r="C131" i="9"/>
  <c r="D131" i="9"/>
  <c r="G131" i="9" s="1"/>
  <c r="E131" i="9"/>
  <c r="F131" i="9"/>
  <c r="A132" i="9"/>
  <c r="B132" i="9"/>
  <c r="C132" i="9"/>
  <c r="D132" i="9"/>
  <c r="E132" i="9"/>
  <c r="F132" i="9"/>
  <c r="G132" i="9"/>
  <c r="A133" i="9"/>
  <c r="B133" i="9"/>
  <c r="C133" i="9"/>
  <c r="D133" i="9"/>
  <c r="G133" i="9" s="1"/>
  <c r="E133" i="9"/>
  <c r="F133" i="9"/>
  <c r="A134" i="9"/>
  <c r="B134" i="9"/>
  <c r="C134" i="9"/>
  <c r="D134" i="9"/>
  <c r="G134" i="9" s="1"/>
  <c r="E134" i="9"/>
  <c r="F134" i="9"/>
  <c r="A135" i="9"/>
  <c r="B135" i="9"/>
  <c r="C135" i="9"/>
  <c r="D135" i="9"/>
  <c r="G135" i="9" s="1"/>
  <c r="E135" i="9"/>
  <c r="F135" i="9"/>
  <c r="A136" i="9"/>
  <c r="B136" i="9"/>
  <c r="C136" i="9"/>
  <c r="D136" i="9"/>
  <c r="E136" i="9"/>
  <c r="F136" i="9"/>
  <c r="G136" i="9"/>
  <c r="A137" i="9"/>
  <c r="B137" i="9"/>
  <c r="C137" i="9"/>
  <c r="D137" i="9"/>
  <c r="G137" i="9" s="1"/>
  <c r="E137" i="9"/>
  <c r="F137" i="9"/>
  <c r="A138" i="9"/>
  <c r="B138" i="9"/>
  <c r="C138" i="9"/>
  <c r="D138" i="9"/>
  <c r="G138" i="9" s="1"/>
  <c r="E138" i="9"/>
  <c r="F138" i="9"/>
  <c r="A139" i="9"/>
  <c r="B139" i="9"/>
  <c r="C139" i="9"/>
  <c r="D139" i="9"/>
  <c r="G139" i="9" s="1"/>
  <c r="E139" i="9"/>
  <c r="F139" i="9"/>
  <c r="A140" i="9"/>
  <c r="B140" i="9"/>
  <c r="C140" i="9"/>
  <c r="D140" i="9"/>
  <c r="E140" i="9"/>
  <c r="F140" i="9"/>
  <c r="G140" i="9"/>
  <c r="A141" i="9"/>
  <c r="B141" i="9"/>
  <c r="C141" i="9"/>
  <c r="D141" i="9"/>
  <c r="G141" i="9" s="1"/>
  <c r="E141" i="9"/>
  <c r="F141" i="9"/>
  <c r="A142" i="9"/>
  <c r="B142" i="9"/>
  <c r="C142" i="9"/>
  <c r="D142" i="9"/>
  <c r="G142" i="9" s="1"/>
  <c r="E142" i="9"/>
  <c r="F142" i="9"/>
  <c r="A143" i="9"/>
  <c r="B143" i="9"/>
  <c r="C143" i="9"/>
  <c r="D143" i="9"/>
  <c r="E143" i="9"/>
  <c r="F143" i="9"/>
  <c r="G143" i="9" s="1"/>
  <c r="A144" i="9"/>
  <c r="B144" i="9"/>
  <c r="C144" i="9"/>
  <c r="D144" i="9"/>
  <c r="E144" i="9"/>
  <c r="F144" i="9"/>
  <c r="G144" i="9"/>
  <c r="A145" i="9"/>
  <c r="B145" i="9"/>
  <c r="C145" i="9"/>
  <c r="D145" i="9"/>
  <c r="G145" i="9" s="1"/>
  <c r="E145" i="9"/>
  <c r="F145" i="9"/>
  <c r="A146" i="9"/>
  <c r="B146" i="9"/>
  <c r="C146" i="9"/>
  <c r="D146" i="9"/>
  <c r="G146" i="9" s="1"/>
  <c r="E146" i="9"/>
  <c r="F146" i="9"/>
  <c r="A147" i="9"/>
  <c r="B147" i="9"/>
  <c r="C147" i="9"/>
  <c r="D147" i="9"/>
  <c r="G147" i="9" s="1"/>
  <c r="E147" i="9"/>
  <c r="F147" i="9"/>
  <c r="A148" i="9"/>
  <c r="B148" i="9"/>
  <c r="C148" i="9"/>
  <c r="D148" i="9"/>
  <c r="E148" i="9"/>
  <c r="F148" i="9"/>
  <c r="G148" i="9"/>
  <c r="A149" i="9"/>
  <c r="B149" i="9"/>
  <c r="C149" i="9"/>
  <c r="D149" i="9"/>
  <c r="G149" i="9" s="1"/>
  <c r="E149" i="9"/>
  <c r="F149" i="9"/>
  <c r="A150" i="9"/>
  <c r="B150" i="9"/>
  <c r="C150" i="9"/>
  <c r="D150" i="9"/>
  <c r="G150" i="9" s="1"/>
  <c r="E150" i="9"/>
  <c r="F150" i="9"/>
  <c r="A151" i="9"/>
  <c r="B151" i="9"/>
  <c r="C151" i="9"/>
  <c r="D151" i="9"/>
  <c r="G151" i="9" s="1"/>
  <c r="E151" i="9"/>
  <c r="F151" i="9"/>
  <c r="A152" i="9"/>
  <c r="B152" i="9"/>
  <c r="C152" i="9"/>
  <c r="D152" i="9"/>
  <c r="E152" i="9"/>
  <c r="F152" i="9"/>
  <c r="G152" i="9"/>
  <c r="A153" i="9"/>
  <c r="B153" i="9"/>
  <c r="C153" i="9"/>
  <c r="D153" i="9"/>
  <c r="G153" i="9" s="1"/>
  <c r="E153" i="9"/>
  <c r="F153" i="9"/>
  <c r="A154" i="9"/>
  <c r="B154" i="9"/>
  <c r="C154" i="9"/>
  <c r="D154" i="9"/>
  <c r="G154" i="9" s="1"/>
  <c r="E154" i="9"/>
  <c r="F154" i="9"/>
  <c r="A155" i="9"/>
  <c r="B155" i="9"/>
  <c r="C155" i="9"/>
  <c r="D155" i="9"/>
  <c r="G155" i="9" s="1"/>
  <c r="E155" i="9"/>
  <c r="F155" i="9"/>
  <c r="A156" i="9"/>
  <c r="B156" i="9"/>
  <c r="C156" i="9"/>
  <c r="D156" i="9"/>
  <c r="E156" i="9"/>
  <c r="F156" i="9"/>
  <c r="G156" i="9"/>
  <c r="A157" i="9"/>
  <c r="B157" i="9"/>
  <c r="C157" i="9"/>
  <c r="D157" i="9"/>
  <c r="G157" i="9" s="1"/>
  <c r="E157" i="9"/>
  <c r="F157" i="9"/>
  <c r="A158" i="9"/>
  <c r="B158" i="9"/>
  <c r="C158" i="9"/>
  <c r="D158" i="9"/>
  <c r="G158" i="9" s="1"/>
  <c r="E158" i="9"/>
  <c r="F158" i="9"/>
  <c r="A159" i="9"/>
  <c r="B159" i="9"/>
  <c r="C159" i="9"/>
  <c r="D159" i="9"/>
  <c r="E159" i="9"/>
  <c r="F159" i="9"/>
  <c r="G159" i="9" s="1"/>
  <c r="A160" i="9"/>
  <c r="B160" i="9"/>
  <c r="C160" i="9"/>
  <c r="D160" i="9"/>
  <c r="E160" i="9"/>
  <c r="F160" i="9"/>
  <c r="G160" i="9"/>
  <c r="A161" i="9"/>
  <c r="B161" i="9"/>
  <c r="C161" i="9"/>
  <c r="D161" i="9"/>
  <c r="G161" i="9" s="1"/>
  <c r="E161" i="9"/>
  <c r="F161" i="9"/>
  <c r="A162" i="9"/>
  <c r="B162" i="9"/>
  <c r="C162" i="9"/>
  <c r="D162" i="9"/>
  <c r="G162" i="9" s="1"/>
  <c r="E162" i="9"/>
  <c r="F162" i="9"/>
  <c r="A163" i="9"/>
  <c r="B163" i="9"/>
  <c r="C163" i="9"/>
  <c r="D163" i="9"/>
  <c r="E163" i="9"/>
  <c r="F163" i="9"/>
  <c r="G163" i="9" s="1"/>
  <c r="A164" i="9"/>
  <c r="B164" i="9"/>
  <c r="C164" i="9"/>
  <c r="D164" i="9"/>
  <c r="E164" i="9"/>
  <c r="F164" i="9"/>
  <c r="G164" i="9"/>
  <c r="A165" i="9"/>
  <c r="B165" i="9"/>
  <c r="C165" i="9"/>
  <c r="D165" i="9"/>
  <c r="G165" i="9" s="1"/>
  <c r="E165" i="9"/>
  <c r="F165" i="9"/>
  <c r="A166" i="9"/>
  <c r="B166" i="9"/>
  <c r="C166" i="9"/>
  <c r="D166" i="9"/>
  <c r="G166" i="9" s="1"/>
  <c r="E166" i="9"/>
  <c r="F166" i="9"/>
  <c r="A167" i="9"/>
  <c r="B167" i="9"/>
  <c r="C167" i="9"/>
  <c r="D167" i="9"/>
  <c r="E167" i="9"/>
  <c r="F167" i="9"/>
  <c r="G167" i="9" s="1"/>
  <c r="A168" i="9"/>
  <c r="B168" i="9"/>
  <c r="C168" i="9"/>
  <c r="D168" i="9"/>
  <c r="E168" i="9"/>
  <c r="F168" i="9"/>
  <c r="G168" i="9"/>
  <c r="A169" i="9"/>
  <c r="B169" i="9"/>
  <c r="C169" i="9"/>
  <c r="D169" i="9"/>
  <c r="G169" i="9" s="1"/>
  <c r="E169" i="9"/>
  <c r="F169" i="9"/>
  <c r="A170" i="9"/>
  <c r="B170" i="9"/>
  <c r="C170" i="9"/>
  <c r="D170" i="9"/>
  <c r="G170" i="9" s="1"/>
  <c r="E170" i="9"/>
  <c r="F170" i="9"/>
  <c r="A171" i="9"/>
  <c r="B171" i="9"/>
  <c r="C171" i="9"/>
  <c r="D171" i="9"/>
  <c r="E171" i="9"/>
  <c r="F171" i="9"/>
  <c r="G171" i="9" s="1"/>
  <c r="A172" i="9"/>
  <c r="B172" i="9"/>
  <c r="C172" i="9"/>
  <c r="D172" i="9"/>
  <c r="E172" i="9"/>
  <c r="F172" i="9"/>
  <c r="G172" i="9"/>
  <c r="A173" i="9"/>
  <c r="B173" i="9"/>
  <c r="C173" i="9"/>
  <c r="D173" i="9"/>
  <c r="G173" i="9" s="1"/>
  <c r="E173" i="9"/>
  <c r="F173" i="9"/>
  <c r="A174" i="9"/>
  <c r="B174" i="9"/>
  <c r="C174" i="9"/>
  <c r="D174" i="9"/>
  <c r="G174" i="9" s="1"/>
  <c r="E174" i="9"/>
  <c r="F174" i="9"/>
  <c r="A175" i="9"/>
  <c r="B175" i="9"/>
  <c r="C175" i="9"/>
  <c r="D175" i="9"/>
  <c r="E175" i="9"/>
  <c r="F175" i="9"/>
  <c r="G175" i="9" s="1"/>
  <c r="A176" i="9"/>
  <c r="B176" i="9"/>
  <c r="C176" i="9"/>
  <c r="D176" i="9"/>
  <c r="E176" i="9"/>
  <c r="F176" i="9"/>
  <c r="G176" i="9"/>
  <c r="A177" i="9"/>
  <c r="B177" i="9"/>
  <c r="C177" i="9"/>
  <c r="D177" i="9"/>
  <c r="G177" i="9" s="1"/>
  <c r="E177" i="9"/>
  <c r="F177" i="9"/>
  <c r="A178" i="9"/>
  <c r="B178" i="9"/>
  <c r="C178" i="9"/>
  <c r="D178" i="9"/>
  <c r="G178" i="9" s="1"/>
  <c r="E178" i="9"/>
  <c r="F178" i="9"/>
  <c r="A179" i="9"/>
  <c r="B179" i="9"/>
  <c r="C179" i="9"/>
  <c r="D179" i="9"/>
  <c r="E179" i="9"/>
  <c r="F179" i="9"/>
  <c r="G179" i="9" s="1"/>
  <c r="A180" i="9"/>
  <c r="B180" i="9"/>
  <c r="C180" i="9"/>
  <c r="D180" i="9"/>
  <c r="E180" i="9"/>
  <c r="F180" i="9"/>
  <c r="G180" i="9"/>
  <c r="A181" i="9"/>
  <c r="B181" i="9"/>
  <c r="C181" i="9"/>
  <c r="D181" i="9"/>
  <c r="G181" i="9" s="1"/>
  <c r="E181" i="9"/>
  <c r="F181" i="9"/>
  <c r="A182" i="9"/>
  <c r="B182" i="9"/>
  <c r="C182" i="9"/>
  <c r="D182" i="9"/>
  <c r="G182" i="9" s="1"/>
  <c r="E182" i="9"/>
  <c r="F182" i="9"/>
  <c r="A183" i="9"/>
  <c r="B183" i="9"/>
  <c r="C183" i="9"/>
  <c r="D183" i="9"/>
  <c r="E183" i="9"/>
  <c r="F183" i="9"/>
  <c r="G183" i="9" s="1"/>
  <c r="A184" i="9"/>
  <c r="B184" i="9"/>
  <c r="C184" i="9"/>
  <c r="D184" i="9"/>
  <c r="E184" i="9"/>
  <c r="F184" i="9"/>
  <c r="G184" i="9"/>
  <c r="A185" i="9"/>
  <c r="B185" i="9"/>
  <c r="C185" i="9"/>
  <c r="D185" i="9"/>
  <c r="G185" i="9" s="1"/>
  <c r="E185" i="9"/>
  <c r="F185" i="9"/>
  <c r="A186" i="9"/>
  <c r="B186" i="9"/>
  <c r="C186" i="9"/>
  <c r="D186" i="9"/>
  <c r="G186" i="9" s="1"/>
  <c r="E186" i="9"/>
  <c r="F186" i="9"/>
  <c r="A187" i="9"/>
  <c r="B187" i="9"/>
  <c r="C187" i="9"/>
  <c r="D187" i="9"/>
  <c r="E187" i="9"/>
  <c r="F187" i="9"/>
  <c r="G187" i="9" s="1"/>
  <c r="A188" i="9"/>
  <c r="B188" i="9"/>
  <c r="C188" i="9"/>
  <c r="D188" i="9"/>
  <c r="E188" i="9"/>
  <c r="F188" i="9"/>
  <c r="G188" i="9"/>
  <c r="A189" i="9"/>
  <c r="B189" i="9"/>
  <c r="C189" i="9"/>
  <c r="D189" i="9"/>
  <c r="G189" i="9" s="1"/>
  <c r="E189" i="9"/>
  <c r="F189" i="9"/>
  <c r="A190" i="9"/>
  <c r="B190" i="9"/>
  <c r="C190" i="9"/>
  <c r="D190" i="9"/>
  <c r="G190" i="9" s="1"/>
  <c r="E190" i="9"/>
  <c r="F190" i="9"/>
  <c r="A191" i="9"/>
  <c r="B191" i="9"/>
  <c r="C191" i="9"/>
  <c r="D191" i="9"/>
  <c r="E191" i="9"/>
  <c r="F191" i="9"/>
  <c r="G191" i="9" s="1"/>
  <c r="A192" i="9"/>
  <c r="B192" i="9"/>
  <c r="C192" i="9"/>
  <c r="D192" i="9"/>
  <c r="E192" i="9"/>
  <c r="F192" i="9"/>
  <c r="G192" i="9"/>
  <c r="A193" i="9"/>
  <c r="B193" i="9"/>
  <c r="C193" i="9"/>
  <c r="D193" i="9"/>
  <c r="G193" i="9" s="1"/>
  <c r="E193" i="9"/>
  <c r="F193" i="9"/>
  <c r="A194" i="9"/>
  <c r="B194" i="9"/>
  <c r="C194" i="9"/>
  <c r="D194" i="9"/>
  <c r="G194" i="9" s="1"/>
  <c r="E194" i="9"/>
  <c r="F194" i="9"/>
  <c r="A195" i="9"/>
  <c r="B195" i="9"/>
  <c r="C195" i="9"/>
  <c r="D195" i="9"/>
  <c r="G195" i="9" s="1"/>
  <c r="E195" i="9"/>
  <c r="F195" i="9"/>
  <c r="A196" i="9"/>
  <c r="B196" i="9"/>
  <c r="C196" i="9"/>
  <c r="D196" i="9"/>
  <c r="E196" i="9"/>
  <c r="F196" i="9"/>
  <c r="G196" i="9"/>
  <c r="A197" i="9"/>
  <c r="B197" i="9"/>
  <c r="C197" i="9"/>
  <c r="D197" i="9"/>
  <c r="G197" i="9" s="1"/>
  <c r="E197" i="9"/>
  <c r="F197" i="9"/>
  <c r="A198" i="9"/>
  <c r="B198" i="9"/>
  <c r="C198" i="9"/>
  <c r="D198" i="9"/>
  <c r="G198" i="9" s="1"/>
  <c r="E198" i="9"/>
  <c r="F198" i="9"/>
  <c r="A199" i="9"/>
  <c r="B199" i="9"/>
  <c r="C199" i="9"/>
  <c r="D199" i="9"/>
  <c r="G199" i="9" s="1"/>
  <c r="E199" i="9"/>
  <c r="F199" i="9"/>
  <c r="A200" i="9"/>
  <c r="B200" i="9"/>
  <c r="C200" i="9"/>
  <c r="D200" i="9"/>
  <c r="E200" i="9"/>
  <c r="F200" i="9"/>
  <c r="G200" i="9"/>
  <c r="A201" i="9"/>
  <c r="B201" i="9"/>
  <c r="C201" i="9"/>
  <c r="D201" i="9"/>
  <c r="G201" i="9" s="1"/>
  <c r="E201" i="9"/>
  <c r="F201" i="9"/>
  <c r="A202" i="9"/>
  <c r="B202" i="9"/>
  <c r="C202" i="9"/>
  <c r="D202" i="9"/>
  <c r="G202" i="9" s="1"/>
  <c r="E202" i="9"/>
  <c r="F202" i="9"/>
  <c r="A203" i="9"/>
  <c r="B203" i="9"/>
  <c r="C203" i="9"/>
  <c r="D203" i="9"/>
  <c r="G203" i="9" s="1"/>
  <c r="E203" i="9"/>
  <c r="F203" i="9"/>
  <c r="A204" i="9"/>
  <c r="B204" i="9"/>
  <c r="C204" i="9"/>
  <c r="D204" i="9"/>
  <c r="E204" i="9"/>
  <c r="F204" i="9"/>
  <c r="G204" i="9"/>
  <c r="A205" i="9"/>
  <c r="B205" i="9"/>
  <c r="C205" i="9"/>
  <c r="D205" i="9"/>
  <c r="G205" i="9" s="1"/>
  <c r="E205" i="9"/>
  <c r="F205" i="9"/>
  <c r="A206" i="9"/>
  <c r="B206" i="9"/>
  <c r="C206" i="9"/>
  <c r="D206" i="9"/>
  <c r="G206" i="9" s="1"/>
  <c r="E206" i="9"/>
  <c r="F206" i="9"/>
  <c r="A207" i="9"/>
  <c r="B207" i="9"/>
  <c r="C207" i="9"/>
  <c r="D207" i="9"/>
  <c r="G207" i="9" s="1"/>
  <c r="E207" i="9"/>
  <c r="F207" i="9"/>
  <c r="A208" i="9"/>
  <c r="B208" i="9"/>
  <c r="C208" i="9"/>
  <c r="D208" i="9"/>
  <c r="E208" i="9"/>
  <c r="F208" i="9"/>
  <c r="G208" i="9"/>
  <c r="A209" i="9"/>
  <c r="B209" i="9"/>
  <c r="C209" i="9"/>
  <c r="D209" i="9"/>
  <c r="G209" i="9" s="1"/>
  <c r="E209" i="9"/>
  <c r="F209" i="9"/>
  <c r="A210" i="9"/>
  <c r="B210" i="9"/>
  <c r="C210" i="9"/>
  <c r="D210" i="9"/>
  <c r="G210" i="9" s="1"/>
  <c r="E210" i="9"/>
  <c r="F210" i="9"/>
  <c r="A211" i="9"/>
  <c r="B211" i="9"/>
  <c r="C211" i="9"/>
  <c r="D211" i="9"/>
  <c r="G211" i="9" s="1"/>
  <c r="E211" i="9"/>
  <c r="F211" i="9"/>
  <c r="A212" i="9"/>
  <c r="B212" i="9"/>
  <c r="C212" i="9"/>
  <c r="D212" i="9"/>
  <c r="E212" i="9"/>
  <c r="F212" i="9"/>
  <c r="G212" i="9"/>
  <c r="A213" i="9"/>
  <c r="B213" i="9"/>
  <c r="C213" i="9"/>
  <c r="D213" i="9"/>
  <c r="G213" i="9" s="1"/>
  <c r="E213" i="9"/>
  <c r="F213" i="9"/>
  <c r="A214" i="9"/>
  <c r="B214" i="9"/>
  <c r="C214" i="9"/>
  <c r="D214" i="9"/>
  <c r="G214" i="9" s="1"/>
  <c r="E214" i="9"/>
  <c r="F214" i="9"/>
  <c r="A215" i="9"/>
  <c r="B215" i="9"/>
  <c r="C215" i="9"/>
  <c r="D215" i="9"/>
  <c r="G215" i="9" s="1"/>
  <c r="E215" i="9"/>
  <c r="F215" i="9"/>
  <c r="A216" i="9"/>
  <c r="B216" i="9"/>
  <c r="C216" i="9"/>
  <c r="D216" i="9"/>
  <c r="E216" i="9"/>
  <c r="F216" i="9"/>
  <c r="G216" i="9"/>
  <c r="A217" i="9"/>
  <c r="B217" i="9"/>
  <c r="C217" i="9"/>
  <c r="D217" i="9"/>
  <c r="G217" i="9" s="1"/>
  <c r="E217" i="9"/>
  <c r="F217" i="9"/>
  <c r="A218" i="9"/>
  <c r="B218" i="9"/>
  <c r="C218" i="9"/>
  <c r="D218" i="9"/>
  <c r="G218" i="9" s="1"/>
  <c r="E218" i="9"/>
  <c r="F218" i="9"/>
  <c r="A219" i="9"/>
  <c r="B219" i="9"/>
  <c r="C219" i="9"/>
  <c r="D219" i="9"/>
  <c r="G219" i="9" s="1"/>
  <c r="E219" i="9"/>
  <c r="F219" i="9"/>
  <c r="A220" i="9"/>
  <c r="B220" i="9"/>
  <c r="C220" i="9"/>
  <c r="D220" i="9"/>
  <c r="E220" i="9"/>
  <c r="F220" i="9"/>
  <c r="G220" i="9"/>
  <c r="A221" i="9"/>
  <c r="B221" i="9"/>
  <c r="C221" i="9"/>
  <c r="D221" i="9"/>
  <c r="G221" i="9" s="1"/>
  <c r="E221" i="9"/>
  <c r="F221" i="9"/>
  <c r="A222" i="9"/>
  <c r="B222" i="9"/>
  <c r="C222" i="9"/>
  <c r="D222" i="9"/>
  <c r="G222" i="9" s="1"/>
  <c r="E222" i="9"/>
  <c r="F222" i="9"/>
  <c r="A223" i="9"/>
  <c r="B223" i="9"/>
  <c r="C223" i="9"/>
  <c r="D223" i="9"/>
  <c r="G223" i="9" s="1"/>
  <c r="E223" i="9"/>
  <c r="F223" i="9"/>
  <c r="A224" i="9"/>
  <c r="B224" i="9"/>
  <c r="C224" i="9"/>
  <c r="D224" i="9"/>
  <c r="E224" i="9"/>
  <c r="F224" i="9"/>
  <c r="G224" i="9"/>
  <c r="A225" i="9"/>
  <c r="B225" i="9"/>
  <c r="C225" i="9"/>
  <c r="D225" i="9"/>
  <c r="G225" i="9" s="1"/>
  <c r="E225" i="9"/>
  <c r="F225" i="9"/>
  <c r="A226" i="9"/>
  <c r="B226" i="9"/>
  <c r="C226" i="9"/>
  <c r="D226" i="9"/>
  <c r="G226" i="9" s="1"/>
  <c r="E226" i="9"/>
  <c r="F226" i="9"/>
  <c r="A227" i="9"/>
  <c r="B227" i="9"/>
  <c r="C227" i="9"/>
  <c r="D227" i="9"/>
  <c r="G227" i="9" s="1"/>
  <c r="E227" i="9"/>
  <c r="F227" i="9"/>
  <c r="A228" i="9"/>
  <c r="B228" i="9"/>
  <c r="C228" i="9"/>
  <c r="D228" i="9"/>
  <c r="E228" i="9"/>
  <c r="F228" i="9"/>
  <c r="G228" i="9" s="1"/>
  <c r="A229" i="9"/>
  <c r="B229" i="9"/>
  <c r="C229" i="9"/>
  <c r="D229" i="9"/>
  <c r="E229" i="9"/>
  <c r="F229" i="9"/>
  <c r="G229" i="9"/>
  <c r="A230" i="9"/>
  <c r="B230" i="9"/>
  <c r="C230" i="9"/>
  <c r="D230" i="9"/>
  <c r="G230" i="9" s="1"/>
  <c r="E230" i="9"/>
  <c r="F230" i="9"/>
  <c r="A231" i="9"/>
  <c r="B231" i="9"/>
  <c r="C231" i="9"/>
  <c r="D231" i="9"/>
  <c r="E231" i="9"/>
  <c r="F231" i="9"/>
  <c r="G231" i="9" s="1"/>
  <c r="A232" i="9"/>
  <c r="B232" i="9"/>
  <c r="C232" i="9"/>
  <c r="D232" i="9"/>
  <c r="E232" i="9"/>
  <c r="F232" i="9"/>
  <c r="G232" i="9" s="1"/>
  <c r="A233" i="9"/>
  <c r="B233" i="9"/>
  <c r="C233" i="9"/>
  <c r="D233" i="9"/>
  <c r="E233" i="9"/>
  <c r="F233" i="9"/>
  <c r="G233" i="9"/>
  <c r="A234" i="9"/>
  <c r="B234" i="9"/>
  <c r="C234" i="9"/>
  <c r="D234" i="9"/>
  <c r="G234" i="9" s="1"/>
  <c r="E234" i="9"/>
  <c r="F234" i="9"/>
  <c r="A235" i="9"/>
  <c r="B235" i="9"/>
  <c r="C235" i="9"/>
  <c r="D235" i="9"/>
  <c r="E235" i="9"/>
  <c r="F235" i="9"/>
  <c r="G235" i="9" s="1"/>
  <c r="A236" i="9"/>
  <c r="B236" i="9"/>
  <c r="C236" i="9"/>
  <c r="D236" i="9"/>
  <c r="E236" i="9"/>
  <c r="F236" i="9"/>
  <c r="G236" i="9" s="1"/>
  <c r="A237" i="9"/>
  <c r="B237" i="9"/>
  <c r="C237" i="9"/>
  <c r="D237" i="9"/>
  <c r="E237" i="9"/>
  <c r="F237" i="9"/>
  <c r="G237" i="9"/>
  <c r="A238" i="9"/>
  <c r="B238" i="9"/>
  <c r="C238" i="9"/>
  <c r="D238" i="9"/>
  <c r="G238" i="9" s="1"/>
  <c r="E238" i="9"/>
  <c r="F238" i="9"/>
  <c r="A239" i="9"/>
  <c r="B239" i="9"/>
  <c r="C239" i="9"/>
  <c r="D239" i="9"/>
  <c r="E239" i="9"/>
  <c r="F239" i="9"/>
  <c r="G239" i="9" s="1"/>
  <c r="A240" i="9"/>
  <c r="B240" i="9"/>
  <c r="C240" i="9"/>
  <c r="D240" i="9"/>
  <c r="E240" i="9"/>
  <c r="F240" i="9"/>
  <c r="G240" i="9" s="1"/>
  <c r="A241" i="9"/>
  <c r="B241" i="9"/>
  <c r="C241" i="9"/>
  <c r="D241" i="9"/>
  <c r="E241" i="9"/>
  <c r="F241" i="9"/>
  <c r="G241" i="9"/>
  <c r="A242" i="9"/>
  <c r="B242" i="9"/>
  <c r="C242" i="9"/>
  <c r="D242" i="9"/>
  <c r="G242" i="9" s="1"/>
  <c r="E242" i="9"/>
  <c r="F242" i="9"/>
  <c r="A243" i="9"/>
  <c r="B243" i="9"/>
  <c r="C243" i="9"/>
  <c r="D243" i="9"/>
  <c r="E243" i="9"/>
  <c r="F243" i="9"/>
  <c r="G243" i="9" s="1"/>
  <c r="A244" i="9"/>
  <c r="B244" i="9"/>
  <c r="C244" i="9"/>
  <c r="D244" i="9"/>
  <c r="E244" i="9"/>
  <c r="F244" i="9"/>
  <c r="G244" i="9" s="1"/>
  <c r="A245" i="9"/>
  <c r="B245" i="9"/>
  <c r="C245" i="9"/>
  <c r="D245" i="9"/>
  <c r="E245" i="9"/>
  <c r="F245" i="9"/>
  <c r="G245" i="9"/>
  <c r="A246" i="9"/>
  <c r="B246" i="9"/>
  <c r="C246" i="9"/>
  <c r="D246" i="9"/>
  <c r="G246" i="9" s="1"/>
  <c r="E246" i="9"/>
  <c r="F246" i="9"/>
  <c r="A247" i="9"/>
  <c r="B247" i="9"/>
  <c r="C247" i="9"/>
  <c r="D247" i="9"/>
  <c r="E247" i="9"/>
  <c r="F247" i="9"/>
  <c r="G247" i="9" s="1"/>
  <c r="A248" i="9"/>
  <c r="B248" i="9"/>
  <c r="C248" i="9"/>
  <c r="D248" i="9"/>
  <c r="E248" i="9"/>
  <c r="F248" i="9"/>
  <c r="G248" i="9" s="1"/>
  <c r="A249" i="9"/>
  <c r="B249" i="9"/>
  <c r="C249" i="9"/>
  <c r="D249" i="9"/>
  <c r="E249" i="9"/>
  <c r="F249" i="9"/>
  <c r="G249" i="9"/>
  <c r="A250" i="9"/>
  <c r="B250" i="9"/>
  <c r="C250" i="9"/>
  <c r="D250" i="9"/>
  <c r="G250" i="9" s="1"/>
  <c r="E250" i="9"/>
  <c r="F250" i="9"/>
  <c r="A251" i="9"/>
  <c r="B251" i="9"/>
  <c r="C251" i="9"/>
  <c r="D251" i="9"/>
  <c r="E251" i="9"/>
  <c r="F251" i="9"/>
  <c r="G251" i="9" s="1"/>
  <c r="A252" i="9"/>
  <c r="B252" i="9"/>
  <c r="C252" i="9"/>
  <c r="D252" i="9"/>
  <c r="E252" i="9"/>
  <c r="F252" i="9"/>
  <c r="G252" i="9" s="1"/>
  <c r="A253" i="9"/>
  <c r="B253" i="9"/>
  <c r="C253" i="9"/>
  <c r="D253" i="9"/>
  <c r="E253" i="9"/>
  <c r="F253" i="9"/>
  <c r="G253" i="9"/>
  <c r="A254" i="9"/>
  <c r="B254" i="9"/>
  <c r="C254" i="9"/>
  <c r="D254" i="9"/>
  <c r="G254" i="9" s="1"/>
  <c r="E254" i="9"/>
  <c r="F254" i="9"/>
  <c r="A255" i="9"/>
  <c r="B255" i="9"/>
  <c r="C255" i="9"/>
  <c r="D255" i="9"/>
  <c r="E255" i="9"/>
  <c r="F255" i="9"/>
  <c r="G255" i="9" s="1"/>
  <c r="A256" i="9"/>
  <c r="B256" i="9"/>
  <c r="C256" i="9"/>
  <c r="D256" i="9"/>
  <c r="E256" i="9"/>
  <c r="F256" i="9"/>
  <c r="G256" i="9" s="1"/>
  <c r="A257" i="9"/>
  <c r="B257" i="9"/>
  <c r="C257" i="9"/>
  <c r="D257" i="9"/>
  <c r="E257" i="9"/>
  <c r="F257" i="9"/>
  <c r="G257" i="9"/>
  <c r="A258" i="9"/>
  <c r="B258" i="9"/>
  <c r="C258" i="9"/>
  <c r="D258" i="9"/>
  <c r="G258" i="9" s="1"/>
  <c r="E258" i="9"/>
  <c r="F258" i="9"/>
  <c r="A259" i="9"/>
  <c r="B259" i="9"/>
  <c r="C259" i="9"/>
  <c r="D259" i="9"/>
  <c r="G259" i="9" s="1"/>
  <c r="E259" i="9"/>
  <c r="F259" i="9"/>
  <c r="A260" i="9"/>
  <c r="B260" i="9"/>
  <c r="C260" i="9"/>
  <c r="D260" i="9"/>
  <c r="E260" i="9"/>
  <c r="F260" i="9"/>
  <c r="G260" i="9" s="1"/>
  <c r="A261" i="9"/>
  <c r="B261" i="9"/>
  <c r="C261" i="9"/>
  <c r="D261" i="9"/>
  <c r="E261" i="9"/>
  <c r="F261" i="9"/>
  <c r="G261" i="9"/>
  <c r="A262" i="9"/>
  <c r="B262" i="9"/>
  <c r="C262" i="9"/>
  <c r="D262" i="9"/>
  <c r="G262" i="9" s="1"/>
  <c r="E262" i="9"/>
  <c r="F262" i="9"/>
  <c r="A263" i="9"/>
  <c r="B263" i="9"/>
  <c r="C263" i="9"/>
  <c r="D263" i="9"/>
  <c r="G263" i="9" s="1"/>
  <c r="E263" i="9"/>
  <c r="F263" i="9"/>
  <c r="A264" i="9"/>
  <c r="B264" i="9"/>
  <c r="C264" i="9"/>
  <c r="D264" i="9"/>
  <c r="E264" i="9"/>
  <c r="F264" i="9"/>
  <c r="G264" i="9" s="1"/>
  <c r="A265" i="9"/>
  <c r="B265" i="9"/>
  <c r="C265" i="9"/>
  <c r="D265" i="9"/>
  <c r="E265" i="9"/>
  <c r="F265" i="9"/>
  <c r="G265" i="9"/>
  <c r="A266" i="9"/>
  <c r="B266" i="9"/>
  <c r="C266" i="9"/>
  <c r="D266" i="9"/>
  <c r="G266" i="9" s="1"/>
  <c r="E266" i="9"/>
  <c r="F266" i="9"/>
  <c r="A267" i="9"/>
  <c r="B267" i="9"/>
  <c r="C267" i="9"/>
  <c r="D267" i="9"/>
  <c r="G267" i="9" s="1"/>
  <c r="E267" i="9"/>
  <c r="F267" i="9"/>
  <c r="A268" i="9"/>
  <c r="B268" i="9"/>
  <c r="C268" i="9"/>
  <c r="D268" i="9"/>
  <c r="E268" i="9"/>
  <c r="F268" i="9"/>
  <c r="G268" i="9" s="1"/>
  <c r="A269" i="9"/>
  <c r="B269" i="9"/>
  <c r="C269" i="9"/>
  <c r="D269" i="9"/>
  <c r="E269" i="9"/>
  <c r="F269" i="9"/>
  <c r="G269" i="9"/>
  <c r="A270" i="9"/>
  <c r="B270" i="9"/>
  <c r="C270" i="9"/>
  <c r="D270" i="9"/>
  <c r="G270" i="9" s="1"/>
  <c r="E270" i="9"/>
  <c r="F270" i="9"/>
  <c r="A271" i="9"/>
  <c r="B271" i="9"/>
  <c r="C271" i="9"/>
  <c r="D271" i="9"/>
  <c r="G271" i="9" s="1"/>
  <c r="E271" i="9"/>
  <c r="F271" i="9"/>
  <c r="A272" i="9"/>
  <c r="B272" i="9"/>
  <c r="C272" i="9"/>
  <c r="D272" i="9"/>
  <c r="E272" i="9"/>
  <c r="F272" i="9"/>
  <c r="G272" i="9" s="1"/>
  <c r="A273" i="9"/>
  <c r="B273" i="9"/>
  <c r="C273" i="9"/>
  <c r="D273" i="9"/>
  <c r="E273" i="9"/>
  <c r="F273" i="9"/>
  <c r="G273" i="9"/>
  <c r="A274" i="9"/>
  <c r="B274" i="9"/>
  <c r="C274" i="9"/>
  <c r="D274" i="9"/>
  <c r="G274" i="9" s="1"/>
  <c r="E274" i="9"/>
  <c r="F274" i="9"/>
  <c r="A275" i="9"/>
  <c r="B275" i="9"/>
  <c r="C275" i="9"/>
  <c r="D275" i="9"/>
  <c r="G275" i="9" s="1"/>
  <c r="E275" i="9"/>
  <c r="F275" i="9"/>
  <c r="A276" i="9"/>
  <c r="B276" i="9"/>
  <c r="C276" i="9"/>
  <c r="D276" i="9"/>
  <c r="E276" i="9"/>
  <c r="F276" i="9"/>
  <c r="G276" i="9" s="1"/>
  <c r="A277" i="9"/>
  <c r="B277" i="9"/>
  <c r="C277" i="9"/>
  <c r="D277" i="9"/>
  <c r="E277" i="9"/>
  <c r="F277" i="9"/>
  <c r="G277" i="9"/>
  <c r="A278" i="9"/>
  <c r="B278" i="9"/>
  <c r="C278" i="9"/>
  <c r="D278" i="9"/>
  <c r="G278" i="9" s="1"/>
  <c r="E278" i="9"/>
  <c r="F278" i="9"/>
  <c r="A279" i="9"/>
  <c r="B279" i="9"/>
  <c r="C279" i="9"/>
  <c r="D279" i="9"/>
  <c r="G279" i="9" s="1"/>
  <c r="E279" i="9"/>
  <c r="F279" i="9"/>
  <c r="A280" i="9"/>
  <c r="B280" i="9"/>
  <c r="C280" i="9"/>
  <c r="D280" i="9"/>
  <c r="E280" i="9"/>
  <c r="F280" i="9"/>
  <c r="G280" i="9" s="1"/>
  <c r="A281" i="9"/>
  <c r="B281" i="9"/>
  <c r="C281" i="9"/>
  <c r="D281" i="9"/>
  <c r="E281" i="9"/>
  <c r="F281" i="9"/>
  <c r="G281" i="9"/>
  <c r="A282" i="9"/>
  <c r="B282" i="9"/>
  <c r="C282" i="9"/>
  <c r="D282" i="9"/>
  <c r="G282" i="9" s="1"/>
  <c r="E282" i="9"/>
  <c r="F282" i="9"/>
  <c r="A283" i="9"/>
  <c r="B283" i="9"/>
  <c r="C283" i="9"/>
  <c r="D283" i="9"/>
  <c r="G283" i="9" s="1"/>
  <c r="E283" i="9"/>
  <c r="F283" i="9"/>
  <c r="A284" i="9"/>
  <c r="B284" i="9"/>
  <c r="C284" i="9"/>
  <c r="D284" i="9"/>
  <c r="E284" i="9"/>
  <c r="F284" i="9"/>
  <c r="G284" i="9" s="1"/>
  <c r="A285" i="9"/>
  <c r="B285" i="9"/>
  <c r="C285" i="9"/>
  <c r="D285" i="9"/>
  <c r="E285" i="9"/>
  <c r="F285" i="9"/>
  <c r="G285" i="9"/>
  <c r="A286" i="9"/>
  <c r="B286" i="9"/>
  <c r="C286" i="9"/>
  <c r="D286" i="9"/>
  <c r="G286" i="9" s="1"/>
  <c r="E286" i="9"/>
  <c r="F286" i="9"/>
  <c r="A287" i="9"/>
  <c r="B287" i="9"/>
  <c r="C287" i="9"/>
  <c r="D287" i="9"/>
  <c r="G287" i="9" s="1"/>
  <c r="E287" i="9"/>
  <c r="F287" i="9"/>
  <c r="A288" i="9"/>
  <c r="B288" i="9"/>
  <c r="C288" i="9"/>
  <c r="D288" i="9"/>
  <c r="E288" i="9"/>
  <c r="F288" i="9"/>
  <c r="G288" i="9" s="1"/>
  <c r="A289" i="9"/>
  <c r="B289" i="9"/>
  <c r="C289" i="9"/>
  <c r="D289" i="9"/>
  <c r="E289" i="9"/>
  <c r="F289" i="9"/>
  <c r="G289" i="9"/>
  <c r="A290" i="9"/>
  <c r="B290" i="9"/>
  <c r="C290" i="9"/>
  <c r="D290" i="9"/>
  <c r="G290" i="9" s="1"/>
  <c r="E290" i="9"/>
  <c r="F290" i="9"/>
  <c r="A291" i="9"/>
  <c r="B291" i="9"/>
  <c r="C291" i="9"/>
  <c r="D291" i="9"/>
  <c r="G291" i="9" s="1"/>
  <c r="E291" i="9"/>
  <c r="F291" i="9"/>
  <c r="A292" i="9"/>
  <c r="B292" i="9"/>
  <c r="C292" i="9"/>
  <c r="D292" i="9"/>
  <c r="E292" i="9"/>
  <c r="F292" i="9"/>
  <c r="G292" i="9" s="1"/>
  <c r="A293" i="9"/>
  <c r="B293" i="9"/>
  <c r="C293" i="9"/>
  <c r="D293" i="9"/>
  <c r="E293" i="9"/>
  <c r="F293" i="9"/>
  <c r="G293" i="9"/>
  <c r="A294" i="9"/>
  <c r="B294" i="9"/>
  <c r="C294" i="9"/>
  <c r="D294" i="9"/>
  <c r="G294" i="9" s="1"/>
  <c r="E294" i="9"/>
  <c r="F294" i="9"/>
  <c r="A295" i="9"/>
  <c r="B295" i="9"/>
  <c r="C295" i="9"/>
  <c r="D295" i="9"/>
  <c r="G295" i="9" s="1"/>
  <c r="E295" i="9"/>
  <c r="F295" i="9"/>
  <c r="A296" i="9"/>
  <c r="B296" i="9"/>
  <c r="C296" i="9"/>
  <c r="D296" i="9"/>
  <c r="E296" i="9"/>
  <c r="F296" i="9"/>
  <c r="G296" i="9" s="1"/>
  <c r="A297" i="9"/>
  <c r="B297" i="9"/>
  <c r="C297" i="9"/>
  <c r="D297" i="9"/>
  <c r="E297" i="9"/>
  <c r="F297" i="9"/>
  <c r="G297" i="9"/>
  <c r="A298" i="9"/>
  <c r="B298" i="9"/>
  <c r="C298" i="9"/>
  <c r="D298" i="9"/>
  <c r="G298" i="9" s="1"/>
  <c r="E298" i="9"/>
  <c r="F298" i="9"/>
  <c r="A299" i="9"/>
  <c r="B299" i="9"/>
  <c r="C299" i="9"/>
  <c r="D299" i="9"/>
  <c r="G299" i="9" s="1"/>
  <c r="E299" i="9"/>
  <c r="F299" i="9"/>
  <c r="A300" i="9"/>
  <c r="B300" i="9"/>
  <c r="C300" i="9"/>
  <c r="D300" i="9"/>
  <c r="E300" i="9"/>
  <c r="F300" i="9"/>
  <c r="G300" i="9" s="1"/>
  <c r="A301" i="9"/>
  <c r="B301" i="9"/>
  <c r="C301" i="9"/>
  <c r="D301" i="9"/>
  <c r="E301" i="9"/>
  <c r="F301" i="9"/>
  <c r="G301" i="9"/>
  <c r="A302" i="9"/>
  <c r="B302" i="9"/>
  <c r="C302" i="9"/>
  <c r="D302" i="9"/>
  <c r="G302" i="9" s="1"/>
  <c r="E302" i="9"/>
  <c r="F302" i="9"/>
  <c r="A303" i="9"/>
  <c r="B303" i="9"/>
  <c r="C303" i="9"/>
  <c r="D303" i="9"/>
  <c r="G303" i="9" s="1"/>
  <c r="E303" i="9"/>
  <c r="F303" i="9"/>
  <c r="A304" i="9"/>
  <c r="B304" i="9"/>
  <c r="C304" i="9"/>
  <c r="D304" i="9"/>
  <c r="E304" i="9"/>
  <c r="F304" i="9"/>
  <c r="G304" i="9" s="1"/>
  <c r="A305" i="9"/>
  <c r="B305" i="9"/>
  <c r="C305" i="9"/>
  <c r="D305" i="9"/>
  <c r="E305" i="9"/>
  <c r="F305" i="9"/>
  <c r="G305" i="9"/>
  <c r="A306" i="9"/>
  <c r="B306" i="9"/>
  <c r="C306" i="9"/>
  <c r="D306" i="9"/>
  <c r="G306" i="9" s="1"/>
  <c r="E306" i="9"/>
  <c r="F306" i="9"/>
  <c r="A307" i="9"/>
  <c r="B307" i="9"/>
  <c r="C307" i="9"/>
  <c r="D307" i="9"/>
  <c r="G307" i="9" s="1"/>
  <c r="E307" i="9"/>
  <c r="F307" i="9"/>
  <c r="A308" i="9"/>
  <c r="B308" i="9"/>
  <c r="C308" i="9"/>
  <c r="D308" i="9"/>
  <c r="E308" i="9"/>
  <c r="F308" i="9"/>
  <c r="G308" i="9" s="1"/>
  <c r="A309" i="9"/>
  <c r="B309" i="9"/>
  <c r="C309" i="9"/>
  <c r="D309" i="9"/>
  <c r="E309" i="9"/>
  <c r="F309" i="9"/>
  <c r="G309" i="9"/>
  <c r="A310" i="9"/>
  <c r="B310" i="9"/>
  <c r="C310" i="9"/>
  <c r="D310" i="9"/>
  <c r="G310" i="9" s="1"/>
  <c r="E310" i="9"/>
  <c r="F310" i="9"/>
  <c r="A311" i="9"/>
  <c r="B311" i="9"/>
  <c r="C311" i="9"/>
  <c r="D311" i="9"/>
  <c r="G311" i="9" s="1"/>
  <c r="E311" i="9"/>
  <c r="F311" i="9"/>
  <c r="A312" i="9"/>
  <c r="B312" i="9"/>
  <c r="C312" i="9"/>
  <c r="D312" i="9"/>
  <c r="E312" i="9"/>
  <c r="F312" i="9"/>
  <c r="G312" i="9" s="1"/>
  <c r="A313" i="9"/>
  <c r="B313" i="9"/>
  <c r="C313" i="9"/>
  <c r="D313" i="9"/>
  <c r="E313" i="9"/>
  <c r="F313" i="9"/>
  <c r="G313" i="9"/>
  <c r="A314" i="9"/>
  <c r="B314" i="9"/>
  <c r="C314" i="9"/>
  <c r="D314" i="9"/>
  <c r="G314" i="9" s="1"/>
  <c r="E314" i="9"/>
  <c r="F314" i="9"/>
  <c r="A315" i="9"/>
  <c r="B315" i="9"/>
  <c r="C315" i="9"/>
  <c r="D315" i="9"/>
  <c r="E315" i="9"/>
  <c r="F315" i="9"/>
  <c r="G315" i="9" s="1"/>
  <c r="A316" i="9"/>
  <c r="B316" i="9"/>
  <c r="C316" i="9"/>
  <c r="D316" i="9"/>
  <c r="E316" i="9"/>
  <c r="F316" i="9"/>
  <c r="G316" i="9" s="1"/>
  <c r="A317" i="9"/>
  <c r="B317" i="9"/>
  <c r="C317" i="9"/>
  <c r="D317" i="9"/>
  <c r="E317" i="9"/>
  <c r="F317" i="9"/>
  <c r="G317" i="9"/>
  <c r="A318" i="9"/>
  <c r="B318" i="9"/>
  <c r="C318" i="9"/>
  <c r="D318" i="9"/>
  <c r="G318" i="9" s="1"/>
  <c r="E318" i="9"/>
  <c r="F318" i="9"/>
  <c r="A319" i="9"/>
  <c r="B319" i="9"/>
  <c r="C319" i="9"/>
  <c r="D319" i="9"/>
  <c r="G319" i="9" s="1"/>
  <c r="E319" i="9"/>
  <c r="F319" i="9"/>
  <c r="A6" i="33"/>
  <c r="B6" i="33"/>
  <c r="C6" i="33"/>
  <c r="E6" i="33" s="1"/>
  <c r="D6" i="33"/>
  <c r="A7" i="33"/>
  <c r="B7" i="33"/>
  <c r="C7" i="33"/>
  <c r="D7" i="33"/>
  <c r="E7" i="33"/>
  <c r="A8" i="33"/>
  <c r="B8" i="33"/>
  <c r="C8" i="33"/>
  <c r="D8" i="33"/>
  <c r="E8" i="33"/>
  <c r="A9" i="33"/>
  <c r="B9" i="33"/>
  <c r="C9" i="33"/>
  <c r="D9" i="33"/>
  <c r="A10" i="33"/>
  <c r="B10" i="33"/>
  <c r="C10" i="33"/>
  <c r="E10" i="33" s="1"/>
  <c r="D10" i="33"/>
  <c r="A11" i="33"/>
  <c r="B11" i="33"/>
  <c r="C11" i="33"/>
  <c r="D11" i="33"/>
  <c r="E11" i="33"/>
  <c r="A12" i="33"/>
  <c r="B12" i="33"/>
  <c r="C12" i="33"/>
  <c r="D12" i="33"/>
  <c r="E12" i="33"/>
  <c r="A13" i="33"/>
  <c r="B13" i="33"/>
  <c r="C13" i="33"/>
  <c r="D13" i="33"/>
  <c r="A14" i="33"/>
  <c r="B14" i="33"/>
  <c r="C14" i="33"/>
  <c r="E14" i="33" s="1"/>
  <c r="D14" i="33"/>
  <c r="A15" i="33"/>
  <c r="B15" i="33"/>
  <c r="C15" i="33"/>
  <c r="D15" i="33"/>
  <c r="E15" i="33"/>
  <c r="A16" i="33"/>
  <c r="B16" i="33"/>
  <c r="C16" i="33"/>
  <c r="D16" i="33"/>
  <c r="E16" i="33"/>
  <c r="A17" i="33"/>
  <c r="B17" i="33"/>
  <c r="C17" i="33"/>
  <c r="D17" i="33"/>
  <c r="A18" i="33"/>
  <c r="B18" i="33"/>
  <c r="C18" i="33"/>
  <c r="E18" i="33" s="1"/>
  <c r="D18" i="33"/>
  <c r="A19" i="33"/>
  <c r="B19" i="33"/>
  <c r="C19" i="33"/>
  <c r="D19" i="33"/>
  <c r="E19" i="33"/>
  <c r="A20" i="33"/>
  <c r="B20" i="33"/>
  <c r="C20" i="33"/>
  <c r="D20" i="33"/>
  <c r="E20" i="33"/>
  <c r="A21" i="33"/>
  <c r="B21" i="33"/>
  <c r="C21" i="33"/>
  <c r="D21" i="33"/>
  <c r="A22" i="33"/>
  <c r="B22" i="33"/>
  <c r="C22" i="33"/>
  <c r="E22" i="33" s="1"/>
  <c r="D22" i="33"/>
  <c r="A23" i="33"/>
  <c r="B23" i="33"/>
  <c r="C23" i="33"/>
  <c r="D23" i="33"/>
  <c r="E23" i="33"/>
  <c r="A24" i="33"/>
  <c r="B24" i="33"/>
  <c r="C24" i="33"/>
  <c r="D24" i="33"/>
  <c r="E24" i="33"/>
  <c r="A25" i="33"/>
  <c r="B25" i="33"/>
  <c r="C25" i="33"/>
  <c r="D25" i="33"/>
  <c r="A26" i="33"/>
  <c r="B26" i="33"/>
  <c r="C26" i="33"/>
  <c r="E26" i="33" s="1"/>
  <c r="D26" i="33"/>
  <c r="A27" i="33"/>
  <c r="B27" i="33"/>
  <c r="C27" i="33"/>
  <c r="D27" i="33"/>
  <c r="E27" i="33"/>
  <c r="A28" i="33"/>
  <c r="B28" i="33"/>
  <c r="C28" i="33"/>
  <c r="D28" i="33"/>
  <c r="E28" i="33"/>
  <c r="A29" i="33"/>
  <c r="B29" i="33"/>
  <c r="C29" i="33"/>
  <c r="D29" i="33"/>
  <c r="A30" i="33"/>
  <c r="B30" i="33"/>
  <c r="C30" i="33"/>
  <c r="E30" i="33" s="1"/>
  <c r="D30" i="33"/>
  <c r="A31" i="33"/>
  <c r="B31" i="33"/>
  <c r="C31" i="33"/>
  <c r="D31" i="33"/>
  <c r="E31" i="33"/>
  <c r="A32" i="33"/>
  <c r="B32" i="33"/>
  <c r="C32" i="33"/>
  <c r="D32" i="33"/>
  <c r="E32" i="33"/>
  <c r="A33" i="33"/>
  <c r="B33" i="33"/>
  <c r="C33" i="33"/>
  <c r="D33" i="33"/>
  <c r="A34" i="33"/>
  <c r="B34" i="33"/>
  <c r="C34" i="33"/>
  <c r="E34" i="33" s="1"/>
  <c r="D34" i="33"/>
  <c r="A35" i="33"/>
  <c r="B35" i="33"/>
  <c r="C35" i="33"/>
  <c r="D35" i="33"/>
  <c r="E35" i="33" s="1"/>
  <c r="A36" i="33"/>
  <c r="B36" i="33"/>
  <c r="C36" i="33"/>
  <c r="D36" i="33"/>
  <c r="E36" i="33"/>
  <c r="A37" i="33"/>
  <c r="B37" i="33"/>
  <c r="C37" i="33"/>
  <c r="E37" i="33" s="1"/>
  <c r="D37" i="33"/>
  <c r="A38" i="33"/>
  <c r="B38" i="33"/>
  <c r="C38" i="33"/>
  <c r="D38" i="33"/>
  <c r="E38" i="33"/>
  <c r="A39" i="33"/>
  <c r="B39" i="33"/>
  <c r="C39" i="33"/>
  <c r="D39" i="33"/>
  <c r="E39" i="33" s="1"/>
  <c r="A40" i="33"/>
  <c r="B40" i="33"/>
  <c r="C40" i="33"/>
  <c r="E40" i="33" s="1"/>
  <c r="D40" i="33"/>
  <c r="A41" i="33"/>
  <c r="B41" i="33"/>
  <c r="C41" i="33"/>
  <c r="D41" i="33"/>
  <c r="A42" i="33"/>
  <c r="B42" i="33"/>
  <c r="C42" i="33"/>
  <c r="E42" i="33" s="1"/>
  <c r="D42" i="33"/>
  <c r="A43" i="33"/>
  <c r="B43" i="33"/>
  <c r="C43" i="33"/>
  <c r="D43" i="33"/>
  <c r="E43" i="33"/>
  <c r="A44" i="33"/>
  <c r="B44" i="33"/>
  <c r="C44" i="33"/>
  <c r="E44" i="33" s="1"/>
  <c r="D44" i="33"/>
  <c r="A45" i="33"/>
  <c r="B45" i="33"/>
  <c r="C45" i="33"/>
  <c r="E45" i="33" s="1"/>
  <c r="D45" i="33"/>
  <c r="A46" i="33"/>
  <c r="B46" i="33"/>
  <c r="C46" i="33"/>
  <c r="D46" i="33"/>
  <c r="E46" i="33" s="1"/>
  <c r="A47" i="33"/>
  <c r="B47" i="33"/>
  <c r="C47" i="33"/>
  <c r="D47" i="33"/>
  <c r="E47" i="33"/>
  <c r="A48" i="33"/>
  <c r="B48" i="33"/>
  <c r="C48" i="33"/>
  <c r="D48" i="33"/>
  <c r="E48" i="33" s="1"/>
  <c r="A49" i="33"/>
  <c r="B49" i="33"/>
  <c r="C49" i="33"/>
  <c r="E49" i="33" s="1"/>
  <c r="D49" i="33"/>
  <c r="A50" i="33"/>
  <c r="B50" i="33"/>
  <c r="C50" i="33"/>
  <c r="D50" i="33"/>
  <c r="E50" i="33" s="1"/>
  <c r="A51" i="33"/>
  <c r="B51" i="33"/>
  <c r="C51" i="33"/>
  <c r="D51" i="33"/>
  <c r="E51" i="33"/>
  <c r="A52" i="33"/>
  <c r="B52" i="33"/>
  <c r="C52" i="33"/>
  <c r="D52" i="33"/>
  <c r="E52" i="33" s="1"/>
  <c r="A53" i="33"/>
  <c r="B53" i="33"/>
  <c r="C53" i="33"/>
  <c r="E53" i="33" s="1"/>
  <c r="D53" i="33"/>
  <c r="A54" i="33"/>
  <c r="B54" i="33"/>
  <c r="C54" i="33"/>
  <c r="D54" i="33"/>
  <c r="E54" i="33" s="1"/>
  <c r="A55" i="33"/>
  <c r="B55" i="33"/>
  <c r="C55" i="33"/>
  <c r="D55" i="33"/>
  <c r="E55" i="33"/>
  <c r="A56" i="33"/>
  <c r="B56" i="33"/>
  <c r="C56" i="33"/>
  <c r="D56" i="33"/>
  <c r="E56" i="33" s="1"/>
  <c r="A57" i="33"/>
  <c r="B57" i="33"/>
  <c r="C57" i="33"/>
  <c r="E57" i="33" s="1"/>
  <c r="D57" i="33"/>
  <c r="A58" i="33"/>
  <c r="B58" i="33"/>
  <c r="C58" i="33"/>
  <c r="E58" i="33" s="1"/>
  <c r="D58" i="33"/>
  <c r="A59" i="33"/>
  <c r="B59" i="33"/>
  <c r="C59" i="33"/>
  <c r="D59" i="33"/>
  <c r="E59" i="33"/>
  <c r="A60" i="33"/>
  <c r="B60" i="33"/>
  <c r="C60" i="33"/>
  <c r="D60" i="33"/>
  <c r="E60" i="33" s="1"/>
  <c r="A61" i="33"/>
  <c r="B61" i="33"/>
  <c r="C61" i="33"/>
  <c r="E61" i="33" s="1"/>
  <c r="D61" i="33"/>
  <c r="A62" i="33"/>
  <c r="B62" i="33"/>
  <c r="C62" i="33"/>
  <c r="E62" i="33" s="1"/>
  <c r="D62" i="33"/>
  <c r="A63" i="33"/>
  <c r="B63" i="33"/>
  <c r="C63" i="33"/>
  <c r="D63" i="33"/>
  <c r="E63" i="33"/>
  <c r="A64" i="33"/>
  <c r="B64" i="33"/>
  <c r="C64" i="33"/>
  <c r="D64" i="33"/>
  <c r="E64" i="33" s="1"/>
  <c r="A65" i="33"/>
  <c r="B65" i="33"/>
  <c r="C65" i="33"/>
  <c r="D65" i="33"/>
  <c r="E65" i="33"/>
  <c r="A66" i="33"/>
  <c r="B66" i="33"/>
  <c r="C66" i="33"/>
  <c r="E66" i="33" s="1"/>
  <c r="D66" i="33"/>
  <c r="A67" i="33"/>
  <c r="B67" i="33"/>
  <c r="C67" i="33"/>
  <c r="D67" i="33"/>
  <c r="E67" i="33"/>
  <c r="A68" i="33"/>
  <c r="B68" i="33"/>
  <c r="C68" i="33"/>
  <c r="D68" i="33"/>
  <c r="E68" i="33"/>
  <c r="A69" i="33"/>
  <c r="B69" i="33"/>
  <c r="C69" i="33"/>
  <c r="E69" i="33" s="1"/>
  <c r="D69" i="33"/>
  <c r="A70" i="33"/>
  <c r="B70" i="33"/>
  <c r="C70" i="33"/>
  <c r="E70" i="33" s="1"/>
  <c r="D70" i="33"/>
  <c r="A71" i="33"/>
  <c r="B71" i="33"/>
  <c r="C71" i="33"/>
  <c r="D71" i="33"/>
  <c r="E71" i="33"/>
  <c r="A72" i="33"/>
  <c r="B72" i="33"/>
  <c r="C72" i="33"/>
  <c r="D72" i="33"/>
  <c r="E72" i="33"/>
  <c r="A73" i="33"/>
  <c r="B73" i="33"/>
  <c r="C73" i="33"/>
  <c r="E73" i="33" s="1"/>
  <c r="D73" i="33"/>
  <c r="A74" i="33"/>
  <c r="B74" i="33"/>
  <c r="C74" i="33"/>
  <c r="E74" i="33" s="1"/>
  <c r="D74" i="33"/>
  <c r="A75" i="33"/>
  <c r="B75" i="33"/>
  <c r="C75" i="33"/>
  <c r="D75" i="33"/>
  <c r="E75" i="33"/>
  <c r="A76" i="33"/>
  <c r="B76" i="33"/>
  <c r="C76" i="33"/>
  <c r="D76" i="33"/>
  <c r="E76" i="33"/>
  <c r="A77" i="33"/>
  <c r="B77" i="33"/>
  <c r="C77" i="33"/>
  <c r="E77" i="33" s="1"/>
  <c r="D77" i="33"/>
  <c r="A78" i="33"/>
  <c r="B78" i="33"/>
  <c r="C78" i="33"/>
  <c r="E78" i="33" s="1"/>
  <c r="D78" i="33"/>
  <c r="A79" i="33"/>
  <c r="B79" i="33"/>
  <c r="C79" i="33"/>
  <c r="D79" i="33"/>
  <c r="E79" i="33"/>
  <c r="A80" i="33"/>
  <c r="B80" i="33"/>
  <c r="C80" i="33"/>
  <c r="D80" i="33"/>
  <c r="E80" i="33"/>
  <c r="A81" i="33"/>
  <c r="B81" i="33"/>
  <c r="C81" i="33"/>
  <c r="E81" i="33" s="1"/>
  <c r="D81" i="33"/>
  <c r="A82" i="33"/>
  <c r="B82" i="33"/>
  <c r="C82" i="33"/>
  <c r="E82" i="33" s="1"/>
  <c r="D82" i="33"/>
  <c r="A83" i="33"/>
  <c r="B83" i="33"/>
  <c r="C83" i="33"/>
  <c r="D83" i="33"/>
  <c r="E83" i="33"/>
  <c r="A84" i="33"/>
  <c r="B84" i="33"/>
  <c r="C84" i="33"/>
  <c r="D84" i="33"/>
  <c r="E84" i="33" s="1"/>
  <c r="A85" i="33"/>
  <c r="B85" i="33"/>
  <c r="C85" i="33"/>
  <c r="E85" i="33" s="1"/>
  <c r="D85" i="33"/>
  <c r="A86" i="33"/>
  <c r="B86" i="33"/>
  <c r="C86" i="33"/>
  <c r="E86" i="33" s="1"/>
  <c r="D86" i="33"/>
  <c r="A87" i="33"/>
  <c r="B87" i="33"/>
  <c r="C87" i="33"/>
  <c r="D87" i="33"/>
  <c r="E87" i="33"/>
  <c r="A88" i="33"/>
  <c r="B88" i="33"/>
  <c r="C88" i="33"/>
  <c r="D88" i="33"/>
  <c r="E88" i="33" s="1"/>
  <c r="A89" i="33"/>
  <c r="B89" i="33"/>
  <c r="C89" i="33"/>
  <c r="E89" i="33" s="1"/>
  <c r="D89" i="33"/>
  <c r="A90" i="33"/>
  <c r="B90" i="33"/>
  <c r="C90" i="33"/>
  <c r="E90" i="33" s="1"/>
  <c r="D90" i="33"/>
  <c r="A91" i="33"/>
  <c r="B91" i="33"/>
  <c r="C91" i="33"/>
  <c r="D91" i="33"/>
  <c r="E91" i="33"/>
  <c r="A92" i="33"/>
  <c r="B92" i="33"/>
  <c r="C92" i="33"/>
  <c r="D92" i="33"/>
  <c r="E92" i="33" s="1"/>
  <c r="A93" i="33"/>
  <c r="B93" i="33"/>
  <c r="C93" i="33"/>
  <c r="E93" i="33" s="1"/>
  <c r="D93" i="33"/>
  <c r="A94" i="33"/>
  <c r="B94" i="33"/>
  <c r="C94" i="33"/>
  <c r="E94" i="33" s="1"/>
  <c r="D94" i="33"/>
  <c r="A95" i="33"/>
  <c r="B95" i="33"/>
  <c r="C95" i="33"/>
  <c r="D95" i="33"/>
  <c r="E95" i="33"/>
  <c r="A96" i="33"/>
  <c r="B96" i="33"/>
  <c r="C96" i="33"/>
  <c r="D96" i="33"/>
  <c r="E96" i="33" s="1"/>
  <c r="A97" i="33"/>
  <c r="B97" i="33"/>
  <c r="C97" i="33"/>
  <c r="E97" i="33" s="1"/>
  <c r="D97" i="33"/>
  <c r="A98" i="33"/>
  <c r="B98" i="33"/>
  <c r="C98" i="33"/>
  <c r="D98" i="33"/>
  <c r="A99" i="33"/>
  <c r="B99" i="33"/>
  <c r="C99" i="33"/>
  <c r="E99" i="33" s="1"/>
  <c r="D99" i="33"/>
  <c r="A100" i="33"/>
  <c r="B100" i="33"/>
  <c r="C100" i="33"/>
  <c r="E100" i="33" s="1"/>
  <c r="D100" i="33"/>
  <c r="A101" i="33"/>
  <c r="B101" i="33"/>
  <c r="C101" i="33"/>
  <c r="E101" i="33" s="1"/>
  <c r="D101" i="33"/>
  <c r="A102" i="33"/>
  <c r="B102" i="33"/>
  <c r="C102" i="33"/>
  <c r="D102" i="33"/>
  <c r="E102" i="33"/>
  <c r="A103" i="33"/>
  <c r="B103" i="33"/>
  <c r="C103" i="33"/>
  <c r="D103" i="33"/>
  <c r="E103" i="33"/>
  <c r="A104" i="33"/>
  <c r="B104" i="33"/>
  <c r="C104" i="33"/>
  <c r="E104" i="33" s="1"/>
  <c r="D104" i="33"/>
  <c r="A105" i="33"/>
  <c r="B105" i="33"/>
  <c r="C105" i="33"/>
  <c r="E105" i="33" s="1"/>
  <c r="D105" i="33"/>
  <c r="A106" i="33"/>
  <c r="B106" i="33"/>
  <c r="C106" i="33"/>
  <c r="D106" i="33"/>
  <c r="E106" i="33"/>
  <c r="A107" i="33"/>
  <c r="B107" i="33"/>
  <c r="C107" i="33"/>
  <c r="D107" i="33"/>
  <c r="E107" i="33"/>
  <c r="A108" i="33"/>
  <c r="B108" i="33"/>
  <c r="C108" i="33"/>
  <c r="E108" i="33" s="1"/>
  <c r="D108" i="33"/>
  <c r="A109" i="33"/>
  <c r="B109" i="33"/>
  <c r="C109" i="33"/>
  <c r="E109" i="33" s="1"/>
  <c r="D109" i="33"/>
  <c r="A110" i="33"/>
  <c r="B110" i="33"/>
  <c r="C110" i="33"/>
  <c r="D110" i="33"/>
  <c r="E110" i="33"/>
  <c r="A111" i="33"/>
  <c r="B111" i="33"/>
  <c r="C111" i="33"/>
  <c r="D111" i="33"/>
  <c r="E111" i="33"/>
  <c r="A112" i="33"/>
  <c r="B112" i="33"/>
  <c r="C112" i="33"/>
  <c r="E112" i="33" s="1"/>
  <c r="D112" i="33"/>
  <c r="A113" i="33"/>
  <c r="B113" i="33"/>
  <c r="C113" i="33"/>
  <c r="E113" i="33" s="1"/>
  <c r="D113" i="33"/>
  <c r="A114" i="33"/>
  <c r="B114" i="33"/>
  <c r="C114" i="33"/>
  <c r="D114" i="33"/>
  <c r="E114" i="33"/>
  <c r="A115" i="33"/>
  <c r="B115" i="33"/>
  <c r="C115" i="33"/>
  <c r="D115" i="33"/>
  <c r="E115" i="33"/>
  <c r="A116" i="33"/>
  <c r="B116" i="33"/>
  <c r="C116" i="33"/>
  <c r="E116" i="33" s="1"/>
  <c r="D116" i="33"/>
  <c r="A117" i="33"/>
  <c r="B117" i="33"/>
  <c r="C117" i="33"/>
  <c r="E117" i="33" s="1"/>
  <c r="D117" i="33"/>
  <c r="A118" i="33"/>
  <c r="B118" i="33"/>
  <c r="C118" i="33"/>
  <c r="D118" i="33"/>
  <c r="E118" i="33"/>
  <c r="A119" i="33"/>
  <c r="B119" i="33"/>
  <c r="C119" i="33"/>
  <c r="D119" i="33"/>
  <c r="E119" i="33"/>
  <c r="A120" i="33"/>
  <c r="B120" i="33"/>
  <c r="C120" i="33"/>
  <c r="E120" i="33" s="1"/>
  <c r="D120" i="33"/>
  <c r="A121" i="33"/>
  <c r="B121" i="33"/>
  <c r="C121" i="33"/>
  <c r="E121" i="33" s="1"/>
  <c r="D121" i="33"/>
  <c r="A122" i="33"/>
  <c r="B122" i="33"/>
  <c r="C122" i="33"/>
  <c r="D122" i="33"/>
  <c r="E122" i="33"/>
  <c r="A123" i="33"/>
  <c r="B123" i="33"/>
  <c r="C123" i="33"/>
  <c r="D123" i="33"/>
  <c r="E123" i="33"/>
  <c r="A124" i="33"/>
  <c r="B124" i="33"/>
  <c r="C124" i="33"/>
  <c r="E124" i="33" s="1"/>
  <c r="D124" i="33"/>
  <c r="A125" i="33"/>
  <c r="B125" i="33"/>
  <c r="C125" i="33"/>
  <c r="E125" i="33" s="1"/>
  <c r="D125" i="33"/>
  <c r="A126" i="33"/>
  <c r="B126" i="33"/>
  <c r="C126" i="33"/>
  <c r="D126" i="33"/>
  <c r="E126" i="33"/>
  <c r="A127" i="33"/>
  <c r="B127" i="33"/>
  <c r="C127" i="33"/>
  <c r="D127" i="33"/>
  <c r="E127" i="33"/>
  <c r="A128" i="33"/>
  <c r="B128" i="33"/>
  <c r="C128" i="33"/>
  <c r="E128" i="33" s="1"/>
  <c r="D128" i="33"/>
  <c r="A129" i="33"/>
  <c r="B129" i="33"/>
  <c r="C129" i="33"/>
  <c r="E129" i="33" s="1"/>
  <c r="D129" i="33"/>
  <c r="A130" i="33"/>
  <c r="B130" i="33"/>
  <c r="C130" i="33"/>
  <c r="D130" i="33"/>
  <c r="E130" i="33"/>
  <c r="A131" i="33"/>
  <c r="B131" i="33"/>
  <c r="C131" i="33"/>
  <c r="D131" i="33"/>
  <c r="E131" i="33"/>
  <c r="A132" i="33"/>
  <c r="B132" i="33"/>
  <c r="C132" i="33"/>
  <c r="E132" i="33" s="1"/>
  <c r="D132" i="33"/>
  <c r="A133" i="33"/>
  <c r="B133" i="33"/>
  <c r="C133" i="33"/>
  <c r="E133" i="33" s="1"/>
  <c r="D133" i="33"/>
  <c r="A134" i="33"/>
  <c r="B134" i="33"/>
  <c r="C134" i="33"/>
  <c r="D134" i="33"/>
  <c r="E134" i="33"/>
  <c r="A135" i="33"/>
  <c r="B135" i="33"/>
  <c r="C135" i="33"/>
  <c r="D135" i="33"/>
  <c r="E135" i="33"/>
  <c r="A136" i="33"/>
  <c r="B136" i="33"/>
  <c r="C136" i="33"/>
  <c r="E136" i="33" s="1"/>
  <c r="D136" i="33"/>
  <c r="A137" i="33"/>
  <c r="B137" i="33"/>
  <c r="C137" i="33"/>
  <c r="E137" i="33" s="1"/>
  <c r="D137" i="33"/>
  <c r="A138" i="33"/>
  <c r="B138" i="33"/>
  <c r="C138" i="33"/>
  <c r="D138" i="33"/>
  <c r="E138" i="33"/>
  <c r="A139" i="33"/>
  <c r="B139" i="33"/>
  <c r="C139" i="33"/>
  <c r="D139" i="33"/>
  <c r="E139" i="33"/>
  <c r="A140" i="33"/>
  <c r="B140" i="33"/>
  <c r="C140" i="33"/>
  <c r="D140" i="33"/>
  <c r="A141" i="33"/>
  <c r="B141" i="33"/>
  <c r="C141" i="33"/>
  <c r="E141" i="33" s="1"/>
  <c r="D141" i="33"/>
  <c r="A142" i="33"/>
  <c r="B142" i="33"/>
  <c r="C142" i="33"/>
  <c r="D142" i="33"/>
  <c r="E142" i="33"/>
  <c r="A143" i="33"/>
  <c r="B143" i="33"/>
  <c r="C143" i="33"/>
  <c r="D143" i="33"/>
  <c r="E143" i="33"/>
  <c r="A144" i="33"/>
  <c r="B144" i="33"/>
  <c r="C144" i="33"/>
  <c r="D144" i="33"/>
  <c r="A145" i="33"/>
  <c r="B145" i="33"/>
  <c r="C145" i="33"/>
  <c r="E145" i="33" s="1"/>
  <c r="D145" i="33"/>
  <c r="A146" i="33"/>
  <c r="B146" i="33"/>
  <c r="C146" i="33"/>
  <c r="D146" i="33"/>
  <c r="E146" i="33"/>
  <c r="A147" i="33"/>
  <c r="B147" i="33"/>
  <c r="C147" i="33"/>
  <c r="D147" i="33"/>
  <c r="E147" i="33"/>
  <c r="A148" i="33"/>
  <c r="B148" i="33"/>
  <c r="C148" i="33"/>
  <c r="D148" i="33"/>
  <c r="A149" i="33"/>
  <c r="B149" i="33"/>
  <c r="C149" i="33"/>
  <c r="E149" i="33" s="1"/>
  <c r="D149" i="33"/>
  <c r="A150" i="33"/>
  <c r="B150" i="33"/>
  <c r="C150" i="33"/>
  <c r="D150" i="33"/>
  <c r="E150" i="33"/>
  <c r="A151" i="33"/>
  <c r="B151" i="33"/>
  <c r="C151" i="33"/>
  <c r="D151" i="33"/>
  <c r="E151" i="33"/>
  <c r="A152" i="33"/>
  <c r="B152" i="33"/>
  <c r="C152" i="33"/>
  <c r="D152" i="33"/>
  <c r="A153" i="33"/>
  <c r="B153" i="33"/>
  <c r="C153" i="33"/>
  <c r="E153" i="33" s="1"/>
  <c r="D153" i="33"/>
  <c r="A154" i="33"/>
  <c r="B154" i="33"/>
  <c r="C154" i="33"/>
  <c r="D154" i="33"/>
  <c r="E154" i="33"/>
  <c r="A155" i="33"/>
  <c r="B155" i="33"/>
  <c r="C155" i="33"/>
  <c r="D155" i="33"/>
  <c r="E155" i="33"/>
  <c r="A156" i="33"/>
  <c r="B156" i="33"/>
  <c r="C156" i="33"/>
  <c r="D156" i="33"/>
  <c r="A157" i="33"/>
  <c r="B157" i="33"/>
  <c r="C157" i="33"/>
  <c r="E157" i="33" s="1"/>
  <c r="D157" i="33"/>
  <c r="A158" i="33"/>
  <c r="B158" i="33"/>
  <c r="C158" i="33"/>
  <c r="D158" i="33"/>
  <c r="E158" i="33"/>
  <c r="A159" i="33"/>
  <c r="B159" i="33"/>
  <c r="C159" i="33"/>
  <c r="D159" i="33"/>
  <c r="E159" i="33"/>
  <c r="A160" i="33"/>
  <c r="B160" i="33"/>
  <c r="C160" i="33"/>
  <c r="D160" i="33"/>
  <c r="A161" i="33"/>
  <c r="B161" i="33"/>
  <c r="C161" i="33"/>
  <c r="E161" i="33" s="1"/>
  <c r="D161" i="33"/>
  <c r="A162" i="33"/>
  <c r="B162" i="33"/>
  <c r="C162" i="33"/>
  <c r="D162" i="33"/>
  <c r="E162" i="33"/>
  <c r="A163" i="33"/>
  <c r="B163" i="33"/>
  <c r="C163" i="33"/>
  <c r="D163" i="33"/>
  <c r="E163" i="33"/>
  <c r="A164" i="33"/>
  <c r="B164" i="33"/>
  <c r="C164" i="33"/>
  <c r="D164" i="33"/>
  <c r="A165" i="33"/>
  <c r="B165" i="33"/>
  <c r="C165" i="33"/>
  <c r="E165" i="33" s="1"/>
  <c r="D165" i="33"/>
  <c r="A166" i="33"/>
  <c r="B166" i="33"/>
  <c r="C166" i="33"/>
  <c r="D166" i="33"/>
  <c r="E166" i="33"/>
  <c r="A167" i="33"/>
  <c r="B167" i="33"/>
  <c r="C167" i="33"/>
  <c r="D167" i="33"/>
  <c r="E167" i="33"/>
  <c r="A168" i="33"/>
  <c r="B168" i="33"/>
  <c r="C168" i="33"/>
  <c r="D168" i="33"/>
  <c r="E168" i="33"/>
  <c r="A169" i="33"/>
  <c r="B169" i="33"/>
  <c r="C169" i="33"/>
  <c r="D169" i="33"/>
  <c r="E169" i="33"/>
  <c r="A170" i="33"/>
  <c r="B170" i="33"/>
  <c r="C170" i="33"/>
  <c r="D170" i="33"/>
  <c r="A171" i="33"/>
  <c r="B171" i="33"/>
  <c r="C171" i="33"/>
  <c r="E171" i="33" s="1"/>
  <c r="D171" i="33"/>
  <c r="A172" i="33"/>
  <c r="B172" i="33"/>
  <c r="C172" i="33"/>
  <c r="D172" i="33"/>
  <c r="E172" i="33"/>
  <c r="A173" i="33"/>
  <c r="B173" i="33"/>
  <c r="C173" i="33"/>
  <c r="D173" i="33"/>
  <c r="E173" i="33"/>
  <c r="A174" i="33"/>
  <c r="B174" i="33"/>
  <c r="C174" i="33"/>
  <c r="D174" i="33"/>
  <c r="A175" i="33"/>
  <c r="B175" i="33"/>
  <c r="C175" i="33"/>
  <c r="E175" i="33" s="1"/>
  <c r="D175" i="33"/>
  <c r="A176" i="33"/>
  <c r="B176" i="33"/>
  <c r="C176" i="33"/>
  <c r="D176" i="33"/>
  <c r="E176" i="33"/>
  <c r="A177" i="33"/>
  <c r="B177" i="33"/>
  <c r="C177" i="33"/>
  <c r="D177" i="33"/>
  <c r="E177" i="33"/>
  <c r="A178" i="33"/>
  <c r="B178" i="33"/>
  <c r="C178" i="33"/>
  <c r="D178" i="33"/>
  <c r="A179" i="33"/>
  <c r="B179" i="33"/>
  <c r="C179" i="33"/>
  <c r="E179" i="33" s="1"/>
  <c r="D179" i="33"/>
  <c r="A180" i="33"/>
  <c r="B180" i="33"/>
  <c r="C180" i="33"/>
  <c r="D180" i="33"/>
  <c r="E180" i="33"/>
  <c r="A181" i="33"/>
  <c r="B181" i="33"/>
  <c r="C181" i="33"/>
  <c r="D181" i="33"/>
  <c r="E181" i="33"/>
  <c r="A182" i="33"/>
  <c r="B182" i="33"/>
  <c r="C182" i="33"/>
  <c r="D182" i="33"/>
  <c r="A183" i="33"/>
  <c r="B183" i="33"/>
  <c r="C183" i="33"/>
  <c r="E183" i="33" s="1"/>
  <c r="D183" i="33"/>
  <c r="A184" i="33"/>
  <c r="B184" i="33"/>
  <c r="C184" i="33"/>
  <c r="D184" i="33"/>
  <c r="E184" i="33"/>
  <c r="A185" i="33"/>
  <c r="B185" i="33"/>
  <c r="C185" i="33"/>
  <c r="D185" i="33"/>
  <c r="E185" i="33"/>
  <c r="A186" i="33"/>
  <c r="B186" i="33"/>
  <c r="C186" i="33"/>
  <c r="D186" i="33"/>
  <c r="A187" i="33"/>
  <c r="B187" i="33"/>
  <c r="C187" i="33"/>
  <c r="E187" i="33" s="1"/>
  <c r="D187" i="33"/>
  <c r="A188" i="33"/>
  <c r="B188" i="33"/>
  <c r="C188" i="33"/>
  <c r="D188" i="33"/>
  <c r="E188" i="33"/>
  <c r="A189" i="33"/>
  <c r="B189" i="33"/>
  <c r="C189" i="33"/>
  <c r="D189" i="33"/>
  <c r="E189" i="33"/>
  <c r="A190" i="33"/>
  <c r="B190" i="33"/>
  <c r="C190" i="33"/>
  <c r="D190" i="33"/>
  <c r="A191" i="33"/>
  <c r="B191" i="33"/>
  <c r="C191" i="33"/>
  <c r="E191" i="33" s="1"/>
  <c r="D191" i="33"/>
  <c r="A192" i="33"/>
  <c r="B192" i="33"/>
  <c r="C192" i="33"/>
  <c r="D192" i="33"/>
  <c r="E192" i="33"/>
  <c r="A193" i="33"/>
  <c r="B193" i="33"/>
  <c r="C193" i="33"/>
  <c r="D193" i="33"/>
  <c r="E193" i="33"/>
  <c r="A194" i="33"/>
  <c r="B194" i="33"/>
  <c r="C194" i="33"/>
  <c r="D194" i="33"/>
  <c r="A195" i="33"/>
  <c r="B195" i="33"/>
  <c r="C195" i="33"/>
  <c r="E195" i="33" s="1"/>
  <c r="D195" i="33"/>
  <c r="A196" i="33"/>
  <c r="B196" i="33"/>
  <c r="C196" i="33"/>
  <c r="D196" i="33"/>
  <c r="E196" i="33"/>
  <c r="A197" i="33"/>
  <c r="B197" i="33"/>
  <c r="C197" i="33"/>
  <c r="D197" i="33"/>
  <c r="E197" i="33"/>
  <c r="A198" i="33"/>
  <c r="B198" i="33"/>
  <c r="C198" i="33"/>
  <c r="D198" i="33"/>
  <c r="A199" i="33"/>
  <c r="B199" i="33"/>
  <c r="C199" i="33"/>
  <c r="E199" i="33" s="1"/>
  <c r="D199" i="33"/>
  <c r="A200" i="33"/>
  <c r="B200" i="33"/>
  <c r="C200" i="33"/>
  <c r="D200" i="33"/>
  <c r="E200" i="33"/>
  <c r="A201" i="33"/>
  <c r="B201" i="33"/>
  <c r="C201" i="33"/>
  <c r="D201" i="33"/>
  <c r="E201" i="33"/>
  <c r="A202" i="33"/>
  <c r="B202" i="33"/>
  <c r="C202" i="33"/>
  <c r="D202" i="33"/>
  <c r="A203" i="33"/>
  <c r="B203" i="33"/>
  <c r="C203" i="33"/>
  <c r="E203" i="33" s="1"/>
  <c r="D203" i="33"/>
  <c r="A204" i="33"/>
  <c r="B204" i="33"/>
  <c r="C204" i="33"/>
  <c r="D204" i="33"/>
  <c r="E204" i="33"/>
  <c r="A205" i="33"/>
  <c r="B205" i="33"/>
  <c r="C205" i="33"/>
  <c r="D205" i="33"/>
  <c r="E205" i="33"/>
  <c r="A206" i="33"/>
  <c r="B206" i="33"/>
  <c r="C206" i="33"/>
  <c r="D206" i="33"/>
  <c r="A207" i="33"/>
  <c r="B207" i="33"/>
  <c r="C207" i="33"/>
  <c r="E207" i="33" s="1"/>
  <c r="D207" i="33"/>
  <c r="A208" i="33"/>
  <c r="B208" i="33"/>
  <c r="C208" i="33"/>
  <c r="D208" i="33"/>
  <c r="E208" i="33"/>
  <c r="A209" i="33"/>
  <c r="B209" i="33"/>
  <c r="C209" i="33"/>
  <c r="D209" i="33"/>
  <c r="E209" i="33"/>
  <c r="A210" i="33"/>
  <c r="B210" i="33"/>
  <c r="C210" i="33"/>
  <c r="D210" i="33"/>
  <c r="A211" i="33"/>
  <c r="B211" i="33"/>
  <c r="C211" i="33"/>
  <c r="E211" i="33" s="1"/>
  <c r="D211" i="33"/>
  <c r="A212" i="33"/>
  <c r="B212" i="33"/>
  <c r="C212" i="33"/>
  <c r="D212" i="33"/>
  <c r="E212" i="33"/>
  <c r="A213" i="33"/>
  <c r="B213" i="33"/>
  <c r="C213" i="33"/>
  <c r="D213" i="33"/>
  <c r="E213" i="33"/>
  <c r="A214" i="33"/>
  <c r="B214" i="33"/>
  <c r="C214" i="33"/>
  <c r="D214" i="33"/>
  <c r="A215" i="33"/>
  <c r="B215" i="33"/>
  <c r="C215" i="33"/>
  <c r="E215" i="33" s="1"/>
  <c r="D215" i="33"/>
  <c r="A216" i="33"/>
  <c r="B216" i="33"/>
  <c r="C216" i="33"/>
  <c r="D216" i="33"/>
  <c r="E216" i="33"/>
  <c r="A217" i="33"/>
  <c r="B217" i="33"/>
  <c r="C217" i="33"/>
  <c r="D217" i="33"/>
  <c r="E217" i="33"/>
  <c r="A218" i="33"/>
  <c r="B218" i="33"/>
  <c r="C218" i="33"/>
  <c r="D218" i="33"/>
  <c r="A219" i="33"/>
  <c r="B219" i="33"/>
  <c r="C219" i="33"/>
  <c r="E219" i="33" s="1"/>
  <c r="D219" i="33"/>
  <c r="A220" i="33"/>
  <c r="B220" i="33"/>
  <c r="C220" i="33"/>
  <c r="D220" i="33"/>
  <c r="E220" i="33"/>
  <c r="A221" i="33"/>
  <c r="B221" i="33"/>
  <c r="C221" i="33"/>
  <c r="D221" i="33"/>
  <c r="E221" i="33"/>
  <c r="A222" i="33"/>
  <c r="B222" i="33"/>
  <c r="C222" i="33"/>
  <c r="D222" i="33"/>
  <c r="A223" i="33"/>
  <c r="B223" i="33"/>
  <c r="C223" i="33"/>
  <c r="E223" i="33" s="1"/>
  <c r="D223" i="33"/>
  <c r="A224" i="33"/>
  <c r="B224" i="33"/>
  <c r="C224" i="33"/>
  <c r="D224" i="33"/>
  <c r="E224" i="33"/>
  <c r="A225" i="33"/>
  <c r="B225" i="33"/>
  <c r="C225" i="33"/>
  <c r="D225" i="33"/>
  <c r="E225" i="33"/>
  <c r="A226" i="33"/>
  <c r="B226" i="33"/>
  <c r="C226" i="33"/>
  <c r="D226" i="33"/>
  <c r="E226" i="33"/>
  <c r="A227" i="33"/>
  <c r="B227" i="33"/>
  <c r="C227" i="33"/>
  <c r="D227" i="33"/>
  <c r="E227" i="33"/>
  <c r="A228" i="33"/>
  <c r="B228" i="33"/>
  <c r="C228" i="33"/>
  <c r="E228" i="33" s="1"/>
  <c r="D228" i="33"/>
  <c r="A229" i="33"/>
  <c r="B229" i="33"/>
  <c r="C229" i="33"/>
  <c r="E229" i="33" s="1"/>
  <c r="D229" i="33"/>
  <c r="A230" i="33"/>
  <c r="B230" i="33"/>
  <c r="C230" i="33"/>
  <c r="D230" i="33"/>
  <c r="E230" i="33"/>
  <c r="A231" i="33"/>
  <c r="B231" i="33"/>
  <c r="C231" i="33"/>
  <c r="D231" i="33"/>
  <c r="E231" i="33"/>
  <c r="A232" i="33"/>
  <c r="B232" i="33"/>
  <c r="C232" i="33"/>
  <c r="E232" i="33" s="1"/>
  <c r="D232" i="33"/>
  <c r="A233" i="33"/>
  <c r="B233" i="33"/>
  <c r="C233" i="33"/>
  <c r="E233" i="33" s="1"/>
  <c r="D233" i="33"/>
  <c r="A234" i="33"/>
  <c r="B234" i="33"/>
  <c r="C234" i="33"/>
  <c r="D234" i="33"/>
  <c r="E234" i="33"/>
  <c r="A235" i="33"/>
  <c r="B235" i="33"/>
  <c r="C235" i="33"/>
  <c r="D235" i="33"/>
  <c r="E235" i="33"/>
  <c r="A236" i="33"/>
  <c r="B236" i="33"/>
  <c r="C236" i="33"/>
  <c r="E236" i="33" s="1"/>
  <c r="D236" i="33"/>
  <c r="A237" i="33"/>
  <c r="B237" i="33"/>
  <c r="C237" i="33"/>
  <c r="E237" i="33" s="1"/>
  <c r="D237" i="33"/>
  <c r="A238" i="33"/>
  <c r="B238" i="33"/>
  <c r="C238" i="33"/>
  <c r="D238" i="33"/>
  <c r="E238" i="33"/>
  <c r="A239" i="33"/>
  <c r="B239" i="33"/>
  <c r="C239" i="33"/>
  <c r="D239" i="33"/>
  <c r="E239" i="33"/>
  <c r="A240" i="33"/>
  <c r="B240" i="33"/>
  <c r="C240" i="33"/>
  <c r="E240" i="33" s="1"/>
  <c r="D240" i="33"/>
  <c r="A241" i="33"/>
  <c r="B241" i="33"/>
  <c r="C241" i="33"/>
  <c r="E241" i="33" s="1"/>
  <c r="D241" i="33"/>
  <c r="A242" i="33"/>
  <c r="B242" i="33"/>
  <c r="C242" i="33"/>
  <c r="D242" i="33"/>
  <c r="E242" i="33"/>
  <c r="A243" i="33"/>
  <c r="B243" i="33"/>
  <c r="C243" i="33"/>
  <c r="D243" i="33"/>
  <c r="E243" i="33"/>
  <c r="A244" i="33"/>
  <c r="B244" i="33"/>
  <c r="C244" i="33"/>
  <c r="E244" i="33" s="1"/>
  <c r="D244" i="33"/>
  <c r="A245" i="33"/>
  <c r="B245" i="33"/>
  <c r="C245" i="33"/>
  <c r="E245" i="33" s="1"/>
  <c r="D245" i="33"/>
  <c r="A246" i="33"/>
  <c r="B246" i="33"/>
  <c r="C246" i="33"/>
  <c r="D246" i="33"/>
  <c r="E246" i="33"/>
  <c r="A247" i="33"/>
  <c r="B247" i="33"/>
  <c r="C247" i="33"/>
  <c r="D247" i="33"/>
  <c r="E247" i="33"/>
  <c r="A248" i="33"/>
  <c r="B248" i="33"/>
  <c r="C248" i="33"/>
  <c r="E248" i="33" s="1"/>
  <c r="D248" i="33"/>
  <c r="A249" i="33"/>
  <c r="B249" i="33"/>
  <c r="C249" i="33"/>
  <c r="E249" i="33" s="1"/>
  <c r="D249" i="33"/>
  <c r="A250" i="33"/>
  <c r="B250" i="33"/>
  <c r="C250" i="33"/>
  <c r="D250" i="33"/>
  <c r="E250" i="33"/>
  <c r="A251" i="33"/>
  <c r="B251" i="33"/>
  <c r="C251" i="33"/>
  <c r="D251" i="33"/>
  <c r="E251" i="33"/>
  <c r="A252" i="33"/>
  <c r="B252" i="33"/>
  <c r="C252" i="33"/>
  <c r="E252" i="33" s="1"/>
  <c r="D252" i="33"/>
  <c r="A253" i="33"/>
  <c r="B253" i="33"/>
  <c r="C253" i="33"/>
  <c r="E253" i="33" s="1"/>
  <c r="D253" i="33"/>
  <c r="A254" i="33"/>
  <c r="B254" i="33"/>
  <c r="C254" i="33"/>
  <c r="D254" i="33"/>
  <c r="E254" i="33"/>
  <c r="A255" i="33"/>
  <c r="B255" i="33"/>
  <c r="C255" i="33"/>
  <c r="D255" i="33"/>
  <c r="E255" i="33"/>
  <c r="A256" i="33"/>
  <c r="B256" i="33"/>
  <c r="C256" i="33"/>
  <c r="E256" i="33" s="1"/>
  <c r="D256" i="33"/>
  <c r="A257" i="33"/>
  <c r="B257" i="33"/>
  <c r="C257" i="33"/>
  <c r="E257" i="33" s="1"/>
  <c r="D257" i="33"/>
  <c r="A258" i="33"/>
  <c r="B258" i="33"/>
  <c r="C258" i="33"/>
  <c r="D258" i="33"/>
  <c r="E258" i="33"/>
  <c r="A259" i="33"/>
  <c r="B259" i="33"/>
  <c r="C259" i="33"/>
  <c r="D259" i="33"/>
  <c r="E259" i="33"/>
  <c r="A260" i="33"/>
  <c r="B260" i="33"/>
  <c r="C260" i="33"/>
  <c r="D260" i="33"/>
  <c r="A261" i="33"/>
  <c r="B261" i="33"/>
  <c r="C261" i="33"/>
  <c r="E261" i="33" s="1"/>
  <c r="D261" i="33"/>
  <c r="A262" i="33"/>
  <c r="B262" i="33"/>
  <c r="C262" i="33"/>
  <c r="D262" i="33"/>
  <c r="E262" i="33"/>
  <c r="A263" i="33"/>
  <c r="B263" i="33"/>
  <c r="C263" i="33"/>
  <c r="D263" i="33"/>
  <c r="E263" i="33"/>
  <c r="A264" i="33"/>
  <c r="B264" i="33"/>
  <c r="C264" i="33"/>
  <c r="D264" i="33"/>
  <c r="A265" i="33"/>
  <c r="B265" i="33"/>
  <c r="C265" i="33"/>
  <c r="E265" i="33" s="1"/>
  <c r="D265" i="33"/>
  <c r="A266" i="33"/>
  <c r="B266" i="33"/>
  <c r="C266" i="33"/>
  <c r="D266" i="33"/>
  <c r="E266" i="33"/>
  <c r="A267" i="33"/>
  <c r="B267" i="33"/>
  <c r="C267" i="33"/>
  <c r="D267" i="33"/>
  <c r="E267" i="33" s="1"/>
  <c r="A268" i="33"/>
  <c r="B268" i="33"/>
  <c r="C268" i="33"/>
  <c r="E268" i="33" s="1"/>
  <c r="D268" i="33"/>
  <c r="A269" i="33"/>
  <c r="B269" i="33"/>
  <c r="C269" i="33"/>
  <c r="E269" i="33" s="1"/>
  <c r="D269" i="33"/>
  <c r="A270" i="33"/>
  <c r="B270" i="33"/>
  <c r="C270" i="33"/>
  <c r="D270" i="33"/>
  <c r="E270" i="33"/>
  <c r="A271" i="33"/>
  <c r="B271" i="33"/>
  <c r="C271" i="33"/>
  <c r="D271" i="33"/>
  <c r="E271" i="33"/>
  <c r="A272" i="33"/>
  <c r="B272" i="33"/>
  <c r="C272" i="33"/>
  <c r="D272" i="33"/>
  <c r="A273" i="33"/>
  <c r="B273" i="33"/>
  <c r="C273" i="33"/>
  <c r="E273" i="33" s="1"/>
  <c r="D273" i="33"/>
  <c r="A274" i="33"/>
  <c r="B274" i="33"/>
  <c r="C274" i="33"/>
  <c r="D274" i="33"/>
  <c r="E274" i="33"/>
  <c r="A275" i="33"/>
  <c r="B275" i="33"/>
  <c r="C275" i="33"/>
  <c r="D275" i="33"/>
  <c r="E275" i="33" s="1"/>
  <c r="A276" i="33"/>
  <c r="B276" i="33"/>
  <c r="C276" i="33"/>
  <c r="D276" i="33"/>
  <c r="A277" i="33"/>
  <c r="B277" i="33"/>
  <c r="C277" i="33"/>
  <c r="E277" i="33" s="1"/>
  <c r="D277" i="33"/>
  <c r="A278" i="33"/>
  <c r="B278" i="33"/>
  <c r="C278" i="33"/>
  <c r="D278" i="33"/>
  <c r="E278" i="33" s="1"/>
  <c r="A279" i="33"/>
  <c r="B279" i="33"/>
  <c r="C279" i="33"/>
  <c r="D279" i="33"/>
  <c r="E279" i="33"/>
  <c r="A280" i="33"/>
  <c r="B280" i="33"/>
  <c r="C280" i="33"/>
  <c r="E280" i="33" s="1"/>
  <c r="D280" i="33"/>
  <c r="A281" i="33"/>
  <c r="B281" i="33"/>
  <c r="C281" i="33"/>
  <c r="D281" i="33"/>
  <c r="E281" i="33"/>
  <c r="A282" i="33"/>
  <c r="B282" i="33"/>
  <c r="C282" i="33"/>
  <c r="D282" i="33"/>
  <c r="E282" i="33" s="1"/>
  <c r="A283" i="33"/>
  <c r="B283" i="33"/>
  <c r="C283" i="33"/>
  <c r="E283" i="33" s="1"/>
  <c r="D283" i="33"/>
  <c r="A284" i="33"/>
  <c r="B284" i="33"/>
  <c r="C284" i="33"/>
  <c r="E284" i="33" s="1"/>
  <c r="D284" i="33"/>
  <c r="A285" i="33"/>
  <c r="B285" i="33"/>
  <c r="C285" i="33"/>
  <c r="D285" i="33"/>
  <c r="E285" i="33"/>
  <c r="A286" i="33"/>
  <c r="B286" i="33"/>
  <c r="C286" i="33"/>
  <c r="D286" i="33"/>
  <c r="E286" i="33" s="1"/>
  <c r="A287" i="33"/>
  <c r="B287" i="33"/>
  <c r="C287" i="33"/>
  <c r="E287" i="33" s="1"/>
  <c r="D287" i="33"/>
  <c r="A288" i="33"/>
  <c r="B288" i="33"/>
  <c r="C288" i="33"/>
  <c r="E288" i="33" s="1"/>
  <c r="D288" i="33"/>
  <c r="A289" i="33"/>
  <c r="B289" i="33"/>
  <c r="C289" i="33"/>
  <c r="D289" i="33"/>
  <c r="E289" i="33"/>
  <c r="A290" i="33"/>
  <c r="B290" i="33"/>
  <c r="C290" i="33"/>
  <c r="D290" i="33"/>
  <c r="E290" i="33" s="1"/>
  <c r="A291" i="33"/>
  <c r="B291" i="33"/>
  <c r="C291" i="33"/>
  <c r="E291" i="33" s="1"/>
  <c r="D291" i="33"/>
  <c r="A292" i="33"/>
  <c r="B292" i="33"/>
  <c r="C292" i="33"/>
  <c r="E292" i="33" s="1"/>
  <c r="D292" i="33"/>
  <c r="A293" i="33"/>
  <c r="B293" i="33"/>
  <c r="C293" i="33"/>
  <c r="D293" i="33"/>
  <c r="E293" i="33"/>
  <c r="A294" i="33"/>
  <c r="B294" i="33"/>
  <c r="C294" i="33"/>
  <c r="D294" i="33"/>
  <c r="E294" i="33" s="1"/>
  <c r="A295" i="33"/>
  <c r="B295" i="33"/>
  <c r="C295" i="33"/>
  <c r="E295" i="33" s="1"/>
  <c r="D295" i="33"/>
  <c r="A296" i="33"/>
  <c r="B296" i="33"/>
  <c r="C296" i="33"/>
  <c r="E296" i="33" s="1"/>
  <c r="D296" i="33"/>
  <c r="A297" i="33"/>
  <c r="B297" i="33"/>
  <c r="C297" i="33"/>
  <c r="D297" i="33"/>
  <c r="E297" i="33"/>
  <c r="A298" i="33"/>
  <c r="B298" i="33"/>
  <c r="C298" i="33"/>
  <c r="D298" i="33"/>
  <c r="E298" i="33" s="1"/>
  <c r="A299" i="33"/>
  <c r="B299" i="33"/>
  <c r="C299" i="33"/>
  <c r="E299" i="33" s="1"/>
  <c r="D299" i="33"/>
  <c r="A300" i="33"/>
  <c r="B300" i="33"/>
  <c r="C300" i="33"/>
  <c r="E300" i="33" s="1"/>
  <c r="D300" i="33"/>
  <c r="A301" i="33"/>
  <c r="B301" i="33"/>
  <c r="C301" i="33"/>
  <c r="D301" i="33"/>
  <c r="E301" i="33"/>
  <c r="A302" i="33"/>
  <c r="B302" i="33"/>
  <c r="C302" i="33"/>
  <c r="D302" i="33"/>
  <c r="E302" i="33" s="1"/>
  <c r="A303" i="33"/>
  <c r="B303" i="33"/>
  <c r="C303" i="33"/>
  <c r="E303" i="33" s="1"/>
  <c r="D303" i="33"/>
  <c r="A304" i="33"/>
  <c r="B304" i="33"/>
  <c r="C304" i="33"/>
  <c r="E304" i="33" s="1"/>
  <c r="D304" i="33"/>
  <c r="A305" i="33"/>
  <c r="B305" i="33"/>
  <c r="C305" i="33"/>
  <c r="D305" i="33"/>
  <c r="E305" i="33"/>
  <c r="A306" i="33"/>
  <c r="B306" i="33"/>
  <c r="C306" i="33"/>
  <c r="D306" i="33"/>
  <c r="E306" i="33" s="1"/>
  <c r="A307" i="33"/>
  <c r="B307" i="33"/>
  <c r="C307" i="33"/>
  <c r="E307" i="33" s="1"/>
  <c r="D307" i="33"/>
  <c r="A308" i="33"/>
  <c r="B308" i="33"/>
  <c r="C308" i="33"/>
  <c r="E308" i="33" s="1"/>
  <c r="D308" i="33"/>
  <c r="A309" i="33"/>
  <c r="B309" i="33"/>
  <c r="C309" i="33"/>
  <c r="D309" i="33"/>
  <c r="E309" i="33"/>
  <c r="A310" i="33"/>
  <c r="B310" i="33"/>
  <c r="C310" i="33"/>
  <c r="D310" i="33"/>
  <c r="E310" i="33" s="1"/>
  <c r="A311" i="33"/>
  <c r="B311" i="33"/>
  <c r="C311" i="33"/>
  <c r="E311" i="33" s="1"/>
  <c r="D311" i="33"/>
  <c r="A312" i="33"/>
  <c r="B312" i="33"/>
  <c r="C312" i="33"/>
  <c r="E312" i="33" s="1"/>
  <c r="D312" i="33"/>
  <c r="A313" i="33"/>
  <c r="B313" i="33"/>
  <c r="C313" i="33"/>
  <c r="D313" i="33"/>
  <c r="E313" i="33"/>
  <c r="A6" i="32"/>
  <c r="B6" i="32"/>
  <c r="C6" i="32"/>
  <c r="D6" i="32"/>
  <c r="E6" i="32"/>
  <c r="G6" i="32" s="1"/>
  <c r="F6" i="32"/>
  <c r="H6" i="32"/>
  <c r="A7" i="32"/>
  <c r="B7" i="32"/>
  <c r="C7" i="32"/>
  <c r="D7" i="32"/>
  <c r="E7" i="32"/>
  <c r="G7" i="32" s="1"/>
  <c r="F7" i="32"/>
  <c r="H7" i="32"/>
  <c r="A8" i="32"/>
  <c r="B8" i="32"/>
  <c r="C8" i="32"/>
  <c r="D8" i="32"/>
  <c r="E8" i="32"/>
  <c r="G8" i="32" s="1"/>
  <c r="F8" i="32"/>
  <c r="H8" i="32"/>
  <c r="A9" i="32"/>
  <c r="B9" i="32"/>
  <c r="C9" i="32"/>
  <c r="D9" i="32"/>
  <c r="E9" i="32"/>
  <c r="G9" i="32" s="1"/>
  <c r="F9" i="32"/>
  <c r="H9" i="32"/>
  <c r="A10" i="32"/>
  <c r="B10" i="32"/>
  <c r="C10" i="32"/>
  <c r="D10" i="32"/>
  <c r="E10" i="32"/>
  <c r="G10" i="32" s="1"/>
  <c r="F10" i="32"/>
  <c r="H10" i="32"/>
  <c r="A11" i="32"/>
  <c r="B11" i="32"/>
  <c r="C11" i="32"/>
  <c r="D11" i="32"/>
  <c r="E11" i="32"/>
  <c r="G11" i="32" s="1"/>
  <c r="F11" i="32"/>
  <c r="H11" i="32"/>
  <c r="A12" i="32"/>
  <c r="B12" i="32"/>
  <c r="C12" i="32"/>
  <c r="D12" i="32"/>
  <c r="E12" i="32"/>
  <c r="G12" i="32" s="1"/>
  <c r="F12" i="32"/>
  <c r="H12" i="32"/>
  <c r="A13" i="32"/>
  <c r="B13" i="32"/>
  <c r="C13" i="32"/>
  <c r="D13" i="32"/>
  <c r="E13" i="32"/>
  <c r="G13" i="32" s="1"/>
  <c r="F13" i="32"/>
  <c r="H13" i="32"/>
  <c r="A14" i="32"/>
  <c r="B14" i="32"/>
  <c r="C14" i="32"/>
  <c r="D14" i="32"/>
  <c r="E14" i="32"/>
  <c r="G14" i="32" s="1"/>
  <c r="F14" i="32"/>
  <c r="H14" i="32"/>
  <c r="A15" i="32"/>
  <c r="B15" i="32"/>
  <c r="C15" i="32"/>
  <c r="D15" i="32"/>
  <c r="E15" i="32"/>
  <c r="G15" i="32" s="1"/>
  <c r="F15" i="32"/>
  <c r="H15" i="32"/>
  <c r="A16" i="32"/>
  <c r="B16" i="32"/>
  <c r="C16" i="32"/>
  <c r="D16" i="32"/>
  <c r="E16" i="32"/>
  <c r="G16" i="32" s="1"/>
  <c r="F16" i="32"/>
  <c r="H16" i="32"/>
  <c r="A17" i="32"/>
  <c r="B17" i="32"/>
  <c r="C17" i="32"/>
  <c r="D17" i="32"/>
  <c r="E17" i="32"/>
  <c r="G17" i="32" s="1"/>
  <c r="F17" i="32"/>
  <c r="H17" i="32"/>
  <c r="A18" i="32"/>
  <c r="B18" i="32"/>
  <c r="C18" i="32"/>
  <c r="D18" i="32"/>
  <c r="E18" i="32"/>
  <c r="G18" i="32" s="1"/>
  <c r="F18" i="32"/>
  <c r="H18" i="32"/>
  <c r="A19" i="32"/>
  <c r="B19" i="32"/>
  <c r="C19" i="32"/>
  <c r="D19" i="32"/>
  <c r="E19" i="32"/>
  <c r="G19" i="32" s="1"/>
  <c r="F19" i="32"/>
  <c r="H19" i="32"/>
  <c r="A20" i="32"/>
  <c r="B20" i="32"/>
  <c r="C20" i="32"/>
  <c r="D20" i="32"/>
  <c r="E20" i="32"/>
  <c r="G20" i="32" s="1"/>
  <c r="F20" i="32"/>
  <c r="H20" i="32"/>
  <c r="A21" i="32"/>
  <c r="B21" i="32"/>
  <c r="C21" i="32"/>
  <c r="D21" i="32"/>
  <c r="E21" i="32"/>
  <c r="G21" i="32" s="1"/>
  <c r="F21" i="32"/>
  <c r="H21" i="32"/>
  <c r="A22" i="32"/>
  <c r="B22" i="32"/>
  <c r="C22" i="32"/>
  <c r="D22" i="32"/>
  <c r="E22" i="32"/>
  <c r="G22" i="32" s="1"/>
  <c r="F22" i="32"/>
  <c r="H22" i="32"/>
  <c r="A23" i="32"/>
  <c r="B23" i="32"/>
  <c r="C23" i="32"/>
  <c r="D23" i="32"/>
  <c r="E23" i="32"/>
  <c r="G23" i="32" s="1"/>
  <c r="F23" i="32"/>
  <c r="H23" i="32"/>
  <c r="A24" i="32"/>
  <c r="B24" i="32"/>
  <c r="C24" i="32"/>
  <c r="D24" i="32"/>
  <c r="E24" i="32"/>
  <c r="G24" i="32" s="1"/>
  <c r="F24" i="32"/>
  <c r="H24" i="32"/>
  <c r="A25" i="32"/>
  <c r="B25" i="32"/>
  <c r="C25" i="32"/>
  <c r="D25" i="32"/>
  <c r="E25" i="32"/>
  <c r="G25" i="32" s="1"/>
  <c r="F25" i="32"/>
  <c r="H25" i="32"/>
  <c r="A26" i="32"/>
  <c r="B26" i="32"/>
  <c r="C26" i="32"/>
  <c r="D26" i="32"/>
  <c r="E26" i="32"/>
  <c r="G26" i="32" s="1"/>
  <c r="F26" i="32"/>
  <c r="H26" i="32"/>
  <c r="A27" i="32"/>
  <c r="B27" i="32"/>
  <c r="C27" i="32"/>
  <c r="D27" i="32"/>
  <c r="E27" i="32"/>
  <c r="G27" i="32" s="1"/>
  <c r="F27" i="32"/>
  <c r="H27" i="32"/>
  <c r="A28" i="32"/>
  <c r="B28" i="32"/>
  <c r="C28" i="32"/>
  <c r="D28" i="32"/>
  <c r="E28" i="32"/>
  <c r="G28" i="32" s="1"/>
  <c r="F28" i="32"/>
  <c r="H28" i="32"/>
  <c r="A29" i="32"/>
  <c r="B29" i="32"/>
  <c r="C29" i="32"/>
  <c r="D29" i="32"/>
  <c r="E29" i="32"/>
  <c r="G29" i="32" s="1"/>
  <c r="F29" i="32"/>
  <c r="H29" i="32"/>
  <c r="A30" i="32"/>
  <c r="B30" i="32"/>
  <c r="C30" i="32"/>
  <c r="D30" i="32"/>
  <c r="E30" i="32"/>
  <c r="G30" i="32" s="1"/>
  <c r="F30" i="32"/>
  <c r="H30" i="32"/>
  <c r="A31" i="32"/>
  <c r="B31" i="32"/>
  <c r="C31" i="32"/>
  <c r="D31" i="32"/>
  <c r="E31" i="32"/>
  <c r="G31" i="32" s="1"/>
  <c r="F31" i="32"/>
  <c r="H31" i="32"/>
  <c r="A32" i="32"/>
  <c r="B32" i="32"/>
  <c r="C32" i="32"/>
  <c r="D32" i="32"/>
  <c r="E32" i="32"/>
  <c r="G32" i="32" s="1"/>
  <c r="F32" i="32"/>
  <c r="H32" i="32"/>
  <c r="A33" i="32"/>
  <c r="B33" i="32"/>
  <c r="C33" i="32"/>
  <c r="D33" i="32"/>
  <c r="E33" i="32"/>
  <c r="G33" i="32" s="1"/>
  <c r="F33" i="32"/>
  <c r="H33" i="32"/>
  <c r="A34" i="32"/>
  <c r="B34" i="32"/>
  <c r="C34" i="32"/>
  <c r="D34" i="32"/>
  <c r="E34" i="32"/>
  <c r="G34" i="32" s="1"/>
  <c r="F34" i="32"/>
  <c r="H34" i="32"/>
  <c r="A35" i="32"/>
  <c r="B35" i="32"/>
  <c r="C35" i="32"/>
  <c r="E35" i="32" s="1"/>
  <c r="G35" i="32" s="1"/>
  <c r="D35" i="32"/>
  <c r="F35" i="32"/>
  <c r="A36" i="32"/>
  <c r="B36" i="32"/>
  <c r="C36" i="32"/>
  <c r="E36" i="32" s="1"/>
  <c r="G36" i="32" s="1"/>
  <c r="D36" i="32"/>
  <c r="F36" i="32"/>
  <c r="A37" i="32"/>
  <c r="B37" i="32"/>
  <c r="C37" i="32"/>
  <c r="H37" i="32" s="1"/>
  <c r="D37" i="32"/>
  <c r="E37" i="32"/>
  <c r="G37" i="32" s="1"/>
  <c r="F37" i="32"/>
  <c r="A38" i="32"/>
  <c r="B38" i="32"/>
  <c r="C38" i="32"/>
  <c r="H38" i="32" s="1"/>
  <c r="D38" i="32"/>
  <c r="E38" i="32"/>
  <c r="G38" i="32" s="1"/>
  <c r="F38" i="32"/>
  <c r="A39" i="32"/>
  <c r="B39" i="32"/>
  <c r="C39" i="32"/>
  <c r="E39" i="32" s="1"/>
  <c r="G39" i="32" s="1"/>
  <c r="D39" i="32"/>
  <c r="F39" i="32"/>
  <c r="A40" i="32"/>
  <c r="B40" i="32"/>
  <c r="C40" i="32"/>
  <c r="E40" i="32" s="1"/>
  <c r="G40" i="32" s="1"/>
  <c r="D40" i="32"/>
  <c r="F40" i="32"/>
  <c r="A41" i="32"/>
  <c r="B41" i="32"/>
  <c r="C41" i="32"/>
  <c r="E41" i="32" s="1"/>
  <c r="G41" i="32" s="1"/>
  <c r="D41" i="32"/>
  <c r="F41" i="32"/>
  <c r="A42" i="32"/>
  <c r="B42" i="32"/>
  <c r="C42" i="32"/>
  <c r="E42" i="32" s="1"/>
  <c r="G42" i="32" s="1"/>
  <c r="D42" i="32"/>
  <c r="F42" i="32"/>
  <c r="A43" i="32"/>
  <c r="B43" i="32"/>
  <c r="C43" i="32"/>
  <c r="E43" i="32" s="1"/>
  <c r="G43" i="32" s="1"/>
  <c r="D43" i="32"/>
  <c r="F43" i="32"/>
  <c r="A44" i="32"/>
  <c r="B44" i="32"/>
  <c r="C44" i="32"/>
  <c r="E44" i="32" s="1"/>
  <c r="G44" i="32" s="1"/>
  <c r="D44" i="32"/>
  <c r="F44" i="32"/>
  <c r="A45" i="32"/>
  <c r="B45" i="32"/>
  <c r="C45" i="32"/>
  <c r="E45" i="32" s="1"/>
  <c r="G45" i="32" s="1"/>
  <c r="D45" i="32"/>
  <c r="F45" i="32"/>
  <c r="A46" i="32"/>
  <c r="B46" i="32"/>
  <c r="C46" i="32"/>
  <c r="E46" i="32" s="1"/>
  <c r="G46" i="32" s="1"/>
  <c r="D46" i="32"/>
  <c r="F46" i="32"/>
  <c r="A47" i="32"/>
  <c r="B47" i="32"/>
  <c r="C47" i="32"/>
  <c r="E47" i="32" s="1"/>
  <c r="D47" i="32"/>
  <c r="F47" i="32"/>
  <c r="A48" i="32"/>
  <c r="B48" i="32"/>
  <c r="C48" i="32"/>
  <c r="E48" i="32" s="1"/>
  <c r="G48" i="32" s="1"/>
  <c r="D48" i="32"/>
  <c r="F48" i="32"/>
  <c r="A49" i="32"/>
  <c r="B49" i="32"/>
  <c r="C49" i="32"/>
  <c r="E49" i="32" s="1"/>
  <c r="G49" i="32" s="1"/>
  <c r="D49" i="32"/>
  <c r="F49" i="32"/>
  <c r="A50" i="32"/>
  <c r="B50" i="32"/>
  <c r="C50" i="32"/>
  <c r="E50" i="32" s="1"/>
  <c r="D50" i="32"/>
  <c r="F50" i="32"/>
  <c r="A51" i="32"/>
  <c r="B51" i="32"/>
  <c r="C51" i="32"/>
  <c r="E51" i="32" s="1"/>
  <c r="D51" i="32"/>
  <c r="F51" i="32"/>
  <c r="A52" i="32"/>
  <c r="B52" i="32"/>
  <c r="C52" i="32"/>
  <c r="E52" i="32" s="1"/>
  <c r="G52" i="32" s="1"/>
  <c r="D52" i="32"/>
  <c r="F52" i="32"/>
  <c r="A53" i="32"/>
  <c r="B53" i="32"/>
  <c r="C53" i="32"/>
  <c r="E53" i="32" s="1"/>
  <c r="G53" i="32" s="1"/>
  <c r="D53" i="32"/>
  <c r="F53" i="32"/>
  <c r="A54" i="32"/>
  <c r="B54" i="32"/>
  <c r="C54" i="32"/>
  <c r="E54" i="32" s="1"/>
  <c r="D54" i="32"/>
  <c r="F54" i="32"/>
  <c r="A55" i="32"/>
  <c r="B55" i="32"/>
  <c r="C55" i="32"/>
  <c r="E55" i="32" s="1"/>
  <c r="D55" i="32"/>
  <c r="F55" i="32"/>
  <c r="A56" i="32"/>
  <c r="B56" i="32"/>
  <c r="C56" i="32"/>
  <c r="E56" i="32" s="1"/>
  <c r="G56" i="32" s="1"/>
  <c r="D56" i="32"/>
  <c r="F56" i="32"/>
  <c r="A57" i="32"/>
  <c r="B57" i="32"/>
  <c r="C57" i="32"/>
  <c r="E57" i="32" s="1"/>
  <c r="G57" i="32" s="1"/>
  <c r="D57" i="32"/>
  <c r="F57" i="32"/>
  <c r="A58" i="32"/>
  <c r="B58" i="32"/>
  <c r="C58" i="32"/>
  <c r="E58" i="32" s="1"/>
  <c r="D58" i="32"/>
  <c r="F58" i="32"/>
  <c r="A59" i="32"/>
  <c r="B59" i="32"/>
  <c r="C59" i="32"/>
  <c r="E59" i="32" s="1"/>
  <c r="D59" i="32"/>
  <c r="F59" i="32"/>
  <c r="A60" i="32"/>
  <c r="B60" i="32"/>
  <c r="C60" i="32"/>
  <c r="E60" i="32" s="1"/>
  <c r="G60" i="32" s="1"/>
  <c r="D60" i="32"/>
  <c r="F60" i="32"/>
  <c r="A61" i="32"/>
  <c r="B61" i="32"/>
  <c r="C61" i="32"/>
  <c r="E61" i="32" s="1"/>
  <c r="G61" i="32" s="1"/>
  <c r="D61" i="32"/>
  <c r="F61" i="32"/>
  <c r="A62" i="32"/>
  <c r="B62" i="32"/>
  <c r="C62" i="32"/>
  <c r="E62" i="32" s="1"/>
  <c r="D62" i="32"/>
  <c r="F62" i="32"/>
  <c r="A63" i="32"/>
  <c r="B63" i="32"/>
  <c r="C63" i="32"/>
  <c r="E63" i="32" s="1"/>
  <c r="D63" i="32"/>
  <c r="F63" i="32"/>
  <c r="A64" i="32"/>
  <c r="B64" i="32"/>
  <c r="C64" i="32"/>
  <c r="E64" i="32" s="1"/>
  <c r="G64" i="32" s="1"/>
  <c r="D64" i="32"/>
  <c r="F64" i="32"/>
  <c r="A65" i="32"/>
  <c r="B65" i="32"/>
  <c r="C65" i="32"/>
  <c r="H65" i="32" s="1"/>
  <c r="D65" i="32"/>
  <c r="E65" i="32"/>
  <c r="F65" i="32"/>
  <c r="A66" i="32"/>
  <c r="B66" i="32"/>
  <c r="C66" i="32"/>
  <c r="H66" i="32" s="1"/>
  <c r="D66" i="32"/>
  <c r="E66" i="32"/>
  <c r="G66" i="32" s="1"/>
  <c r="F66" i="32"/>
  <c r="A67" i="32"/>
  <c r="B67" i="32"/>
  <c r="C67" i="32"/>
  <c r="H67" i="32" s="1"/>
  <c r="D67" i="32"/>
  <c r="E67" i="32"/>
  <c r="F67" i="32"/>
  <c r="A68" i="32"/>
  <c r="B68" i="32"/>
  <c r="C68" i="32"/>
  <c r="H68" i="32" s="1"/>
  <c r="D68" i="32"/>
  <c r="E68" i="32"/>
  <c r="G68" i="32" s="1"/>
  <c r="F68" i="32"/>
  <c r="A69" i="32"/>
  <c r="B69" i="32"/>
  <c r="C69" i="32"/>
  <c r="H69" i="32" s="1"/>
  <c r="D69" i="32"/>
  <c r="E69" i="32"/>
  <c r="F69" i="32"/>
  <c r="A70" i="32"/>
  <c r="B70" i="32"/>
  <c r="C70" i="32"/>
  <c r="H70" i="32" s="1"/>
  <c r="D70" i="32"/>
  <c r="E70" i="32"/>
  <c r="G70" i="32" s="1"/>
  <c r="F70" i="32"/>
  <c r="A71" i="32"/>
  <c r="B71" i="32"/>
  <c r="C71" i="32"/>
  <c r="H71" i="32" s="1"/>
  <c r="D71" i="32"/>
  <c r="E71" i="32"/>
  <c r="F71" i="32"/>
  <c r="A72" i="32"/>
  <c r="B72" i="32"/>
  <c r="C72" i="32"/>
  <c r="H72" i="32" s="1"/>
  <c r="D72" i="32"/>
  <c r="E72" i="32"/>
  <c r="G72" i="32" s="1"/>
  <c r="F72" i="32"/>
  <c r="A73" i="32"/>
  <c r="B73" i="32"/>
  <c r="C73" i="32"/>
  <c r="H73" i="32" s="1"/>
  <c r="D73" i="32"/>
  <c r="E73" i="32"/>
  <c r="F73" i="32"/>
  <c r="A74" i="32"/>
  <c r="B74" i="32"/>
  <c r="C74" i="32"/>
  <c r="H74" i="32" s="1"/>
  <c r="D74" i="32"/>
  <c r="E74" i="32"/>
  <c r="G74" i="32" s="1"/>
  <c r="F74" i="32"/>
  <c r="A75" i="32"/>
  <c r="B75" i="32"/>
  <c r="C75" i="32"/>
  <c r="H75" i="32" s="1"/>
  <c r="D75" i="32"/>
  <c r="E75" i="32"/>
  <c r="F75" i="32"/>
  <c r="A76" i="32"/>
  <c r="B76" i="32"/>
  <c r="C76" i="32"/>
  <c r="H76" i="32" s="1"/>
  <c r="D76" i="32"/>
  <c r="E76" i="32"/>
  <c r="G76" i="32" s="1"/>
  <c r="F76" i="32"/>
  <c r="A77" i="32"/>
  <c r="B77" i="32"/>
  <c r="C77" i="32"/>
  <c r="H77" i="32" s="1"/>
  <c r="D77" i="32"/>
  <c r="E77" i="32"/>
  <c r="F77" i="32"/>
  <c r="A78" i="32"/>
  <c r="B78" i="32"/>
  <c r="C78" i="32"/>
  <c r="H78" i="32" s="1"/>
  <c r="D78" i="32"/>
  <c r="E78" i="32"/>
  <c r="G78" i="32" s="1"/>
  <c r="F78" i="32"/>
  <c r="A79" i="32"/>
  <c r="B79" i="32"/>
  <c r="C79" i="32"/>
  <c r="H79" i="32" s="1"/>
  <c r="D79" i="32"/>
  <c r="E79" i="32"/>
  <c r="G79" i="32" s="1"/>
  <c r="F79" i="32"/>
  <c r="A80" i="32"/>
  <c r="B80" i="32"/>
  <c r="C80" i="32"/>
  <c r="H80" i="32" s="1"/>
  <c r="D80" i="32"/>
  <c r="F80" i="32"/>
  <c r="A81" i="32"/>
  <c r="B81" i="32"/>
  <c r="C81" i="32"/>
  <c r="H81" i="32" s="1"/>
  <c r="D81" i="32"/>
  <c r="F81" i="32"/>
  <c r="A82" i="32"/>
  <c r="B82" i="32"/>
  <c r="C82" i="32"/>
  <c r="H82" i="32" s="1"/>
  <c r="D82" i="32"/>
  <c r="E82" i="32"/>
  <c r="G82" i="32" s="1"/>
  <c r="F82" i="32"/>
  <c r="A83" i="32"/>
  <c r="B83" i="32"/>
  <c r="C83" i="32"/>
  <c r="H83" i="32" s="1"/>
  <c r="D83" i="32"/>
  <c r="E83" i="32"/>
  <c r="G83" i="32" s="1"/>
  <c r="F83" i="32"/>
  <c r="A84" i="32"/>
  <c r="B84" i="32"/>
  <c r="C84" i="32"/>
  <c r="H84" i="32" s="1"/>
  <c r="D84" i="32"/>
  <c r="F84" i="32"/>
  <c r="A85" i="32"/>
  <c r="B85" i="32"/>
  <c r="C85" i="32"/>
  <c r="H85" i="32" s="1"/>
  <c r="D85" i="32"/>
  <c r="F85" i="32"/>
  <c r="A86" i="32"/>
  <c r="B86" i="32"/>
  <c r="C86" i="32"/>
  <c r="H86" i="32" s="1"/>
  <c r="D86" i="32"/>
  <c r="E86" i="32"/>
  <c r="G86" i="32" s="1"/>
  <c r="F86" i="32"/>
  <c r="A87" i="32"/>
  <c r="B87" i="32"/>
  <c r="C87" i="32"/>
  <c r="H87" i="32" s="1"/>
  <c r="D87" i="32"/>
  <c r="E87" i="32"/>
  <c r="G87" i="32" s="1"/>
  <c r="F87" i="32"/>
  <c r="A88" i="32"/>
  <c r="B88" i="32"/>
  <c r="C88" i="32"/>
  <c r="H88" i="32" s="1"/>
  <c r="D88" i="32"/>
  <c r="F88" i="32"/>
  <c r="A89" i="32"/>
  <c r="B89" i="32"/>
  <c r="C89" i="32"/>
  <c r="H89" i="32" s="1"/>
  <c r="D89" i="32"/>
  <c r="F89" i="32"/>
  <c r="A90" i="32"/>
  <c r="B90" i="32"/>
  <c r="C90" i="32"/>
  <c r="H90" i="32" s="1"/>
  <c r="D90" i="32"/>
  <c r="E90" i="32"/>
  <c r="G90" i="32" s="1"/>
  <c r="F90" i="32"/>
  <c r="A91" i="32"/>
  <c r="B91" i="32"/>
  <c r="C91" i="32"/>
  <c r="H91" i="32" s="1"/>
  <c r="D91" i="32"/>
  <c r="E91" i="32"/>
  <c r="G91" i="32" s="1"/>
  <c r="F91" i="32"/>
  <c r="A92" i="32"/>
  <c r="B92" i="32"/>
  <c r="C92" i="32"/>
  <c r="H92" i="32" s="1"/>
  <c r="D92" i="32"/>
  <c r="F92" i="32"/>
  <c r="A93" i="32"/>
  <c r="B93" i="32"/>
  <c r="C93" i="32"/>
  <c r="H93" i="32" s="1"/>
  <c r="D93" i="32"/>
  <c r="F93" i="32"/>
  <c r="A94" i="32"/>
  <c r="B94" i="32"/>
  <c r="C94" i="32"/>
  <c r="H94" i="32" s="1"/>
  <c r="D94" i="32"/>
  <c r="E94" i="32"/>
  <c r="G94" i="32" s="1"/>
  <c r="F94" i="32"/>
  <c r="A95" i="32"/>
  <c r="B95" i="32"/>
  <c r="C95" i="32"/>
  <c r="H95" i="32" s="1"/>
  <c r="D95" i="32"/>
  <c r="E95" i="32"/>
  <c r="G95" i="32" s="1"/>
  <c r="F95" i="32"/>
  <c r="A96" i="32"/>
  <c r="B96" i="32"/>
  <c r="C96" i="32"/>
  <c r="H96" i="32" s="1"/>
  <c r="D96" i="32"/>
  <c r="F96" i="32"/>
  <c r="A97" i="32"/>
  <c r="B97" i="32"/>
  <c r="C97" i="32"/>
  <c r="H97" i="32" s="1"/>
  <c r="D97" i="32"/>
  <c r="F97" i="32"/>
  <c r="A98" i="32"/>
  <c r="B98" i="32"/>
  <c r="C98" i="32"/>
  <c r="H98" i="32" s="1"/>
  <c r="D98" i="32"/>
  <c r="E98" i="32"/>
  <c r="G98" i="32" s="1"/>
  <c r="F98" i="32"/>
  <c r="A99" i="32"/>
  <c r="B99" i="32"/>
  <c r="C99" i="32"/>
  <c r="H99" i="32" s="1"/>
  <c r="D99" i="32"/>
  <c r="E99" i="32"/>
  <c r="G99" i="32" s="1"/>
  <c r="F99" i="32"/>
  <c r="A100" i="32"/>
  <c r="B100" i="32"/>
  <c r="C100" i="32"/>
  <c r="H100" i="32" s="1"/>
  <c r="D100" i="32"/>
  <c r="F100" i="32"/>
  <c r="A101" i="32"/>
  <c r="B101" i="32"/>
  <c r="C101" i="32"/>
  <c r="H101" i="32" s="1"/>
  <c r="D101" i="32"/>
  <c r="F101" i="32"/>
  <c r="A102" i="32"/>
  <c r="B102" i="32"/>
  <c r="C102" i="32"/>
  <c r="H102" i="32" s="1"/>
  <c r="D102" i="32"/>
  <c r="E102" i="32"/>
  <c r="G102" i="32" s="1"/>
  <c r="F102" i="32"/>
  <c r="A103" i="32"/>
  <c r="B103" i="32"/>
  <c r="C103" i="32"/>
  <c r="H103" i="32" s="1"/>
  <c r="D103" i="32"/>
  <c r="E103" i="32"/>
  <c r="G103" i="32" s="1"/>
  <c r="F103" i="32"/>
  <c r="A104" i="32"/>
  <c r="B104" i="32"/>
  <c r="C104" i="32"/>
  <c r="H104" i="32" s="1"/>
  <c r="D104" i="32"/>
  <c r="F104" i="32"/>
  <c r="A105" i="32"/>
  <c r="B105" i="32"/>
  <c r="C105" i="32"/>
  <c r="H105" i="32" s="1"/>
  <c r="D105" i="32"/>
  <c r="F105" i="32"/>
  <c r="A106" i="32"/>
  <c r="B106" i="32"/>
  <c r="C106" i="32"/>
  <c r="H106" i="32" s="1"/>
  <c r="D106" i="32"/>
  <c r="E106" i="32"/>
  <c r="G106" i="32" s="1"/>
  <c r="F106" i="32"/>
  <c r="A107" i="32"/>
  <c r="B107" i="32"/>
  <c r="C107" i="32"/>
  <c r="H107" i="32" s="1"/>
  <c r="D107" i="32"/>
  <c r="E107" i="32"/>
  <c r="G107" i="32" s="1"/>
  <c r="F107" i="32"/>
  <c r="A108" i="32"/>
  <c r="B108" i="32"/>
  <c r="C108" i="32"/>
  <c r="H108" i="32" s="1"/>
  <c r="D108" i="32"/>
  <c r="F108" i="32"/>
  <c r="A109" i="32"/>
  <c r="B109" i="32"/>
  <c r="C109" i="32"/>
  <c r="H109" i="32" s="1"/>
  <c r="D109" i="32"/>
  <c r="F109" i="32"/>
  <c r="A110" i="32"/>
  <c r="B110" i="32"/>
  <c r="C110" i="32"/>
  <c r="H110" i="32" s="1"/>
  <c r="D110" i="32"/>
  <c r="E110" i="32"/>
  <c r="G110" i="32" s="1"/>
  <c r="F110" i="32"/>
  <c r="A111" i="32"/>
  <c r="B111" i="32"/>
  <c r="C111" i="32"/>
  <c r="H111" i="32" s="1"/>
  <c r="D111" i="32"/>
  <c r="E111" i="32"/>
  <c r="G111" i="32" s="1"/>
  <c r="F111" i="32"/>
  <c r="A112" i="32"/>
  <c r="B112" i="32"/>
  <c r="C112" i="32"/>
  <c r="H112" i="32" s="1"/>
  <c r="D112" i="32"/>
  <c r="F112" i="32"/>
  <c r="A113" i="32"/>
  <c r="B113" i="32"/>
  <c r="C113" i="32"/>
  <c r="H113" i="32" s="1"/>
  <c r="D113" i="32"/>
  <c r="F113" i="32"/>
  <c r="A114" i="32"/>
  <c r="B114" i="32"/>
  <c r="C114" i="32"/>
  <c r="H114" i="32" s="1"/>
  <c r="D114" i="32"/>
  <c r="E114" i="32"/>
  <c r="G114" i="32" s="1"/>
  <c r="F114" i="32"/>
  <c r="A115" i="32"/>
  <c r="B115" i="32"/>
  <c r="C115" i="32"/>
  <c r="H115" i="32" s="1"/>
  <c r="D115" i="32"/>
  <c r="E115" i="32"/>
  <c r="G115" i="32" s="1"/>
  <c r="F115" i="32"/>
  <c r="A116" i="32"/>
  <c r="B116" i="32"/>
  <c r="C116" i="32"/>
  <c r="H116" i="32" s="1"/>
  <c r="D116" i="32"/>
  <c r="F116" i="32"/>
  <c r="A117" i="32"/>
  <c r="B117" i="32"/>
  <c r="C117" i="32"/>
  <c r="H117" i="32" s="1"/>
  <c r="D117" i="32"/>
  <c r="F117" i="32"/>
  <c r="A118" i="32"/>
  <c r="B118" i="32"/>
  <c r="C118" i="32"/>
  <c r="H118" i="32" s="1"/>
  <c r="D118" i="32"/>
  <c r="E118" i="32"/>
  <c r="G118" i="32" s="1"/>
  <c r="F118" i="32"/>
  <c r="A119" i="32"/>
  <c r="B119" i="32"/>
  <c r="C119" i="32"/>
  <c r="H119" i="32" s="1"/>
  <c r="D119" i="32"/>
  <c r="E119" i="32"/>
  <c r="G119" i="32" s="1"/>
  <c r="F119" i="32"/>
  <c r="A120" i="32"/>
  <c r="B120" i="32"/>
  <c r="C120" i="32"/>
  <c r="H120" i="32" s="1"/>
  <c r="D120" i="32"/>
  <c r="F120" i="32"/>
  <c r="A121" i="32"/>
  <c r="B121" i="32"/>
  <c r="C121" i="32"/>
  <c r="H121" i="32" s="1"/>
  <c r="D121" i="32"/>
  <c r="F121" i="32"/>
  <c r="A122" i="32"/>
  <c r="B122" i="32"/>
  <c r="C122" i="32"/>
  <c r="H122" i="32" s="1"/>
  <c r="D122" i="32"/>
  <c r="F122" i="32"/>
  <c r="A123" i="32"/>
  <c r="B123" i="32"/>
  <c r="C123" i="32"/>
  <c r="H123" i="32" s="1"/>
  <c r="D123" i="32"/>
  <c r="F123" i="32"/>
  <c r="A124" i="32"/>
  <c r="B124" i="32"/>
  <c r="C124" i="32"/>
  <c r="H124" i="32" s="1"/>
  <c r="D124" i="32"/>
  <c r="F124" i="32"/>
  <c r="A125" i="32"/>
  <c r="B125" i="32"/>
  <c r="C125" i="32"/>
  <c r="H125" i="32" s="1"/>
  <c r="D125" i="32"/>
  <c r="F125" i="32"/>
  <c r="A126" i="32"/>
  <c r="B126" i="32"/>
  <c r="C126" i="32"/>
  <c r="H126" i="32" s="1"/>
  <c r="D126" i="32"/>
  <c r="F126" i="32"/>
  <c r="A127" i="32"/>
  <c r="B127" i="32"/>
  <c r="C127" i="32"/>
  <c r="H127" i="32" s="1"/>
  <c r="D127" i="32"/>
  <c r="F127" i="32"/>
  <c r="A128" i="32"/>
  <c r="B128" i="32"/>
  <c r="C128" i="32"/>
  <c r="H128" i="32" s="1"/>
  <c r="D128" i="32"/>
  <c r="F128" i="32"/>
  <c r="A129" i="32"/>
  <c r="B129" i="32"/>
  <c r="C129" i="32"/>
  <c r="H129" i="32" s="1"/>
  <c r="D129" i="32"/>
  <c r="F129" i="32"/>
  <c r="A130" i="32"/>
  <c r="B130" i="32"/>
  <c r="C130" i="32"/>
  <c r="H130" i="32" s="1"/>
  <c r="D130" i="32"/>
  <c r="F130" i="32"/>
  <c r="A131" i="32"/>
  <c r="B131" i="32"/>
  <c r="C131" i="32"/>
  <c r="H131" i="32" s="1"/>
  <c r="D131" i="32"/>
  <c r="F131" i="32"/>
  <c r="A132" i="32"/>
  <c r="B132" i="32"/>
  <c r="C132" i="32"/>
  <c r="H132" i="32" s="1"/>
  <c r="D132" i="32"/>
  <c r="F132" i="32"/>
  <c r="A133" i="32"/>
  <c r="B133" i="32"/>
  <c r="C133" i="32"/>
  <c r="H133" i="32" s="1"/>
  <c r="D133" i="32"/>
  <c r="F133" i="32"/>
  <c r="A134" i="32"/>
  <c r="B134" i="32"/>
  <c r="C134" i="32"/>
  <c r="H134" i="32" s="1"/>
  <c r="D134" i="32"/>
  <c r="F134" i="32"/>
  <c r="A135" i="32"/>
  <c r="B135" i="32"/>
  <c r="C135" i="32"/>
  <c r="H135" i="32" s="1"/>
  <c r="D135" i="32"/>
  <c r="F135" i="32"/>
  <c r="A136" i="32"/>
  <c r="B136" i="32"/>
  <c r="C136" i="32"/>
  <c r="H136" i="32" s="1"/>
  <c r="D136" i="32"/>
  <c r="F136" i="32"/>
  <c r="A137" i="32"/>
  <c r="B137" i="32"/>
  <c r="C137" i="32"/>
  <c r="H137" i="32" s="1"/>
  <c r="D137" i="32"/>
  <c r="F137" i="32"/>
  <c r="A138" i="32"/>
  <c r="B138" i="32"/>
  <c r="C138" i="32"/>
  <c r="H138" i="32" s="1"/>
  <c r="D138" i="32"/>
  <c r="F138" i="32"/>
  <c r="A139" i="32"/>
  <c r="B139" i="32"/>
  <c r="C139" i="32"/>
  <c r="H139" i="32" s="1"/>
  <c r="D139" i="32"/>
  <c r="F139" i="32"/>
  <c r="A140" i="32"/>
  <c r="B140" i="32"/>
  <c r="C140" i="32"/>
  <c r="H140" i="32" s="1"/>
  <c r="D140" i="32"/>
  <c r="F140" i="32"/>
  <c r="A141" i="32"/>
  <c r="B141" i="32"/>
  <c r="C141" i="32"/>
  <c r="H141" i="32" s="1"/>
  <c r="D141" i="32"/>
  <c r="F141" i="32"/>
  <c r="A142" i="32"/>
  <c r="B142" i="32"/>
  <c r="C142" i="32"/>
  <c r="H142" i="32" s="1"/>
  <c r="D142" i="32"/>
  <c r="F142" i="32"/>
  <c r="A143" i="32"/>
  <c r="B143" i="32"/>
  <c r="C143" i="32"/>
  <c r="H143" i="32" s="1"/>
  <c r="D143" i="32"/>
  <c r="F143" i="32"/>
  <c r="A144" i="32"/>
  <c r="B144" i="32"/>
  <c r="C144" i="32"/>
  <c r="H144" i="32" s="1"/>
  <c r="D144" i="32"/>
  <c r="F144" i="32"/>
  <c r="A145" i="32"/>
  <c r="B145" i="32"/>
  <c r="C145" i="32"/>
  <c r="H145" i="32" s="1"/>
  <c r="D145" i="32"/>
  <c r="F145" i="32"/>
  <c r="A146" i="32"/>
  <c r="B146" i="32"/>
  <c r="C146" i="32"/>
  <c r="H146" i="32" s="1"/>
  <c r="D146" i="32"/>
  <c r="F146" i="32"/>
  <c r="A147" i="32"/>
  <c r="B147" i="32"/>
  <c r="C147" i="32"/>
  <c r="H147" i="32" s="1"/>
  <c r="D147" i="32"/>
  <c r="F147" i="32"/>
  <c r="A148" i="32"/>
  <c r="B148" i="32"/>
  <c r="C148" i="32"/>
  <c r="H148" i="32" s="1"/>
  <c r="D148" i="32"/>
  <c r="F148" i="32"/>
  <c r="A149" i="32"/>
  <c r="B149" i="32"/>
  <c r="C149" i="32"/>
  <c r="H149" i="32" s="1"/>
  <c r="D149" i="32"/>
  <c r="F149" i="32"/>
  <c r="A150" i="32"/>
  <c r="B150" i="32"/>
  <c r="C150" i="32"/>
  <c r="H150" i="32" s="1"/>
  <c r="D150" i="32"/>
  <c r="F150" i="32"/>
  <c r="A151" i="32"/>
  <c r="B151" i="32"/>
  <c r="C151" i="32"/>
  <c r="H151" i="32" s="1"/>
  <c r="D151" i="32"/>
  <c r="F151" i="32"/>
  <c r="A152" i="32"/>
  <c r="B152" i="32"/>
  <c r="C152" i="32"/>
  <c r="H152" i="32" s="1"/>
  <c r="D152" i="32"/>
  <c r="F152" i="32"/>
  <c r="A153" i="32"/>
  <c r="B153" i="32"/>
  <c r="C153" i="32"/>
  <c r="H153" i="32" s="1"/>
  <c r="D153" i="32"/>
  <c r="F153" i="32"/>
  <c r="A154" i="32"/>
  <c r="B154" i="32"/>
  <c r="C154" i="32"/>
  <c r="H154" i="32" s="1"/>
  <c r="D154" i="32"/>
  <c r="F154" i="32"/>
  <c r="A155" i="32"/>
  <c r="B155" i="32"/>
  <c r="C155" i="32"/>
  <c r="H155" i="32" s="1"/>
  <c r="D155" i="32"/>
  <c r="F155" i="32"/>
  <c r="A156" i="32"/>
  <c r="B156" i="32"/>
  <c r="C156" i="32"/>
  <c r="H156" i="32" s="1"/>
  <c r="D156" i="32"/>
  <c r="F156" i="32"/>
  <c r="A157" i="32"/>
  <c r="B157" i="32"/>
  <c r="C157" i="32"/>
  <c r="H157" i="32" s="1"/>
  <c r="D157" i="32"/>
  <c r="F157" i="32"/>
  <c r="A158" i="32"/>
  <c r="B158" i="32"/>
  <c r="C158" i="32"/>
  <c r="H158" i="32" s="1"/>
  <c r="D158" i="32"/>
  <c r="F158" i="32"/>
  <c r="A159" i="32"/>
  <c r="B159" i="32"/>
  <c r="C159" i="32"/>
  <c r="D159" i="32"/>
  <c r="F159" i="32"/>
  <c r="A160" i="32"/>
  <c r="B160" i="32"/>
  <c r="C160" i="32"/>
  <c r="D160" i="32"/>
  <c r="F160" i="32"/>
  <c r="A161" i="32"/>
  <c r="B161" i="32"/>
  <c r="C161" i="32"/>
  <c r="D161" i="32"/>
  <c r="F161" i="32"/>
  <c r="A162" i="32"/>
  <c r="B162" i="32"/>
  <c r="C162" i="32"/>
  <c r="D162" i="32"/>
  <c r="F162" i="32"/>
  <c r="A163" i="32"/>
  <c r="B163" i="32"/>
  <c r="C163" i="32"/>
  <c r="D163" i="32"/>
  <c r="F163" i="32"/>
  <c r="A164" i="32"/>
  <c r="B164" i="32"/>
  <c r="C164" i="32"/>
  <c r="D164" i="32"/>
  <c r="F164" i="32"/>
  <c r="A165" i="32"/>
  <c r="B165" i="32"/>
  <c r="C165" i="32"/>
  <c r="D165" i="32"/>
  <c r="F165" i="32"/>
  <c r="A166" i="32"/>
  <c r="B166" i="32"/>
  <c r="C166" i="32"/>
  <c r="D166" i="32"/>
  <c r="F166" i="32"/>
  <c r="A167" i="32"/>
  <c r="B167" i="32"/>
  <c r="C167" i="32"/>
  <c r="D167" i="32"/>
  <c r="F167" i="32"/>
  <c r="A168" i="32"/>
  <c r="B168" i="32"/>
  <c r="C168" i="32"/>
  <c r="D168" i="32"/>
  <c r="F168" i="32"/>
  <c r="A169" i="32"/>
  <c r="B169" i="32"/>
  <c r="C169" i="32"/>
  <c r="D169" i="32"/>
  <c r="F169" i="32"/>
  <c r="A170" i="32"/>
  <c r="B170" i="32"/>
  <c r="C170" i="32"/>
  <c r="D170" i="32"/>
  <c r="F170" i="32"/>
  <c r="A171" i="32"/>
  <c r="B171" i="32"/>
  <c r="C171" i="32"/>
  <c r="D171" i="32"/>
  <c r="F171" i="32"/>
  <c r="A172" i="32"/>
  <c r="B172" i="32"/>
  <c r="C172" i="32"/>
  <c r="D172" i="32"/>
  <c r="F172" i="32"/>
  <c r="A173" i="32"/>
  <c r="B173" i="32"/>
  <c r="C173" i="32"/>
  <c r="D173" i="32"/>
  <c r="F173" i="32"/>
  <c r="A174" i="32"/>
  <c r="B174" i="32"/>
  <c r="C174" i="32"/>
  <c r="D174" i="32"/>
  <c r="F174" i="32"/>
  <c r="A175" i="32"/>
  <c r="B175" i="32"/>
  <c r="C175" i="32"/>
  <c r="D175" i="32"/>
  <c r="F175" i="32"/>
  <c r="A176" i="32"/>
  <c r="B176" i="32"/>
  <c r="C176" i="32"/>
  <c r="D176" i="32"/>
  <c r="F176" i="32"/>
  <c r="A177" i="32"/>
  <c r="B177" i="32"/>
  <c r="C177" i="32"/>
  <c r="D177" i="32"/>
  <c r="F177" i="32"/>
  <c r="A178" i="32"/>
  <c r="B178" i="32"/>
  <c r="C178" i="32"/>
  <c r="D178" i="32"/>
  <c r="F178" i="32"/>
  <c r="A179" i="32"/>
  <c r="B179" i="32"/>
  <c r="C179" i="32"/>
  <c r="D179" i="32"/>
  <c r="F179" i="32"/>
  <c r="A180" i="32"/>
  <c r="B180" i="32"/>
  <c r="C180" i="32"/>
  <c r="E180" i="32" s="1"/>
  <c r="D180" i="32"/>
  <c r="F180" i="32"/>
  <c r="G180" i="32"/>
  <c r="H180" i="32"/>
  <c r="A181" i="32"/>
  <c r="B181" i="32"/>
  <c r="C181" i="32"/>
  <c r="E181" i="32" s="1"/>
  <c r="G181" i="32" s="1"/>
  <c r="D181" i="32"/>
  <c r="F181" i="32"/>
  <c r="H181" i="32"/>
  <c r="A182" i="32"/>
  <c r="B182" i="32"/>
  <c r="C182" i="32"/>
  <c r="D182" i="32"/>
  <c r="H182" i="32" s="1"/>
  <c r="F182" i="32"/>
  <c r="A183" i="32"/>
  <c r="B183" i="32"/>
  <c r="C183" i="32"/>
  <c r="E183" i="32" s="1"/>
  <c r="D183" i="32"/>
  <c r="F183" i="32"/>
  <c r="G183" i="32" s="1"/>
  <c r="H183" i="32"/>
  <c r="A184" i="32"/>
  <c r="B184" i="32"/>
  <c r="C184" i="32"/>
  <c r="E184" i="32" s="1"/>
  <c r="D184" i="32"/>
  <c r="F184" i="32"/>
  <c r="G184" i="32"/>
  <c r="H184" i="32"/>
  <c r="A185" i="32"/>
  <c r="B185" i="32"/>
  <c r="C185" i="32"/>
  <c r="E185" i="32" s="1"/>
  <c r="G185" i="32" s="1"/>
  <c r="D185" i="32"/>
  <c r="F185" i="32"/>
  <c r="H185" i="32"/>
  <c r="A186" i="32"/>
  <c r="B186" i="32"/>
  <c r="C186" i="32"/>
  <c r="D186" i="32"/>
  <c r="H186" i="32" s="1"/>
  <c r="F186" i="32"/>
  <c r="A187" i="32"/>
  <c r="B187" i="32"/>
  <c r="C187" i="32"/>
  <c r="E187" i="32" s="1"/>
  <c r="D187" i="32"/>
  <c r="F187" i="32"/>
  <c r="G187" i="32" s="1"/>
  <c r="H187" i="32"/>
  <c r="A188" i="32"/>
  <c r="B188" i="32"/>
  <c r="C188" i="32"/>
  <c r="E188" i="32" s="1"/>
  <c r="D188" i="32"/>
  <c r="F188" i="32"/>
  <c r="G188" i="32"/>
  <c r="H188" i="32"/>
  <c r="A189" i="32"/>
  <c r="B189" i="32"/>
  <c r="C189" i="32"/>
  <c r="E189" i="32" s="1"/>
  <c r="G189" i="32" s="1"/>
  <c r="D189" i="32"/>
  <c r="F189" i="32"/>
  <c r="H189" i="32"/>
  <c r="A190" i="32"/>
  <c r="B190" i="32"/>
  <c r="C190" i="32"/>
  <c r="D190" i="32"/>
  <c r="H190" i="32" s="1"/>
  <c r="F190" i="32"/>
  <c r="A191" i="32"/>
  <c r="B191" i="32"/>
  <c r="C191" i="32"/>
  <c r="E191" i="32" s="1"/>
  <c r="D191" i="32"/>
  <c r="F191" i="32"/>
  <c r="G191" i="32" s="1"/>
  <c r="H191" i="32"/>
  <c r="A192" i="32"/>
  <c r="B192" i="32"/>
  <c r="C192" i="32"/>
  <c r="H192" i="32" s="1"/>
  <c r="D192" i="32"/>
  <c r="F192" i="32"/>
  <c r="A193" i="32"/>
  <c r="B193" i="32"/>
  <c r="C193" i="32"/>
  <c r="H193" i="32" s="1"/>
  <c r="D193" i="32"/>
  <c r="F193" i="32"/>
  <c r="A194" i="32"/>
  <c r="B194" i="32"/>
  <c r="C194" i="32"/>
  <c r="H194" i="32" s="1"/>
  <c r="D194" i="32"/>
  <c r="F194" i="32"/>
  <c r="A195" i="32"/>
  <c r="B195" i="32"/>
  <c r="C195" i="32"/>
  <c r="H195" i="32" s="1"/>
  <c r="D195" i="32"/>
  <c r="F195" i="32"/>
  <c r="A196" i="32"/>
  <c r="B196" i="32"/>
  <c r="C196" i="32"/>
  <c r="H196" i="32" s="1"/>
  <c r="D196" i="32"/>
  <c r="F196" i="32"/>
  <c r="A197" i="32"/>
  <c r="B197" i="32"/>
  <c r="C197" i="32"/>
  <c r="H197" i="32" s="1"/>
  <c r="D197" i="32"/>
  <c r="F197" i="32"/>
  <c r="A198" i="32"/>
  <c r="B198" i="32"/>
  <c r="C198" i="32"/>
  <c r="H198" i="32" s="1"/>
  <c r="D198" i="32"/>
  <c r="F198" i="32"/>
  <c r="A199" i="32"/>
  <c r="B199" i="32"/>
  <c r="C199" i="32"/>
  <c r="H199" i="32" s="1"/>
  <c r="D199" i="32"/>
  <c r="F199" i="32"/>
  <c r="A200" i="32"/>
  <c r="B200" i="32"/>
  <c r="C200" i="32"/>
  <c r="H200" i="32" s="1"/>
  <c r="D200" i="32"/>
  <c r="F200" i="32"/>
  <c r="A201" i="32"/>
  <c r="B201" i="32"/>
  <c r="C201" i="32"/>
  <c r="H201" i="32" s="1"/>
  <c r="D201" i="32"/>
  <c r="F201" i="32"/>
  <c r="A202" i="32"/>
  <c r="B202" i="32"/>
  <c r="C202" i="32"/>
  <c r="H202" i="32" s="1"/>
  <c r="D202" i="32"/>
  <c r="F202" i="32"/>
  <c r="A203" i="32"/>
  <c r="B203" i="32"/>
  <c r="C203" i="32"/>
  <c r="H203" i="32" s="1"/>
  <c r="D203" i="32"/>
  <c r="F203" i="32"/>
  <c r="A204" i="32"/>
  <c r="B204" i="32"/>
  <c r="C204" i="32"/>
  <c r="H204" i="32" s="1"/>
  <c r="D204" i="32"/>
  <c r="F204" i="32"/>
  <c r="A205" i="32"/>
  <c r="B205" i="32"/>
  <c r="C205" i="32"/>
  <c r="H205" i="32" s="1"/>
  <c r="D205" i="32"/>
  <c r="F205" i="32"/>
  <c r="A206" i="32"/>
  <c r="B206" i="32"/>
  <c r="C206" i="32"/>
  <c r="H206" i="32" s="1"/>
  <c r="D206" i="32"/>
  <c r="F206" i="32"/>
  <c r="A207" i="32"/>
  <c r="B207" i="32"/>
  <c r="C207" i="32"/>
  <c r="H207" i="32" s="1"/>
  <c r="D207" i="32"/>
  <c r="F207" i="32"/>
  <c r="A208" i="32"/>
  <c r="B208" i="32"/>
  <c r="C208" i="32"/>
  <c r="H208" i="32" s="1"/>
  <c r="D208" i="32"/>
  <c r="F208" i="32"/>
  <c r="A209" i="32"/>
  <c r="B209" i="32"/>
  <c r="C209" i="32"/>
  <c r="H209" i="32" s="1"/>
  <c r="D209" i="32"/>
  <c r="F209" i="32"/>
  <c r="A210" i="32"/>
  <c r="B210" i="32"/>
  <c r="C210" i="32"/>
  <c r="H210" i="32" s="1"/>
  <c r="D210" i="32"/>
  <c r="F210" i="32"/>
  <c r="A211" i="32"/>
  <c r="B211" i="32"/>
  <c r="C211" i="32"/>
  <c r="H211" i="32" s="1"/>
  <c r="D211" i="32"/>
  <c r="F211" i="32"/>
  <c r="A212" i="32"/>
  <c r="B212" i="32"/>
  <c r="C212" i="32"/>
  <c r="H212" i="32" s="1"/>
  <c r="D212" i="32"/>
  <c r="F212" i="32"/>
  <c r="A213" i="32"/>
  <c r="B213" i="32"/>
  <c r="C213" i="32"/>
  <c r="H213" i="32" s="1"/>
  <c r="D213" i="32"/>
  <c r="F213" i="32"/>
  <c r="A214" i="32"/>
  <c r="B214" i="32"/>
  <c r="C214" i="32"/>
  <c r="H214" i="32" s="1"/>
  <c r="D214" i="32"/>
  <c r="F214" i="32"/>
  <c r="A215" i="32"/>
  <c r="B215" i="32"/>
  <c r="C215" i="32"/>
  <c r="H215" i="32" s="1"/>
  <c r="D215" i="32"/>
  <c r="F215" i="32"/>
  <c r="A216" i="32"/>
  <c r="B216" i="32"/>
  <c r="C216" i="32"/>
  <c r="H216" i="32" s="1"/>
  <c r="D216" i="32"/>
  <c r="F216" i="32"/>
  <c r="A217" i="32"/>
  <c r="B217" i="32"/>
  <c r="C217" i="32"/>
  <c r="H217" i="32" s="1"/>
  <c r="D217" i="32"/>
  <c r="F217" i="32"/>
  <c r="A218" i="32"/>
  <c r="B218" i="32"/>
  <c r="C218" i="32"/>
  <c r="H218" i="32" s="1"/>
  <c r="D218" i="32"/>
  <c r="F218" i="32"/>
  <c r="A219" i="32"/>
  <c r="B219" i="32"/>
  <c r="C219" i="32"/>
  <c r="H219" i="32" s="1"/>
  <c r="D219" i="32"/>
  <c r="F219" i="32"/>
  <c r="A220" i="32"/>
  <c r="B220" i="32"/>
  <c r="C220" i="32"/>
  <c r="H220" i="32" s="1"/>
  <c r="D220" i="32"/>
  <c r="F220" i="32"/>
  <c r="A221" i="32"/>
  <c r="B221" i="32"/>
  <c r="C221" i="32"/>
  <c r="H221" i="32" s="1"/>
  <c r="D221" i="32"/>
  <c r="F221" i="32"/>
  <c r="A222" i="32"/>
  <c r="B222" i="32"/>
  <c r="C222" i="32"/>
  <c r="H222" i="32" s="1"/>
  <c r="D222" i="32"/>
  <c r="F222" i="32"/>
  <c r="A223" i="32"/>
  <c r="B223" i="32"/>
  <c r="C223" i="32"/>
  <c r="H223" i="32" s="1"/>
  <c r="D223" i="32"/>
  <c r="F223" i="32"/>
  <c r="A224" i="32"/>
  <c r="B224" i="32"/>
  <c r="C224" i="32"/>
  <c r="H224" i="32" s="1"/>
  <c r="D224" i="32"/>
  <c r="F224" i="32"/>
  <c r="A225" i="32"/>
  <c r="B225" i="32"/>
  <c r="C225" i="32"/>
  <c r="H225" i="32" s="1"/>
  <c r="D225" i="32"/>
  <c r="F225" i="32"/>
  <c r="A226" i="32"/>
  <c r="B226" i="32"/>
  <c r="C226" i="32"/>
  <c r="H226" i="32" s="1"/>
  <c r="D226" i="32"/>
  <c r="F226" i="32"/>
  <c r="A227" i="32"/>
  <c r="B227" i="32"/>
  <c r="C227" i="32"/>
  <c r="H227" i="32" s="1"/>
  <c r="D227" i="32"/>
  <c r="F227" i="32"/>
  <c r="A228" i="32"/>
  <c r="B228" i="32"/>
  <c r="C228" i="32"/>
  <c r="H228" i="32" s="1"/>
  <c r="D228" i="32"/>
  <c r="F228" i="32"/>
  <c r="A229" i="32"/>
  <c r="B229" i="32"/>
  <c r="C229" i="32"/>
  <c r="H229" i="32" s="1"/>
  <c r="D229" i="32"/>
  <c r="F229" i="32"/>
  <c r="A230" i="32"/>
  <c r="B230" i="32"/>
  <c r="C230" i="32"/>
  <c r="H230" i="32" s="1"/>
  <c r="D230" i="32"/>
  <c r="F230" i="32"/>
  <c r="A231" i="32"/>
  <c r="B231" i="32"/>
  <c r="C231" i="32"/>
  <c r="H231" i="32" s="1"/>
  <c r="D231" i="32"/>
  <c r="F231" i="32"/>
  <c r="A232" i="32"/>
  <c r="B232" i="32"/>
  <c r="C232" i="32"/>
  <c r="H232" i="32" s="1"/>
  <c r="D232" i="32"/>
  <c r="F232" i="32"/>
  <c r="A233" i="32"/>
  <c r="B233" i="32"/>
  <c r="C233" i="32"/>
  <c r="H233" i="32" s="1"/>
  <c r="D233" i="32"/>
  <c r="F233" i="32"/>
  <c r="A234" i="32"/>
  <c r="B234" i="32"/>
  <c r="C234" i="32"/>
  <c r="H234" i="32" s="1"/>
  <c r="D234" i="32"/>
  <c r="F234" i="32"/>
  <c r="A235" i="32"/>
  <c r="B235" i="32"/>
  <c r="C235" i="32"/>
  <c r="H235" i="32" s="1"/>
  <c r="D235" i="32"/>
  <c r="F235" i="32"/>
  <c r="A236" i="32"/>
  <c r="B236" i="32"/>
  <c r="C236" i="32"/>
  <c r="H236" i="32" s="1"/>
  <c r="D236" i="32"/>
  <c r="F236" i="32"/>
  <c r="A237" i="32"/>
  <c r="B237" i="32"/>
  <c r="C237" i="32"/>
  <c r="H237" i="32" s="1"/>
  <c r="D237" i="32"/>
  <c r="F237" i="32"/>
  <c r="A238" i="32"/>
  <c r="B238" i="32"/>
  <c r="C238" i="32"/>
  <c r="H238" i="32" s="1"/>
  <c r="D238" i="32"/>
  <c r="F238" i="32"/>
  <c r="A239" i="32"/>
  <c r="B239" i="32"/>
  <c r="C239" i="32"/>
  <c r="H239" i="32" s="1"/>
  <c r="D239" i="32"/>
  <c r="F239" i="32"/>
  <c r="A240" i="32"/>
  <c r="B240" i="32"/>
  <c r="C240" i="32"/>
  <c r="H240" i="32" s="1"/>
  <c r="D240" i="32"/>
  <c r="F240" i="32"/>
  <c r="A241" i="32"/>
  <c r="B241" i="32"/>
  <c r="C241" i="32"/>
  <c r="H241" i="32" s="1"/>
  <c r="D241" i="32"/>
  <c r="F241" i="32"/>
  <c r="A242" i="32"/>
  <c r="B242" i="32"/>
  <c r="C242" i="32"/>
  <c r="H242" i="32" s="1"/>
  <c r="D242" i="32"/>
  <c r="F242" i="32"/>
  <c r="A243" i="32"/>
  <c r="B243" i="32"/>
  <c r="C243" i="32"/>
  <c r="H243" i="32" s="1"/>
  <c r="D243" i="32"/>
  <c r="F243" i="32"/>
  <c r="A244" i="32"/>
  <c r="B244" i="32"/>
  <c r="C244" i="32"/>
  <c r="H244" i="32" s="1"/>
  <c r="D244" i="32"/>
  <c r="F244" i="32"/>
  <c r="A245" i="32"/>
  <c r="B245" i="32"/>
  <c r="C245" i="32"/>
  <c r="H245" i="32" s="1"/>
  <c r="D245" i="32"/>
  <c r="F245" i="32"/>
  <c r="A246" i="32"/>
  <c r="B246" i="32"/>
  <c r="C246" i="32"/>
  <c r="H246" i="32" s="1"/>
  <c r="D246" i="32"/>
  <c r="F246" i="32"/>
  <c r="A247" i="32"/>
  <c r="B247" i="32"/>
  <c r="C247" i="32"/>
  <c r="H247" i="32" s="1"/>
  <c r="D247" i="32"/>
  <c r="F247" i="32"/>
  <c r="A248" i="32"/>
  <c r="B248" i="32"/>
  <c r="C248" i="32"/>
  <c r="H248" i="32" s="1"/>
  <c r="D248" i="32"/>
  <c r="F248" i="32"/>
  <c r="A249" i="32"/>
  <c r="B249" i="32"/>
  <c r="C249" i="32"/>
  <c r="H249" i="32" s="1"/>
  <c r="D249" i="32"/>
  <c r="F249" i="32"/>
  <c r="A250" i="32"/>
  <c r="B250" i="32"/>
  <c r="C250" i="32"/>
  <c r="H250" i="32" s="1"/>
  <c r="D250" i="32"/>
  <c r="F250" i="32"/>
  <c r="A251" i="32"/>
  <c r="B251" i="32"/>
  <c r="C251" i="32"/>
  <c r="H251" i="32" s="1"/>
  <c r="D251" i="32"/>
  <c r="F251" i="32"/>
  <c r="A252" i="32"/>
  <c r="B252" i="32"/>
  <c r="C252" i="32"/>
  <c r="H252" i="32" s="1"/>
  <c r="D252" i="32"/>
  <c r="F252" i="32"/>
  <c r="A253" i="32"/>
  <c r="B253" i="32"/>
  <c r="C253" i="32"/>
  <c r="H253" i="32" s="1"/>
  <c r="D253" i="32"/>
  <c r="F253" i="32"/>
  <c r="A254" i="32"/>
  <c r="B254" i="32"/>
  <c r="C254" i="32"/>
  <c r="H254" i="32" s="1"/>
  <c r="D254" i="32"/>
  <c r="F254" i="32"/>
  <c r="A255" i="32"/>
  <c r="B255" i="32"/>
  <c r="C255" i="32"/>
  <c r="H255" i="32" s="1"/>
  <c r="D255" i="32"/>
  <c r="F255" i="32"/>
  <c r="A256" i="32"/>
  <c r="B256" i="32"/>
  <c r="C256" i="32"/>
  <c r="H256" i="32" s="1"/>
  <c r="D256" i="32"/>
  <c r="F256" i="32"/>
  <c r="A257" i="32"/>
  <c r="B257" i="32"/>
  <c r="C257" i="32"/>
  <c r="H257" i="32" s="1"/>
  <c r="D257" i="32"/>
  <c r="F257" i="32"/>
  <c r="A258" i="32"/>
  <c r="B258" i="32"/>
  <c r="C258" i="32"/>
  <c r="H258" i="32" s="1"/>
  <c r="D258" i="32"/>
  <c r="F258" i="32"/>
  <c r="A259" i="32"/>
  <c r="B259" i="32"/>
  <c r="C259" i="32"/>
  <c r="H259" i="32" s="1"/>
  <c r="D259" i="32"/>
  <c r="F259" i="32"/>
  <c r="A260" i="32"/>
  <c r="B260" i="32"/>
  <c r="C260" i="32"/>
  <c r="H260" i="32" s="1"/>
  <c r="D260" i="32"/>
  <c r="F260" i="32"/>
  <c r="A261" i="32"/>
  <c r="B261" i="32"/>
  <c r="C261" i="32"/>
  <c r="H261" i="32" s="1"/>
  <c r="D261" i="32"/>
  <c r="F261" i="32"/>
  <c r="A262" i="32"/>
  <c r="B262" i="32"/>
  <c r="C262" i="32"/>
  <c r="H262" i="32" s="1"/>
  <c r="D262" i="32"/>
  <c r="F262" i="32"/>
  <c r="A263" i="32"/>
  <c r="B263" i="32"/>
  <c r="C263" i="32"/>
  <c r="H263" i="32" s="1"/>
  <c r="D263" i="32"/>
  <c r="F263" i="32"/>
  <c r="A264" i="32"/>
  <c r="B264" i="32"/>
  <c r="C264" i="32"/>
  <c r="H264" i="32" s="1"/>
  <c r="D264" i="32"/>
  <c r="F264" i="32"/>
  <c r="A265" i="32"/>
  <c r="B265" i="32"/>
  <c r="C265" i="32"/>
  <c r="H265" i="32" s="1"/>
  <c r="D265" i="32"/>
  <c r="F265" i="32"/>
  <c r="A266" i="32"/>
  <c r="B266" i="32"/>
  <c r="C266" i="32"/>
  <c r="H266" i="32" s="1"/>
  <c r="D266" i="32"/>
  <c r="F266" i="32"/>
  <c r="A267" i="32"/>
  <c r="B267" i="32"/>
  <c r="C267" i="32"/>
  <c r="H267" i="32" s="1"/>
  <c r="D267" i="32"/>
  <c r="F267" i="32"/>
  <c r="A268" i="32"/>
  <c r="B268" i="32"/>
  <c r="C268" i="32"/>
  <c r="H268" i="32" s="1"/>
  <c r="D268" i="32"/>
  <c r="F268" i="32"/>
  <c r="A269" i="32"/>
  <c r="B269" i="32"/>
  <c r="C269" i="32"/>
  <c r="H269" i="32" s="1"/>
  <c r="D269" i="32"/>
  <c r="F269" i="32"/>
  <c r="A270" i="32"/>
  <c r="B270" i="32"/>
  <c r="C270" i="32"/>
  <c r="H270" i="32" s="1"/>
  <c r="D270" i="32"/>
  <c r="F270" i="32"/>
  <c r="A271" i="32"/>
  <c r="B271" i="32"/>
  <c r="C271" i="32"/>
  <c r="D271" i="32"/>
  <c r="F271" i="32"/>
  <c r="A272" i="32"/>
  <c r="B272" i="32"/>
  <c r="C272" i="32"/>
  <c r="D272" i="32"/>
  <c r="F272" i="32"/>
  <c r="A273" i="32"/>
  <c r="B273" i="32"/>
  <c r="C273" i="32"/>
  <c r="D273" i="32"/>
  <c r="F273" i="32"/>
  <c r="A274" i="32"/>
  <c r="B274" i="32"/>
  <c r="C274" i="32"/>
  <c r="D274" i="32"/>
  <c r="F274" i="32"/>
  <c r="A275" i="32"/>
  <c r="B275" i="32"/>
  <c r="C275" i="32"/>
  <c r="D275" i="32"/>
  <c r="F275" i="32"/>
  <c r="A276" i="32"/>
  <c r="B276" i="32"/>
  <c r="C276" i="32"/>
  <c r="D276" i="32"/>
  <c r="F276" i="32"/>
  <c r="A277" i="32"/>
  <c r="B277" i="32"/>
  <c r="C277" i="32"/>
  <c r="D277" i="32"/>
  <c r="F277" i="32"/>
  <c r="A278" i="32"/>
  <c r="B278" i="32"/>
  <c r="C278" i="32"/>
  <c r="D278" i="32"/>
  <c r="F278" i="32"/>
  <c r="A279" i="32"/>
  <c r="B279" i="32"/>
  <c r="C279" i="32"/>
  <c r="D279" i="32"/>
  <c r="F279" i="32"/>
  <c r="A280" i="32"/>
  <c r="B280" i="32"/>
  <c r="C280" i="32"/>
  <c r="D280" i="32"/>
  <c r="F280" i="32"/>
  <c r="A281" i="32"/>
  <c r="B281" i="32"/>
  <c r="C281" i="32"/>
  <c r="D281" i="32"/>
  <c r="F281" i="32"/>
  <c r="A282" i="32"/>
  <c r="B282" i="32"/>
  <c r="C282" i="32"/>
  <c r="D282" i="32"/>
  <c r="F282" i="32"/>
  <c r="A283" i="32"/>
  <c r="B283" i="32"/>
  <c r="C283" i="32"/>
  <c r="D283" i="32"/>
  <c r="F283" i="32"/>
  <c r="A284" i="32"/>
  <c r="B284" i="32"/>
  <c r="C284" i="32"/>
  <c r="D284" i="32"/>
  <c r="F284" i="32"/>
  <c r="A285" i="32"/>
  <c r="B285" i="32"/>
  <c r="C285" i="32"/>
  <c r="D285" i="32"/>
  <c r="F285" i="32"/>
  <c r="A286" i="32"/>
  <c r="B286" i="32"/>
  <c r="C286" i="32"/>
  <c r="D286" i="32"/>
  <c r="F286" i="32"/>
  <c r="A287" i="32"/>
  <c r="B287" i="32"/>
  <c r="C287" i="32"/>
  <c r="D287" i="32"/>
  <c r="F287" i="32"/>
  <c r="A288" i="32"/>
  <c r="B288" i="32"/>
  <c r="C288" i="32"/>
  <c r="D288" i="32"/>
  <c r="F288" i="32"/>
  <c r="A289" i="32"/>
  <c r="B289" i="32"/>
  <c r="C289" i="32"/>
  <c r="D289" i="32"/>
  <c r="F289" i="32"/>
  <c r="A290" i="32"/>
  <c r="B290" i="32"/>
  <c r="C290" i="32"/>
  <c r="D290" i="32"/>
  <c r="F290" i="32"/>
  <c r="A291" i="32"/>
  <c r="B291" i="32"/>
  <c r="C291" i="32"/>
  <c r="D291" i="32"/>
  <c r="F291" i="32"/>
  <c r="A292" i="32"/>
  <c r="B292" i="32"/>
  <c r="C292" i="32"/>
  <c r="D292" i="32"/>
  <c r="F292" i="32"/>
  <c r="A293" i="32"/>
  <c r="B293" i="32"/>
  <c r="C293" i="32"/>
  <c r="D293" i="32"/>
  <c r="F293" i="32"/>
  <c r="A294" i="32"/>
  <c r="B294" i="32"/>
  <c r="C294" i="32"/>
  <c r="D294" i="32"/>
  <c r="F294" i="32"/>
  <c r="A295" i="32"/>
  <c r="B295" i="32"/>
  <c r="C295" i="32"/>
  <c r="D295" i="32"/>
  <c r="F295" i="32"/>
  <c r="A296" i="32"/>
  <c r="B296" i="32"/>
  <c r="C296" i="32"/>
  <c r="D296" i="32"/>
  <c r="F296" i="32"/>
  <c r="A297" i="32"/>
  <c r="B297" i="32"/>
  <c r="C297" i="32"/>
  <c r="D297" i="32"/>
  <c r="F297" i="32"/>
  <c r="A298" i="32"/>
  <c r="B298" i="32"/>
  <c r="C298" i="32"/>
  <c r="D298" i="32"/>
  <c r="F298" i="32"/>
  <c r="A299" i="32"/>
  <c r="B299" i="32"/>
  <c r="C299" i="32"/>
  <c r="D299" i="32"/>
  <c r="F299" i="32"/>
  <c r="A300" i="32"/>
  <c r="B300" i="32"/>
  <c r="C300" i="32"/>
  <c r="D300" i="32"/>
  <c r="F300" i="32"/>
  <c r="A301" i="32"/>
  <c r="B301" i="32"/>
  <c r="C301" i="32"/>
  <c r="D301" i="32"/>
  <c r="F301" i="32"/>
  <c r="A302" i="32"/>
  <c r="B302" i="32"/>
  <c r="C302" i="32"/>
  <c r="E302" i="32" s="1"/>
  <c r="G302" i="32" s="1"/>
  <c r="D302" i="32"/>
  <c r="F302" i="32"/>
  <c r="H302" i="32"/>
  <c r="A303" i="32"/>
  <c r="B303" i="32"/>
  <c r="C303" i="32"/>
  <c r="D303" i="32"/>
  <c r="H303" i="32" s="1"/>
  <c r="F303" i="32"/>
  <c r="A304" i="32"/>
  <c r="B304" i="32"/>
  <c r="C304" i="32"/>
  <c r="E304" i="32" s="1"/>
  <c r="G304" i="32" s="1"/>
  <c r="D304" i="32"/>
  <c r="F304" i="32"/>
  <c r="H304" i="32"/>
  <c r="A305" i="32"/>
  <c r="B305" i="32"/>
  <c r="C305" i="32"/>
  <c r="D305" i="32"/>
  <c r="H305" i="32" s="1"/>
  <c r="F305" i="32"/>
  <c r="A306" i="32"/>
  <c r="B306" i="32"/>
  <c r="C306" i="32"/>
  <c r="E306" i="32" s="1"/>
  <c r="G306" i="32" s="1"/>
  <c r="D306" i="32"/>
  <c r="F306" i="32"/>
  <c r="H306" i="32"/>
  <c r="A307" i="32"/>
  <c r="B307" i="32"/>
  <c r="C307" i="32"/>
  <c r="D307" i="32"/>
  <c r="H307" i="32" s="1"/>
  <c r="F307" i="32"/>
  <c r="A308" i="32"/>
  <c r="B308" i="32"/>
  <c r="C308" i="32"/>
  <c r="E308" i="32" s="1"/>
  <c r="G308" i="32" s="1"/>
  <c r="D308" i="32"/>
  <c r="F308" i="32"/>
  <c r="H308" i="32"/>
  <c r="A309" i="32"/>
  <c r="B309" i="32"/>
  <c r="C309" i="32"/>
  <c r="D309" i="32"/>
  <c r="H309" i="32" s="1"/>
  <c r="F309" i="32"/>
  <c r="A310" i="32"/>
  <c r="B310" i="32"/>
  <c r="C310" i="32"/>
  <c r="E310" i="32" s="1"/>
  <c r="G310" i="32" s="1"/>
  <c r="D310" i="32"/>
  <c r="F310" i="32"/>
  <c r="H310" i="32"/>
  <c r="A311" i="32"/>
  <c r="B311" i="32"/>
  <c r="C311" i="32"/>
  <c r="D311" i="32"/>
  <c r="H311" i="32" s="1"/>
  <c r="F311" i="32"/>
  <c r="A312" i="32"/>
  <c r="B312" i="32"/>
  <c r="C312" i="32"/>
  <c r="E312" i="32" s="1"/>
  <c r="G312" i="32" s="1"/>
  <c r="D312" i="32"/>
  <c r="F312" i="32"/>
  <c r="H312" i="32"/>
  <c r="A313" i="32"/>
  <c r="B313" i="32"/>
  <c r="C313" i="32"/>
  <c r="D313" i="32"/>
  <c r="H313" i="32" s="1"/>
  <c r="F313" i="32"/>
  <c r="A8" i="19"/>
  <c r="B8" i="19"/>
  <c r="C8" i="19"/>
  <c r="D8" i="19"/>
  <c r="E8" i="19"/>
  <c r="F8" i="19"/>
  <c r="G8" i="19"/>
  <c r="R8" i="19" s="1"/>
  <c r="U8" i="19" s="1"/>
  <c r="H8" i="19"/>
  <c r="I8" i="19"/>
  <c r="J8" i="19"/>
  <c r="K8" i="19"/>
  <c r="L8" i="19"/>
  <c r="M8" i="19"/>
  <c r="N8" i="19"/>
  <c r="O8" i="19"/>
  <c r="P8" i="19"/>
  <c r="Q8" i="19"/>
  <c r="S8" i="19"/>
  <c r="V8" i="19"/>
  <c r="W8" i="19"/>
  <c r="Y8" i="19" s="1"/>
  <c r="X8" i="19"/>
  <c r="Z8" i="19"/>
  <c r="AA8" i="19"/>
  <c r="A9" i="19"/>
  <c r="B9" i="19"/>
  <c r="C9" i="19"/>
  <c r="D9" i="19"/>
  <c r="G9" i="19" s="1"/>
  <c r="E9" i="19"/>
  <c r="F9" i="19"/>
  <c r="H9" i="19"/>
  <c r="I9" i="19"/>
  <c r="J9" i="19"/>
  <c r="K9" i="19"/>
  <c r="L9" i="19"/>
  <c r="M9" i="19"/>
  <c r="N9" i="19"/>
  <c r="P9" i="19"/>
  <c r="O9" i="19" s="1"/>
  <c r="Q9" i="19"/>
  <c r="S9" i="19"/>
  <c r="V9" i="19"/>
  <c r="Y9" i="19" s="1"/>
  <c r="W9" i="19"/>
  <c r="X9" i="19"/>
  <c r="Z9" i="19"/>
  <c r="AA9" i="19"/>
  <c r="A10" i="19"/>
  <c r="B10" i="19"/>
  <c r="C10" i="19"/>
  <c r="D10" i="19"/>
  <c r="E10" i="19"/>
  <c r="F10" i="19"/>
  <c r="G10" i="19"/>
  <c r="T10" i="19" s="1"/>
  <c r="H10" i="19"/>
  <c r="I10" i="19"/>
  <c r="J10" i="19"/>
  <c r="K10" i="19"/>
  <c r="L10" i="19"/>
  <c r="M10" i="19"/>
  <c r="N10" i="19"/>
  <c r="O10" i="19"/>
  <c r="P10" i="19"/>
  <c r="Q10" i="19"/>
  <c r="S10" i="19"/>
  <c r="V10" i="19"/>
  <c r="W10" i="19"/>
  <c r="Y10" i="19" s="1"/>
  <c r="X10" i="19"/>
  <c r="Z10" i="19"/>
  <c r="AA10" i="19"/>
  <c r="A11" i="19"/>
  <c r="B11" i="19"/>
  <c r="C11" i="19"/>
  <c r="D11" i="19"/>
  <c r="G11" i="19" s="1"/>
  <c r="E11" i="19"/>
  <c r="F11" i="19"/>
  <c r="H11" i="19"/>
  <c r="I11" i="19"/>
  <c r="J11" i="19"/>
  <c r="K11" i="19"/>
  <c r="L11" i="19"/>
  <c r="M11" i="19"/>
  <c r="N11" i="19"/>
  <c r="P11" i="19"/>
  <c r="O11" i="19" s="1"/>
  <c r="Q11" i="19"/>
  <c r="S11" i="19"/>
  <c r="V11" i="19"/>
  <c r="Y11" i="19" s="1"/>
  <c r="W11" i="19"/>
  <c r="X11" i="19"/>
  <c r="Z11" i="19"/>
  <c r="AA11" i="19"/>
  <c r="A12" i="19"/>
  <c r="B12" i="19"/>
  <c r="C12" i="19"/>
  <c r="D12" i="19"/>
  <c r="E12" i="19"/>
  <c r="G12" i="19" s="1"/>
  <c r="F12" i="19"/>
  <c r="H12" i="19"/>
  <c r="I12" i="19"/>
  <c r="J12" i="19"/>
  <c r="K12" i="19"/>
  <c r="L12" i="19"/>
  <c r="M12" i="19"/>
  <c r="N12" i="19"/>
  <c r="P12" i="19"/>
  <c r="Q12" i="19"/>
  <c r="O12" i="19" s="1"/>
  <c r="S12" i="19"/>
  <c r="V12" i="19"/>
  <c r="W12" i="19"/>
  <c r="X12" i="19"/>
  <c r="Y12" i="19"/>
  <c r="Z12" i="19"/>
  <c r="AA12" i="19"/>
  <c r="A13" i="19"/>
  <c r="B13" i="19"/>
  <c r="C13" i="19"/>
  <c r="D13" i="19"/>
  <c r="G13" i="19" s="1"/>
  <c r="E13" i="19"/>
  <c r="F13" i="19"/>
  <c r="H13" i="19"/>
  <c r="I13" i="19"/>
  <c r="J13" i="19"/>
  <c r="K13" i="19"/>
  <c r="L13" i="19"/>
  <c r="M13" i="19"/>
  <c r="N13" i="19"/>
  <c r="P13" i="19"/>
  <c r="O13" i="19" s="1"/>
  <c r="Q13" i="19"/>
  <c r="S13" i="19"/>
  <c r="V13" i="19"/>
  <c r="Y13" i="19" s="1"/>
  <c r="W13" i="19"/>
  <c r="X13" i="19"/>
  <c r="Z13" i="19"/>
  <c r="AA13" i="19"/>
  <c r="A14" i="19"/>
  <c r="B14" i="19"/>
  <c r="C14" i="19"/>
  <c r="D14" i="19"/>
  <c r="E14" i="19"/>
  <c r="F14" i="19"/>
  <c r="G14" i="19"/>
  <c r="T14" i="19" s="1"/>
  <c r="H14" i="19"/>
  <c r="I14" i="19"/>
  <c r="J14" i="19"/>
  <c r="K14" i="19"/>
  <c r="L14" i="19"/>
  <c r="M14" i="19"/>
  <c r="N14" i="19"/>
  <c r="O14" i="19"/>
  <c r="P14" i="19"/>
  <c r="Q14" i="19"/>
  <c r="S14" i="19"/>
  <c r="V14" i="19"/>
  <c r="W14" i="19"/>
  <c r="Y14" i="19" s="1"/>
  <c r="X14" i="19"/>
  <c r="Z14" i="19"/>
  <c r="AA14" i="19"/>
  <c r="A15" i="19"/>
  <c r="B15" i="19"/>
  <c r="C15" i="19"/>
  <c r="D15" i="19"/>
  <c r="G15" i="19" s="1"/>
  <c r="E15" i="19"/>
  <c r="F15" i="19"/>
  <c r="H15" i="19"/>
  <c r="I15" i="19"/>
  <c r="J15" i="19"/>
  <c r="K15" i="19"/>
  <c r="L15" i="19"/>
  <c r="M15" i="19"/>
  <c r="N15" i="19"/>
  <c r="P15" i="19"/>
  <c r="O15" i="19" s="1"/>
  <c r="Q15" i="19"/>
  <c r="S15" i="19"/>
  <c r="V15" i="19"/>
  <c r="Y15" i="19" s="1"/>
  <c r="W15" i="19"/>
  <c r="X15" i="19"/>
  <c r="Z15" i="19"/>
  <c r="AA15" i="19"/>
  <c r="A16" i="19"/>
  <c r="B16" i="19"/>
  <c r="C16" i="19"/>
  <c r="D16" i="19"/>
  <c r="E16" i="19"/>
  <c r="G16" i="19" s="1"/>
  <c r="F16" i="19"/>
  <c r="H16" i="19"/>
  <c r="I16" i="19"/>
  <c r="J16" i="19"/>
  <c r="K16" i="19"/>
  <c r="L16" i="19"/>
  <c r="M16" i="19"/>
  <c r="N16" i="19"/>
  <c r="P16" i="19"/>
  <c r="Q16" i="19"/>
  <c r="O16" i="19" s="1"/>
  <c r="S16" i="19"/>
  <c r="V16" i="19"/>
  <c r="W16" i="19"/>
  <c r="X16" i="19"/>
  <c r="Y16" i="19"/>
  <c r="Z16" i="19"/>
  <c r="AA16" i="19"/>
  <c r="A17" i="19"/>
  <c r="B17" i="19"/>
  <c r="C17" i="19"/>
  <c r="D17" i="19"/>
  <c r="G17" i="19" s="1"/>
  <c r="E17" i="19"/>
  <c r="F17" i="19"/>
  <c r="H17" i="19"/>
  <c r="I17" i="19"/>
  <c r="J17" i="19"/>
  <c r="K17" i="19"/>
  <c r="L17" i="19"/>
  <c r="M17" i="19"/>
  <c r="N17" i="19"/>
  <c r="P17" i="19"/>
  <c r="O17" i="19" s="1"/>
  <c r="Q17" i="19"/>
  <c r="S17" i="19"/>
  <c r="V17" i="19"/>
  <c r="Y17" i="19" s="1"/>
  <c r="W17" i="19"/>
  <c r="X17" i="19"/>
  <c r="Z17" i="19"/>
  <c r="AA17" i="19"/>
  <c r="A18" i="19"/>
  <c r="B18" i="19"/>
  <c r="C18" i="19"/>
  <c r="D18" i="19"/>
  <c r="E18" i="19"/>
  <c r="F18" i="19"/>
  <c r="G18" i="19"/>
  <c r="T18" i="19" s="1"/>
  <c r="H18" i="19"/>
  <c r="I18" i="19"/>
  <c r="J18" i="19"/>
  <c r="K18" i="19"/>
  <c r="L18" i="19"/>
  <c r="M18" i="19"/>
  <c r="N18" i="19"/>
  <c r="O18" i="19"/>
  <c r="P18" i="19"/>
  <c r="Q18" i="19"/>
  <c r="S18" i="19"/>
  <c r="V18" i="19"/>
  <c r="W18" i="19"/>
  <c r="Y18" i="19" s="1"/>
  <c r="X18" i="19"/>
  <c r="Z18" i="19"/>
  <c r="AA18" i="19"/>
  <c r="A19" i="19"/>
  <c r="B19" i="19"/>
  <c r="C19" i="19"/>
  <c r="D19" i="19"/>
  <c r="G19" i="19" s="1"/>
  <c r="E19" i="19"/>
  <c r="F19" i="19"/>
  <c r="H19" i="19"/>
  <c r="I19" i="19"/>
  <c r="J19" i="19"/>
  <c r="K19" i="19"/>
  <c r="L19" i="19"/>
  <c r="M19" i="19"/>
  <c r="N19" i="19"/>
  <c r="P19" i="19"/>
  <c r="O19" i="19" s="1"/>
  <c r="Q19" i="19"/>
  <c r="S19" i="19"/>
  <c r="V19" i="19"/>
  <c r="Y19" i="19" s="1"/>
  <c r="W19" i="19"/>
  <c r="X19" i="19"/>
  <c r="Z19" i="19"/>
  <c r="AA19" i="19"/>
  <c r="A20" i="19"/>
  <c r="B20" i="19"/>
  <c r="C20" i="19"/>
  <c r="D20" i="19"/>
  <c r="E20" i="19"/>
  <c r="G20" i="19" s="1"/>
  <c r="F20" i="19"/>
  <c r="H20" i="19"/>
  <c r="I20" i="19"/>
  <c r="J20" i="19"/>
  <c r="K20" i="19"/>
  <c r="L20" i="19"/>
  <c r="M20" i="19"/>
  <c r="N20" i="19"/>
  <c r="P20" i="19"/>
  <c r="Q20" i="19"/>
  <c r="O20" i="19" s="1"/>
  <c r="S20" i="19"/>
  <c r="V20" i="19"/>
  <c r="W20" i="19"/>
  <c r="X20" i="19"/>
  <c r="Y20" i="19"/>
  <c r="Z20" i="19"/>
  <c r="AA20" i="19"/>
  <c r="A21" i="19"/>
  <c r="B21" i="19"/>
  <c r="C21" i="19"/>
  <c r="D21" i="19"/>
  <c r="G21" i="19" s="1"/>
  <c r="E21" i="19"/>
  <c r="F21" i="19"/>
  <c r="H21" i="19"/>
  <c r="I21" i="19"/>
  <c r="J21" i="19"/>
  <c r="K21" i="19"/>
  <c r="L21" i="19"/>
  <c r="M21" i="19"/>
  <c r="N21" i="19"/>
  <c r="P21" i="19"/>
  <c r="O21" i="19" s="1"/>
  <c r="Q21" i="19"/>
  <c r="S21" i="19"/>
  <c r="V21" i="19"/>
  <c r="Y21" i="19" s="1"/>
  <c r="W21" i="19"/>
  <c r="X21" i="19"/>
  <c r="Z21" i="19"/>
  <c r="AA21" i="19"/>
  <c r="A22" i="19"/>
  <c r="B22" i="19"/>
  <c r="C22" i="19"/>
  <c r="D22" i="19"/>
  <c r="E22" i="19"/>
  <c r="F22" i="19"/>
  <c r="G22" i="19"/>
  <c r="T22" i="19" s="1"/>
  <c r="H22" i="19"/>
  <c r="I22" i="19"/>
  <c r="J22" i="19"/>
  <c r="K22" i="19"/>
  <c r="L22" i="19"/>
  <c r="M22" i="19"/>
  <c r="N22" i="19"/>
  <c r="O22" i="19"/>
  <c r="P22" i="19"/>
  <c r="Q22" i="19"/>
  <c r="S22" i="19"/>
  <c r="V22" i="19"/>
  <c r="W22" i="19"/>
  <c r="Y22" i="19" s="1"/>
  <c r="X22" i="19"/>
  <c r="Z22" i="19"/>
  <c r="AA22" i="19"/>
  <c r="A23" i="19"/>
  <c r="B23" i="19"/>
  <c r="C23" i="19"/>
  <c r="D23" i="19"/>
  <c r="G23" i="19" s="1"/>
  <c r="E23" i="19"/>
  <c r="F23" i="19"/>
  <c r="H23" i="19"/>
  <c r="I23" i="19"/>
  <c r="J23" i="19"/>
  <c r="K23" i="19"/>
  <c r="L23" i="19"/>
  <c r="M23" i="19"/>
  <c r="N23" i="19"/>
  <c r="P23" i="19"/>
  <c r="O23" i="19" s="1"/>
  <c r="Q23" i="19"/>
  <c r="S23" i="19"/>
  <c r="V23" i="19"/>
  <c r="Y23" i="19" s="1"/>
  <c r="W23" i="19"/>
  <c r="X23" i="19"/>
  <c r="Z23" i="19"/>
  <c r="AA23" i="19"/>
  <c r="A24" i="19"/>
  <c r="B24" i="19"/>
  <c r="C24" i="19"/>
  <c r="D24" i="19"/>
  <c r="E24" i="19"/>
  <c r="G24" i="19" s="1"/>
  <c r="F24" i="19"/>
  <c r="H24" i="19"/>
  <c r="I24" i="19"/>
  <c r="J24" i="19"/>
  <c r="K24" i="19"/>
  <c r="L24" i="19"/>
  <c r="M24" i="19"/>
  <c r="N24" i="19"/>
  <c r="P24" i="19"/>
  <c r="Q24" i="19"/>
  <c r="O24" i="19" s="1"/>
  <c r="S24" i="19"/>
  <c r="V24" i="19"/>
  <c r="W24" i="19"/>
  <c r="X24" i="19"/>
  <c r="Y24" i="19"/>
  <c r="Z24" i="19"/>
  <c r="AA24" i="19"/>
  <c r="A25" i="19"/>
  <c r="B25" i="19"/>
  <c r="C25" i="19"/>
  <c r="D25" i="19"/>
  <c r="G25" i="19" s="1"/>
  <c r="E25" i="19"/>
  <c r="F25" i="19"/>
  <c r="H25" i="19"/>
  <c r="I25" i="19"/>
  <c r="J25" i="19"/>
  <c r="K25" i="19"/>
  <c r="L25" i="19"/>
  <c r="M25" i="19"/>
  <c r="N25" i="19"/>
  <c r="P25" i="19"/>
  <c r="O25" i="19" s="1"/>
  <c r="Q25" i="19"/>
  <c r="S25" i="19"/>
  <c r="V25" i="19"/>
  <c r="Y25" i="19" s="1"/>
  <c r="W25" i="19"/>
  <c r="X25" i="19"/>
  <c r="Z25" i="19"/>
  <c r="AA25" i="19"/>
  <c r="A26" i="19"/>
  <c r="B26" i="19"/>
  <c r="C26" i="19"/>
  <c r="D26" i="19"/>
  <c r="E26" i="19"/>
  <c r="F26" i="19"/>
  <c r="G26" i="19"/>
  <c r="T26" i="19" s="1"/>
  <c r="H26" i="19"/>
  <c r="I26" i="19"/>
  <c r="J26" i="19"/>
  <c r="K26" i="19"/>
  <c r="L26" i="19"/>
  <c r="M26" i="19"/>
  <c r="N26" i="19"/>
  <c r="O26" i="19"/>
  <c r="P26" i="19"/>
  <c r="Q26" i="19"/>
  <c r="S26" i="19"/>
  <c r="V26" i="19"/>
  <c r="W26" i="19"/>
  <c r="Y26" i="19" s="1"/>
  <c r="X26" i="19"/>
  <c r="Z26" i="19"/>
  <c r="AA26" i="19"/>
  <c r="A27" i="19"/>
  <c r="B27" i="19"/>
  <c r="C27" i="19"/>
  <c r="D27" i="19"/>
  <c r="G27" i="19" s="1"/>
  <c r="E27" i="19"/>
  <c r="F27" i="19"/>
  <c r="H27" i="19"/>
  <c r="I27" i="19"/>
  <c r="J27" i="19"/>
  <c r="K27" i="19"/>
  <c r="L27" i="19"/>
  <c r="M27" i="19"/>
  <c r="N27" i="19"/>
  <c r="P27" i="19"/>
  <c r="O27" i="19" s="1"/>
  <c r="Q27" i="19"/>
  <c r="S27" i="19"/>
  <c r="V27" i="19"/>
  <c r="Y27" i="19" s="1"/>
  <c r="W27" i="19"/>
  <c r="X27" i="19"/>
  <c r="Z27" i="19"/>
  <c r="AA27" i="19"/>
  <c r="A28" i="19"/>
  <c r="B28" i="19"/>
  <c r="C28" i="19"/>
  <c r="D28" i="19"/>
  <c r="E28" i="19"/>
  <c r="G28" i="19" s="1"/>
  <c r="F28" i="19"/>
  <c r="H28" i="19"/>
  <c r="I28" i="19"/>
  <c r="J28" i="19"/>
  <c r="K28" i="19"/>
  <c r="L28" i="19"/>
  <c r="M28" i="19"/>
  <c r="N28" i="19"/>
  <c r="P28" i="19"/>
  <c r="Q28" i="19"/>
  <c r="O28" i="19" s="1"/>
  <c r="S28" i="19"/>
  <c r="V28" i="19"/>
  <c r="W28" i="19"/>
  <c r="X28" i="19"/>
  <c r="Y28" i="19"/>
  <c r="Z28" i="19"/>
  <c r="AA28" i="19"/>
  <c r="A29" i="19"/>
  <c r="B29" i="19"/>
  <c r="C29" i="19"/>
  <c r="D29" i="19"/>
  <c r="G29" i="19" s="1"/>
  <c r="E29" i="19"/>
  <c r="F29" i="19"/>
  <c r="H29" i="19"/>
  <c r="I29" i="19"/>
  <c r="J29" i="19"/>
  <c r="K29" i="19"/>
  <c r="L29" i="19"/>
  <c r="M29" i="19"/>
  <c r="N29" i="19"/>
  <c r="P29" i="19"/>
  <c r="O29" i="19" s="1"/>
  <c r="Q29" i="19"/>
  <c r="S29" i="19"/>
  <c r="V29" i="19"/>
  <c r="Y29" i="19" s="1"/>
  <c r="W29" i="19"/>
  <c r="X29" i="19"/>
  <c r="Z29" i="19"/>
  <c r="AA29" i="19"/>
  <c r="A30" i="19"/>
  <c r="B30" i="19"/>
  <c r="C30" i="19"/>
  <c r="D30" i="19"/>
  <c r="E30" i="19"/>
  <c r="F30" i="19"/>
  <c r="G30" i="19"/>
  <c r="T30" i="19" s="1"/>
  <c r="H30" i="19"/>
  <c r="I30" i="19"/>
  <c r="J30" i="19"/>
  <c r="K30" i="19"/>
  <c r="L30" i="19"/>
  <c r="M30" i="19"/>
  <c r="N30" i="19"/>
  <c r="O30" i="19"/>
  <c r="P30" i="19"/>
  <c r="Q30" i="19"/>
  <c r="S30" i="19"/>
  <c r="V30" i="19"/>
  <c r="W30" i="19"/>
  <c r="Y30" i="19" s="1"/>
  <c r="X30" i="19"/>
  <c r="Z30" i="19"/>
  <c r="AA30" i="19"/>
  <c r="A31" i="19"/>
  <c r="B31" i="19"/>
  <c r="C31" i="19"/>
  <c r="D31" i="19"/>
  <c r="G31" i="19" s="1"/>
  <c r="E31" i="19"/>
  <c r="F31" i="19"/>
  <c r="H31" i="19"/>
  <c r="I31" i="19"/>
  <c r="J31" i="19"/>
  <c r="K31" i="19"/>
  <c r="L31" i="19"/>
  <c r="M31" i="19"/>
  <c r="N31" i="19"/>
  <c r="P31" i="19"/>
  <c r="O31" i="19" s="1"/>
  <c r="Q31" i="19"/>
  <c r="S31" i="19"/>
  <c r="V31" i="19"/>
  <c r="Y31" i="19" s="1"/>
  <c r="W31" i="19"/>
  <c r="X31" i="19"/>
  <c r="Z31" i="19"/>
  <c r="AA31" i="19"/>
  <c r="A32" i="19"/>
  <c r="B32" i="19"/>
  <c r="C32" i="19"/>
  <c r="D32" i="19"/>
  <c r="E32" i="19"/>
  <c r="G32" i="19" s="1"/>
  <c r="F32" i="19"/>
  <c r="H32" i="19"/>
  <c r="I32" i="19"/>
  <c r="J32" i="19"/>
  <c r="K32" i="19"/>
  <c r="L32" i="19"/>
  <c r="M32" i="19"/>
  <c r="N32" i="19"/>
  <c r="P32" i="19"/>
  <c r="Q32" i="19"/>
  <c r="O32" i="19" s="1"/>
  <c r="S32" i="19"/>
  <c r="V32" i="19"/>
  <c r="W32" i="19"/>
  <c r="X32" i="19"/>
  <c r="Y32" i="19"/>
  <c r="Z32" i="19"/>
  <c r="AA32" i="19"/>
  <c r="A33" i="19"/>
  <c r="B33" i="19"/>
  <c r="C33" i="19"/>
  <c r="D33" i="19"/>
  <c r="G33" i="19" s="1"/>
  <c r="E33" i="19"/>
  <c r="F33" i="19"/>
  <c r="H33" i="19"/>
  <c r="I33" i="19"/>
  <c r="J33" i="19"/>
  <c r="K33" i="19"/>
  <c r="L33" i="19"/>
  <c r="M33" i="19"/>
  <c r="N33" i="19"/>
  <c r="P33" i="19"/>
  <c r="O33" i="19" s="1"/>
  <c r="Q33" i="19"/>
  <c r="S33" i="19"/>
  <c r="V33" i="19"/>
  <c r="Y33" i="19" s="1"/>
  <c r="W33" i="19"/>
  <c r="X33" i="19"/>
  <c r="Z33" i="19"/>
  <c r="AA33" i="19"/>
  <c r="A34" i="19"/>
  <c r="B34" i="19"/>
  <c r="C34" i="19"/>
  <c r="D34" i="19"/>
  <c r="E34" i="19"/>
  <c r="F34" i="19"/>
  <c r="G34" i="19"/>
  <c r="T34" i="19" s="1"/>
  <c r="H34" i="19"/>
  <c r="I34" i="19"/>
  <c r="J34" i="19"/>
  <c r="K34" i="19"/>
  <c r="L34" i="19"/>
  <c r="M34" i="19"/>
  <c r="N34" i="19"/>
  <c r="O34" i="19"/>
  <c r="P34" i="19"/>
  <c r="Q34" i="19"/>
  <c r="S34" i="19"/>
  <c r="V34" i="19"/>
  <c r="W34" i="19"/>
  <c r="Y34" i="19" s="1"/>
  <c r="X34" i="19"/>
  <c r="Z34" i="19"/>
  <c r="AA34" i="19"/>
  <c r="A35" i="19"/>
  <c r="B35" i="19"/>
  <c r="C35" i="19"/>
  <c r="D35" i="19"/>
  <c r="G35" i="19" s="1"/>
  <c r="E35" i="19"/>
  <c r="F35" i="19"/>
  <c r="H35" i="19"/>
  <c r="I35" i="19"/>
  <c r="J35" i="19"/>
  <c r="K35" i="19"/>
  <c r="L35" i="19"/>
  <c r="M35" i="19"/>
  <c r="N35" i="19"/>
  <c r="P35" i="19"/>
  <c r="O35" i="19" s="1"/>
  <c r="Q35" i="19"/>
  <c r="S35" i="19"/>
  <c r="V35" i="19"/>
  <c r="Y35" i="19" s="1"/>
  <c r="W35" i="19"/>
  <c r="X35" i="19"/>
  <c r="Z35" i="19"/>
  <c r="AA35" i="19"/>
  <c r="A36" i="19"/>
  <c r="B36" i="19"/>
  <c r="C36" i="19"/>
  <c r="D36" i="19"/>
  <c r="E36" i="19"/>
  <c r="G36" i="19" s="1"/>
  <c r="F36" i="19"/>
  <c r="H36" i="19"/>
  <c r="I36" i="19"/>
  <c r="J36" i="19"/>
  <c r="K36" i="19"/>
  <c r="L36" i="19"/>
  <c r="M36" i="19"/>
  <c r="N36" i="19"/>
  <c r="P36" i="19"/>
  <c r="Q36" i="19"/>
  <c r="O36" i="19" s="1"/>
  <c r="S36" i="19"/>
  <c r="V36" i="19"/>
  <c r="W36" i="19"/>
  <c r="X36" i="19"/>
  <c r="Y36" i="19"/>
  <c r="Z36" i="19"/>
  <c r="AA36" i="19"/>
  <c r="A37" i="19"/>
  <c r="B37" i="19"/>
  <c r="C37" i="19"/>
  <c r="D37" i="19"/>
  <c r="G37" i="19" s="1"/>
  <c r="E37" i="19"/>
  <c r="F37" i="19"/>
  <c r="H37" i="19"/>
  <c r="I37" i="19"/>
  <c r="J37" i="19"/>
  <c r="K37" i="19"/>
  <c r="L37" i="19"/>
  <c r="M37" i="19"/>
  <c r="N37" i="19"/>
  <c r="P37" i="19"/>
  <c r="O37" i="19" s="1"/>
  <c r="Q37" i="19"/>
  <c r="S37" i="19"/>
  <c r="V37" i="19"/>
  <c r="Y37" i="19" s="1"/>
  <c r="W37" i="19"/>
  <c r="X37" i="19"/>
  <c r="Z37" i="19"/>
  <c r="AA37" i="19"/>
  <c r="A38" i="19"/>
  <c r="B38" i="19"/>
  <c r="C38" i="19"/>
  <c r="D38" i="19"/>
  <c r="E38" i="19"/>
  <c r="F38" i="19"/>
  <c r="G38" i="19"/>
  <c r="T38" i="19" s="1"/>
  <c r="H38" i="19"/>
  <c r="I38" i="19"/>
  <c r="J38" i="19"/>
  <c r="K38" i="19"/>
  <c r="L38" i="19"/>
  <c r="M38" i="19"/>
  <c r="N38" i="19"/>
  <c r="O38" i="19"/>
  <c r="P38" i="19"/>
  <c r="Q38" i="19"/>
  <c r="S38" i="19"/>
  <c r="V38" i="19"/>
  <c r="W38" i="19"/>
  <c r="Y38" i="19" s="1"/>
  <c r="X38" i="19"/>
  <c r="Z38" i="19"/>
  <c r="AA38" i="19"/>
  <c r="A39" i="19"/>
  <c r="B39" i="19"/>
  <c r="C39" i="19"/>
  <c r="D39" i="19"/>
  <c r="G39" i="19" s="1"/>
  <c r="E39" i="19"/>
  <c r="F39" i="19"/>
  <c r="H39" i="19"/>
  <c r="I39" i="19"/>
  <c r="J39" i="19"/>
  <c r="K39" i="19"/>
  <c r="L39" i="19"/>
  <c r="M39" i="19"/>
  <c r="N39" i="19"/>
  <c r="P39" i="19"/>
  <c r="O39" i="19" s="1"/>
  <c r="Q39" i="19"/>
  <c r="S39" i="19"/>
  <c r="V39" i="19"/>
  <c r="Y39" i="19" s="1"/>
  <c r="W39" i="19"/>
  <c r="X39" i="19"/>
  <c r="Z39" i="19"/>
  <c r="AA39" i="19"/>
  <c r="A40" i="19"/>
  <c r="B40" i="19"/>
  <c r="C40" i="19"/>
  <c r="D40" i="19"/>
  <c r="E40" i="19"/>
  <c r="G40" i="19" s="1"/>
  <c r="F40" i="19"/>
  <c r="H40" i="19"/>
  <c r="I40" i="19"/>
  <c r="J40" i="19"/>
  <c r="K40" i="19"/>
  <c r="L40" i="19"/>
  <c r="M40" i="19"/>
  <c r="N40" i="19"/>
  <c r="P40" i="19"/>
  <c r="Q40" i="19"/>
  <c r="O40" i="19" s="1"/>
  <c r="S40" i="19"/>
  <c r="V40" i="19"/>
  <c r="W40" i="19"/>
  <c r="X40" i="19"/>
  <c r="Y40" i="19"/>
  <c r="Z40" i="19"/>
  <c r="AA40" i="19"/>
  <c r="A41" i="19"/>
  <c r="B41" i="19"/>
  <c r="C41" i="19"/>
  <c r="D41" i="19"/>
  <c r="G41" i="19" s="1"/>
  <c r="E41" i="19"/>
  <c r="F41" i="19"/>
  <c r="H41" i="19"/>
  <c r="I41" i="19"/>
  <c r="J41" i="19"/>
  <c r="K41" i="19"/>
  <c r="L41" i="19"/>
  <c r="M41" i="19"/>
  <c r="N41" i="19"/>
  <c r="P41" i="19"/>
  <c r="O41" i="19" s="1"/>
  <c r="Q41" i="19"/>
  <c r="S41" i="19"/>
  <c r="V41" i="19"/>
  <c r="Y41" i="19" s="1"/>
  <c r="W41" i="19"/>
  <c r="X41" i="19"/>
  <c r="Z41" i="19"/>
  <c r="AA41" i="19"/>
  <c r="A42" i="19"/>
  <c r="B42" i="19"/>
  <c r="C42" i="19"/>
  <c r="D42" i="19"/>
  <c r="E42" i="19"/>
  <c r="F42" i="19"/>
  <c r="G42" i="19"/>
  <c r="T42" i="19" s="1"/>
  <c r="H42" i="19"/>
  <c r="I42" i="19"/>
  <c r="J42" i="19"/>
  <c r="K42" i="19"/>
  <c r="L42" i="19"/>
  <c r="M42" i="19"/>
  <c r="N42" i="19"/>
  <c r="O42" i="19"/>
  <c r="P42" i="19"/>
  <c r="Q42" i="19"/>
  <c r="S42" i="19"/>
  <c r="V42" i="19"/>
  <c r="W42" i="19"/>
  <c r="Y42" i="19" s="1"/>
  <c r="X42" i="19"/>
  <c r="Z42" i="19"/>
  <c r="AA42" i="19"/>
  <c r="A43" i="19"/>
  <c r="B43" i="19"/>
  <c r="C43" i="19"/>
  <c r="D43" i="19"/>
  <c r="G43" i="19" s="1"/>
  <c r="E43" i="19"/>
  <c r="F43" i="19"/>
  <c r="H43" i="19"/>
  <c r="I43" i="19"/>
  <c r="J43" i="19"/>
  <c r="K43" i="19"/>
  <c r="L43" i="19"/>
  <c r="M43" i="19"/>
  <c r="N43" i="19"/>
  <c r="P43" i="19"/>
  <c r="O43" i="19" s="1"/>
  <c r="Q43" i="19"/>
  <c r="S43" i="19"/>
  <c r="V43" i="19"/>
  <c r="Y43" i="19" s="1"/>
  <c r="W43" i="19"/>
  <c r="X43" i="19"/>
  <c r="Z43" i="19"/>
  <c r="AA43" i="19"/>
  <c r="A44" i="19"/>
  <c r="B44" i="19"/>
  <c r="C44" i="19"/>
  <c r="D44" i="19"/>
  <c r="E44" i="19"/>
  <c r="G44" i="19" s="1"/>
  <c r="F44" i="19"/>
  <c r="H44" i="19"/>
  <c r="I44" i="19"/>
  <c r="J44" i="19"/>
  <c r="K44" i="19"/>
  <c r="L44" i="19"/>
  <c r="M44" i="19"/>
  <c r="N44" i="19"/>
  <c r="P44" i="19"/>
  <c r="Q44" i="19"/>
  <c r="O44" i="19" s="1"/>
  <c r="S44" i="19"/>
  <c r="V44" i="19"/>
  <c r="W44" i="19"/>
  <c r="X44" i="19"/>
  <c r="Y44" i="19"/>
  <c r="Z44" i="19"/>
  <c r="AA44" i="19"/>
  <c r="A45" i="19"/>
  <c r="B45" i="19"/>
  <c r="C45" i="19"/>
  <c r="D45" i="19"/>
  <c r="G45" i="19" s="1"/>
  <c r="E45" i="19"/>
  <c r="F45" i="19"/>
  <c r="H45" i="19"/>
  <c r="I45" i="19"/>
  <c r="J45" i="19"/>
  <c r="K45" i="19"/>
  <c r="L45" i="19"/>
  <c r="M45" i="19"/>
  <c r="N45" i="19"/>
  <c r="P45" i="19"/>
  <c r="O45" i="19" s="1"/>
  <c r="Q45" i="19"/>
  <c r="S45" i="19"/>
  <c r="V45" i="19"/>
  <c r="Y45" i="19" s="1"/>
  <c r="W45" i="19"/>
  <c r="X45" i="19"/>
  <c r="Z45" i="19"/>
  <c r="AA45" i="19"/>
  <c r="A46" i="19"/>
  <c r="B46" i="19"/>
  <c r="C46" i="19"/>
  <c r="D46" i="19"/>
  <c r="E46" i="19"/>
  <c r="F46" i="19"/>
  <c r="G46" i="19"/>
  <c r="T46" i="19" s="1"/>
  <c r="H46" i="19"/>
  <c r="I46" i="19"/>
  <c r="J46" i="19"/>
  <c r="K46" i="19"/>
  <c r="L46" i="19"/>
  <c r="M46" i="19"/>
  <c r="N46" i="19"/>
  <c r="O46" i="19"/>
  <c r="P46" i="19"/>
  <c r="Q46" i="19"/>
  <c r="S46" i="19"/>
  <c r="V46" i="19"/>
  <c r="W46" i="19"/>
  <c r="Y46" i="19" s="1"/>
  <c r="X46" i="19"/>
  <c r="Z46" i="19"/>
  <c r="AA46" i="19"/>
  <c r="A47" i="19"/>
  <c r="B47" i="19"/>
  <c r="C47" i="19"/>
  <c r="D47" i="19"/>
  <c r="G47" i="19" s="1"/>
  <c r="E47" i="19"/>
  <c r="F47" i="19"/>
  <c r="H47" i="19"/>
  <c r="I47" i="19"/>
  <c r="J47" i="19"/>
  <c r="K47" i="19"/>
  <c r="L47" i="19"/>
  <c r="M47" i="19"/>
  <c r="N47" i="19"/>
  <c r="P47" i="19"/>
  <c r="O47" i="19" s="1"/>
  <c r="Q47" i="19"/>
  <c r="S47" i="19"/>
  <c r="V47" i="19"/>
  <c r="Y47" i="19" s="1"/>
  <c r="W47" i="19"/>
  <c r="X47" i="19"/>
  <c r="Z47" i="19"/>
  <c r="AA47" i="19"/>
  <c r="A48" i="19"/>
  <c r="B48" i="19"/>
  <c r="C48" i="19"/>
  <c r="D48" i="19"/>
  <c r="E48" i="19"/>
  <c r="G48" i="19" s="1"/>
  <c r="F48" i="19"/>
  <c r="H48" i="19"/>
  <c r="I48" i="19"/>
  <c r="J48" i="19"/>
  <c r="K48" i="19"/>
  <c r="L48" i="19"/>
  <c r="M48" i="19"/>
  <c r="N48" i="19"/>
  <c r="P48" i="19"/>
  <c r="Q48" i="19"/>
  <c r="O48" i="19" s="1"/>
  <c r="S48" i="19"/>
  <c r="V48" i="19"/>
  <c r="W48" i="19"/>
  <c r="X48" i="19"/>
  <c r="Y48" i="19"/>
  <c r="Z48" i="19"/>
  <c r="AA48" i="19"/>
  <c r="A49" i="19"/>
  <c r="B49" i="19"/>
  <c r="C49" i="19"/>
  <c r="D49" i="19"/>
  <c r="G49" i="19" s="1"/>
  <c r="E49" i="19"/>
  <c r="F49" i="19"/>
  <c r="H49" i="19"/>
  <c r="I49" i="19"/>
  <c r="J49" i="19"/>
  <c r="K49" i="19"/>
  <c r="L49" i="19"/>
  <c r="M49" i="19"/>
  <c r="N49" i="19"/>
  <c r="P49" i="19"/>
  <c r="O49" i="19" s="1"/>
  <c r="Q49" i="19"/>
  <c r="S49" i="19"/>
  <c r="V49" i="19"/>
  <c r="Y49" i="19" s="1"/>
  <c r="W49" i="19"/>
  <c r="X49" i="19"/>
  <c r="Z49" i="19"/>
  <c r="AA49" i="19"/>
  <c r="A50" i="19"/>
  <c r="B50" i="19"/>
  <c r="C50" i="19"/>
  <c r="D50" i="19"/>
  <c r="E50" i="19"/>
  <c r="F50" i="19"/>
  <c r="G50" i="19"/>
  <c r="T50" i="19" s="1"/>
  <c r="H50" i="19"/>
  <c r="I50" i="19"/>
  <c r="J50" i="19"/>
  <c r="K50" i="19"/>
  <c r="L50" i="19"/>
  <c r="M50" i="19"/>
  <c r="N50" i="19"/>
  <c r="O50" i="19"/>
  <c r="P50" i="19"/>
  <c r="Q50" i="19"/>
  <c r="S50" i="19"/>
  <c r="V50" i="19"/>
  <c r="W50" i="19"/>
  <c r="Y50" i="19" s="1"/>
  <c r="X50" i="19"/>
  <c r="Z50" i="19"/>
  <c r="AA50" i="19"/>
  <c r="A51" i="19"/>
  <c r="B51" i="19"/>
  <c r="C51" i="19"/>
  <c r="D51" i="19"/>
  <c r="G51" i="19" s="1"/>
  <c r="E51" i="19"/>
  <c r="F51" i="19"/>
  <c r="H51" i="19"/>
  <c r="I51" i="19"/>
  <c r="J51" i="19"/>
  <c r="K51" i="19"/>
  <c r="L51" i="19"/>
  <c r="M51" i="19"/>
  <c r="N51" i="19"/>
  <c r="P51" i="19"/>
  <c r="O51" i="19" s="1"/>
  <c r="Q51" i="19"/>
  <c r="S51" i="19"/>
  <c r="V51" i="19"/>
  <c r="Y51" i="19" s="1"/>
  <c r="W51" i="19"/>
  <c r="X51" i="19"/>
  <c r="Z51" i="19"/>
  <c r="AA51" i="19"/>
  <c r="A52" i="19"/>
  <c r="B52" i="19"/>
  <c r="C52" i="19"/>
  <c r="D52" i="19"/>
  <c r="E52" i="19"/>
  <c r="G52" i="19" s="1"/>
  <c r="F52" i="19"/>
  <c r="H52" i="19"/>
  <c r="I52" i="19"/>
  <c r="J52" i="19"/>
  <c r="K52" i="19"/>
  <c r="L52" i="19"/>
  <c r="M52" i="19"/>
  <c r="N52" i="19"/>
  <c r="P52" i="19"/>
  <c r="Q52" i="19"/>
  <c r="O52" i="19" s="1"/>
  <c r="S52" i="19"/>
  <c r="V52" i="19"/>
  <c r="W52" i="19"/>
  <c r="X52" i="19"/>
  <c r="Y52" i="19"/>
  <c r="Z52" i="19"/>
  <c r="AA52" i="19"/>
  <c r="A53" i="19"/>
  <c r="B53" i="19"/>
  <c r="C53" i="19"/>
  <c r="D53" i="19"/>
  <c r="G53" i="19" s="1"/>
  <c r="E53" i="19"/>
  <c r="F53" i="19"/>
  <c r="H53" i="19"/>
  <c r="I53" i="19"/>
  <c r="J53" i="19"/>
  <c r="K53" i="19"/>
  <c r="L53" i="19"/>
  <c r="M53" i="19"/>
  <c r="N53" i="19"/>
  <c r="P53" i="19"/>
  <c r="O53" i="19" s="1"/>
  <c r="Q53" i="19"/>
  <c r="S53" i="19"/>
  <c r="V53" i="19"/>
  <c r="Y53" i="19" s="1"/>
  <c r="W53" i="19"/>
  <c r="X53" i="19"/>
  <c r="Z53" i="19"/>
  <c r="AA53" i="19"/>
  <c r="A54" i="19"/>
  <c r="B54" i="19"/>
  <c r="C54" i="19"/>
  <c r="D54" i="19"/>
  <c r="E54" i="19"/>
  <c r="F54" i="19"/>
  <c r="G54" i="19"/>
  <c r="T54" i="19" s="1"/>
  <c r="H54" i="19"/>
  <c r="I54" i="19"/>
  <c r="J54" i="19"/>
  <c r="K54" i="19"/>
  <c r="L54" i="19"/>
  <c r="M54" i="19"/>
  <c r="N54" i="19"/>
  <c r="O54" i="19"/>
  <c r="P54" i="19"/>
  <c r="Q54" i="19"/>
  <c r="S54" i="19"/>
  <c r="V54" i="19"/>
  <c r="W54" i="19"/>
  <c r="Y54" i="19" s="1"/>
  <c r="X54" i="19"/>
  <c r="Z54" i="19"/>
  <c r="AA54" i="19"/>
  <c r="A55" i="19"/>
  <c r="B55" i="19"/>
  <c r="C55" i="19"/>
  <c r="D55" i="19"/>
  <c r="G55" i="19" s="1"/>
  <c r="E55" i="19"/>
  <c r="F55" i="19"/>
  <c r="H55" i="19"/>
  <c r="I55" i="19"/>
  <c r="J55" i="19"/>
  <c r="K55" i="19"/>
  <c r="L55" i="19"/>
  <c r="M55" i="19"/>
  <c r="N55" i="19"/>
  <c r="P55" i="19"/>
  <c r="O55" i="19" s="1"/>
  <c r="Q55" i="19"/>
  <c r="S55" i="19"/>
  <c r="V55" i="19"/>
  <c r="Y55" i="19" s="1"/>
  <c r="W55" i="19"/>
  <c r="X55" i="19"/>
  <c r="Z55" i="19"/>
  <c r="AA55" i="19"/>
  <c r="A56" i="19"/>
  <c r="B56" i="19"/>
  <c r="C56" i="19"/>
  <c r="D56" i="19"/>
  <c r="E56" i="19"/>
  <c r="G56" i="19" s="1"/>
  <c r="F56" i="19"/>
  <c r="H56" i="19"/>
  <c r="I56" i="19"/>
  <c r="J56" i="19"/>
  <c r="K56" i="19"/>
  <c r="L56" i="19"/>
  <c r="M56" i="19"/>
  <c r="N56" i="19"/>
  <c r="P56" i="19"/>
  <c r="Q56" i="19"/>
  <c r="O56" i="19" s="1"/>
  <c r="S56" i="19"/>
  <c r="V56" i="19"/>
  <c r="W56" i="19"/>
  <c r="X56" i="19"/>
  <c r="Y56" i="19"/>
  <c r="Z56" i="19"/>
  <c r="AA56" i="19"/>
  <c r="A57" i="19"/>
  <c r="B57" i="19"/>
  <c r="C57" i="19"/>
  <c r="D57" i="19"/>
  <c r="G57" i="19" s="1"/>
  <c r="E57" i="19"/>
  <c r="F57" i="19"/>
  <c r="H57" i="19"/>
  <c r="I57" i="19"/>
  <c r="J57" i="19"/>
  <c r="K57" i="19"/>
  <c r="L57" i="19"/>
  <c r="M57" i="19"/>
  <c r="N57" i="19"/>
  <c r="P57" i="19"/>
  <c r="O57" i="19" s="1"/>
  <c r="Q57" i="19"/>
  <c r="S57" i="19"/>
  <c r="V57" i="19"/>
  <c r="Y57" i="19" s="1"/>
  <c r="W57" i="19"/>
  <c r="X57" i="19"/>
  <c r="Z57" i="19"/>
  <c r="AA57" i="19"/>
  <c r="A58" i="19"/>
  <c r="B58" i="19"/>
  <c r="C58" i="19"/>
  <c r="D58" i="19"/>
  <c r="E58" i="19"/>
  <c r="F58" i="19"/>
  <c r="G58" i="19"/>
  <c r="T58" i="19" s="1"/>
  <c r="H58" i="19"/>
  <c r="I58" i="19"/>
  <c r="J58" i="19"/>
  <c r="K58" i="19"/>
  <c r="L58" i="19"/>
  <c r="M58" i="19"/>
  <c r="N58" i="19"/>
  <c r="O58" i="19"/>
  <c r="P58" i="19"/>
  <c r="Q58" i="19"/>
  <c r="S58" i="19"/>
  <c r="V58" i="19"/>
  <c r="W58" i="19"/>
  <c r="Y58" i="19" s="1"/>
  <c r="X58" i="19"/>
  <c r="Z58" i="19"/>
  <c r="AA58" i="19"/>
  <c r="A59" i="19"/>
  <c r="B59" i="19"/>
  <c r="C59" i="19"/>
  <c r="D59" i="19"/>
  <c r="G59" i="19" s="1"/>
  <c r="E59" i="19"/>
  <c r="F59" i="19"/>
  <c r="H59" i="19"/>
  <c r="I59" i="19"/>
  <c r="J59" i="19"/>
  <c r="K59" i="19"/>
  <c r="L59" i="19"/>
  <c r="M59" i="19"/>
  <c r="N59" i="19"/>
  <c r="P59" i="19"/>
  <c r="O59" i="19" s="1"/>
  <c r="Q59" i="19"/>
  <c r="S59" i="19"/>
  <c r="T59" i="19"/>
  <c r="V59" i="19"/>
  <c r="Y59" i="19" s="1"/>
  <c r="W59" i="19"/>
  <c r="X59" i="19"/>
  <c r="Z59" i="19"/>
  <c r="AA59" i="19"/>
  <c r="A60" i="19"/>
  <c r="B60" i="19"/>
  <c r="C60" i="19"/>
  <c r="D60" i="19"/>
  <c r="E60" i="19"/>
  <c r="G60" i="19" s="1"/>
  <c r="F60" i="19"/>
  <c r="H60" i="19"/>
  <c r="I60" i="19"/>
  <c r="J60" i="19"/>
  <c r="K60" i="19"/>
  <c r="L60" i="19"/>
  <c r="M60" i="19"/>
  <c r="N60" i="19"/>
  <c r="P60" i="19"/>
  <c r="Q60" i="19"/>
  <c r="O60" i="19" s="1"/>
  <c r="S60" i="19"/>
  <c r="V60" i="19"/>
  <c r="W60" i="19"/>
  <c r="Y60" i="19" s="1"/>
  <c r="X60" i="19"/>
  <c r="Z60" i="19"/>
  <c r="AA60" i="19"/>
  <c r="A61" i="19"/>
  <c r="B61" i="19"/>
  <c r="C61" i="19"/>
  <c r="D61" i="19"/>
  <c r="G61" i="19" s="1"/>
  <c r="E61" i="19"/>
  <c r="F61" i="19"/>
  <c r="H61" i="19"/>
  <c r="I61" i="19"/>
  <c r="J61" i="19"/>
  <c r="K61" i="19"/>
  <c r="L61" i="19"/>
  <c r="M61" i="19"/>
  <c r="N61" i="19"/>
  <c r="P61" i="19"/>
  <c r="O61" i="19" s="1"/>
  <c r="Q61" i="19"/>
  <c r="S61" i="19"/>
  <c r="V61" i="19"/>
  <c r="Y61" i="19" s="1"/>
  <c r="W61" i="19"/>
  <c r="X61" i="19"/>
  <c r="Z61" i="19"/>
  <c r="AA61" i="19"/>
  <c r="A62" i="19"/>
  <c r="B62" i="19"/>
  <c r="C62" i="19"/>
  <c r="D62" i="19"/>
  <c r="E62" i="19"/>
  <c r="G62" i="19" s="1"/>
  <c r="F62" i="19"/>
  <c r="H62" i="19"/>
  <c r="I62" i="19"/>
  <c r="J62" i="19"/>
  <c r="K62" i="19"/>
  <c r="L62" i="19"/>
  <c r="M62" i="19"/>
  <c r="N62" i="19"/>
  <c r="P62" i="19"/>
  <c r="Q62" i="19"/>
  <c r="O62" i="19" s="1"/>
  <c r="S62" i="19"/>
  <c r="V62" i="19"/>
  <c r="W62" i="19"/>
  <c r="Y62" i="19" s="1"/>
  <c r="X62" i="19"/>
  <c r="Z62" i="19"/>
  <c r="AA62" i="19"/>
  <c r="A63" i="19"/>
  <c r="B63" i="19"/>
  <c r="C63" i="19"/>
  <c r="D63" i="19"/>
  <c r="G63" i="19" s="1"/>
  <c r="T63" i="19" s="1"/>
  <c r="E63" i="19"/>
  <c r="F63" i="19"/>
  <c r="H63" i="19"/>
  <c r="I63" i="19"/>
  <c r="J63" i="19"/>
  <c r="K63" i="19"/>
  <c r="L63" i="19"/>
  <c r="M63" i="19"/>
  <c r="N63" i="19"/>
  <c r="P63" i="19"/>
  <c r="O63" i="19" s="1"/>
  <c r="Q63" i="19"/>
  <c r="S63" i="19"/>
  <c r="V63" i="19"/>
  <c r="W63" i="19"/>
  <c r="X63" i="19"/>
  <c r="Z63" i="19"/>
  <c r="AA63" i="19"/>
  <c r="A64" i="19"/>
  <c r="B64" i="19"/>
  <c r="C64" i="19"/>
  <c r="D64" i="19"/>
  <c r="E64" i="19"/>
  <c r="G64" i="19" s="1"/>
  <c r="F64" i="19"/>
  <c r="H64" i="19"/>
  <c r="I64" i="19"/>
  <c r="J64" i="19"/>
  <c r="K64" i="19"/>
  <c r="L64" i="19"/>
  <c r="M64" i="19"/>
  <c r="N64" i="19"/>
  <c r="R64" i="19" s="1"/>
  <c r="U64" i="19" s="1"/>
  <c r="P64" i="19"/>
  <c r="Q64" i="19"/>
  <c r="O64" i="19" s="1"/>
  <c r="S64" i="19"/>
  <c r="V64" i="19"/>
  <c r="W64" i="19"/>
  <c r="X64" i="19"/>
  <c r="Y64" i="19"/>
  <c r="Z64" i="19"/>
  <c r="AA64" i="19"/>
  <c r="A65" i="19"/>
  <c r="B65" i="19"/>
  <c r="C65" i="19"/>
  <c r="D65" i="19"/>
  <c r="E65" i="19"/>
  <c r="F65" i="19"/>
  <c r="H65" i="19"/>
  <c r="I65" i="19"/>
  <c r="J65" i="19"/>
  <c r="K65" i="19"/>
  <c r="L65" i="19"/>
  <c r="M65" i="19"/>
  <c r="N65" i="19"/>
  <c r="P65" i="19"/>
  <c r="O65" i="19" s="1"/>
  <c r="Q65" i="19"/>
  <c r="S65" i="19"/>
  <c r="V65" i="19"/>
  <c r="Y65" i="19" s="1"/>
  <c r="W65" i="19"/>
  <c r="X65" i="19"/>
  <c r="Z65" i="19"/>
  <c r="AA65" i="19"/>
  <c r="A66" i="19"/>
  <c r="B66" i="19"/>
  <c r="C66" i="19"/>
  <c r="D66" i="19"/>
  <c r="E66" i="19"/>
  <c r="F66" i="19"/>
  <c r="G66" i="19"/>
  <c r="H66" i="19"/>
  <c r="I66" i="19"/>
  <c r="J66" i="19"/>
  <c r="K66" i="19"/>
  <c r="L66" i="19"/>
  <c r="M66" i="19"/>
  <c r="N66" i="19"/>
  <c r="O66" i="19"/>
  <c r="P66" i="19"/>
  <c r="Q66" i="19"/>
  <c r="S66" i="19"/>
  <c r="V66" i="19"/>
  <c r="W66" i="19"/>
  <c r="X66" i="19"/>
  <c r="Y66" i="19"/>
  <c r="Z66" i="19"/>
  <c r="AA66" i="19"/>
  <c r="A67" i="19"/>
  <c r="B67" i="19"/>
  <c r="C67" i="19"/>
  <c r="D67" i="19"/>
  <c r="E67" i="19"/>
  <c r="F67" i="19"/>
  <c r="H67" i="19"/>
  <c r="I67" i="19"/>
  <c r="J67" i="19"/>
  <c r="K67" i="19"/>
  <c r="L67" i="19"/>
  <c r="M67" i="19"/>
  <c r="N67" i="19"/>
  <c r="P67" i="19"/>
  <c r="O67" i="19" s="1"/>
  <c r="Q67" i="19"/>
  <c r="S67" i="19"/>
  <c r="V67" i="19"/>
  <c r="Y67" i="19" s="1"/>
  <c r="W67" i="19"/>
  <c r="X67" i="19"/>
  <c r="Z67" i="19"/>
  <c r="AA67" i="19"/>
  <c r="A68" i="19"/>
  <c r="B68" i="19"/>
  <c r="C68" i="19"/>
  <c r="D68" i="19"/>
  <c r="E68" i="19"/>
  <c r="F68" i="19"/>
  <c r="G68" i="19"/>
  <c r="H68" i="19"/>
  <c r="I68" i="19"/>
  <c r="J68" i="19"/>
  <c r="K68" i="19"/>
  <c r="L68" i="19"/>
  <c r="M68" i="19"/>
  <c r="N68" i="19"/>
  <c r="O68" i="19"/>
  <c r="P68" i="19"/>
  <c r="Q68" i="19"/>
  <c r="S68" i="19"/>
  <c r="V68" i="19"/>
  <c r="W68" i="19"/>
  <c r="X68" i="19"/>
  <c r="Y68" i="19"/>
  <c r="Z68" i="19"/>
  <c r="AA68" i="19"/>
  <c r="A69" i="19"/>
  <c r="B69" i="19"/>
  <c r="C69" i="19"/>
  <c r="D69" i="19"/>
  <c r="E69" i="19"/>
  <c r="F69" i="19"/>
  <c r="H69" i="19"/>
  <c r="I69" i="19"/>
  <c r="J69" i="19"/>
  <c r="K69" i="19"/>
  <c r="L69" i="19"/>
  <c r="M69" i="19"/>
  <c r="N69" i="19"/>
  <c r="P69" i="19"/>
  <c r="O69" i="19" s="1"/>
  <c r="Q69" i="19"/>
  <c r="S69" i="19"/>
  <c r="V69" i="19"/>
  <c r="Y69" i="19" s="1"/>
  <c r="W69" i="19"/>
  <c r="X69" i="19"/>
  <c r="Z69" i="19"/>
  <c r="AA69" i="19"/>
  <c r="A70" i="19"/>
  <c r="B70" i="19"/>
  <c r="C70" i="19"/>
  <c r="D70" i="19"/>
  <c r="E70" i="19"/>
  <c r="F70" i="19"/>
  <c r="G70" i="19"/>
  <c r="H70" i="19"/>
  <c r="I70" i="19"/>
  <c r="J70" i="19"/>
  <c r="K70" i="19"/>
  <c r="L70" i="19"/>
  <c r="M70" i="19"/>
  <c r="N70" i="19"/>
  <c r="O70" i="19"/>
  <c r="P70" i="19"/>
  <c r="Q70" i="19"/>
  <c r="S70" i="19"/>
  <c r="V70" i="19"/>
  <c r="W70" i="19"/>
  <c r="X70" i="19"/>
  <c r="Y70" i="19"/>
  <c r="Z70" i="19"/>
  <c r="AA70" i="19"/>
  <c r="A71" i="19"/>
  <c r="B71" i="19"/>
  <c r="C71" i="19"/>
  <c r="D71" i="19"/>
  <c r="E71" i="19"/>
  <c r="F71" i="19"/>
  <c r="H71" i="19"/>
  <c r="I71" i="19"/>
  <c r="J71" i="19"/>
  <c r="K71" i="19"/>
  <c r="L71" i="19"/>
  <c r="M71" i="19"/>
  <c r="N71" i="19"/>
  <c r="P71" i="19"/>
  <c r="O71" i="19" s="1"/>
  <c r="Q71" i="19"/>
  <c r="S71" i="19"/>
  <c r="V71" i="19"/>
  <c r="Y71" i="19" s="1"/>
  <c r="W71" i="19"/>
  <c r="X71" i="19"/>
  <c r="Z71" i="19"/>
  <c r="AA71" i="19"/>
  <c r="A72" i="19"/>
  <c r="B72" i="19"/>
  <c r="C72" i="19"/>
  <c r="D72" i="19"/>
  <c r="E72" i="19"/>
  <c r="F72" i="19"/>
  <c r="G72" i="19"/>
  <c r="H72" i="19"/>
  <c r="I72" i="19"/>
  <c r="J72" i="19"/>
  <c r="K72" i="19"/>
  <c r="L72" i="19"/>
  <c r="M72" i="19"/>
  <c r="N72" i="19"/>
  <c r="O72" i="19"/>
  <c r="P72" i="19"/>
  <c r="Q72" i="19"/>
  <c r="S72" i="19"/>
  <c r="V72" i="19"/>
  <c r="W72" i="19"/>
  <c r="X72" i="19"/>
  <c r="Y72" i="19"/>
  <c r="Z72" i="19"/>
  <c r="AA72" i="19"/>
  <c r="A73" i="19"/>
  <c r="B73" i="19"/>
  <c r="C73" i="19"/>
  <c r="D73" i="19"/>
  <c r="E73" i="19"/>
  <c r="F73" i="19"/>
  <c r="H73" i="19"/>
  <c r="I73" i="19"/>
  <c r="J73" i="19"/>
  <c r="K73" i="19"/>
  <c r="L73" i="19"/>
  <c r="M73" i="19"/>
  <c r="N73" i="19"/>
  <c r="P73" i="19"/>
  <c r="O73" i="19" s="1"/>
  <c r="Q73" i="19"/>
  <c r="S73" i="19"/>
  <c r="V73" i="19"/>
  <c r="Y73" i="19" s="1"/>
  <c r="W73" i="19"/>
  <c r="X73" i="19"/>
  <c r="Z73" i="19"/>
  <c r="AA73" i="19"/>
  <c r="A74" i="19"/>
  <c r="B74" i="19"/>
  <c r="C74" i="19"/>
  <c r="D74" i="19"/>
  <c r="E74" i="19"/>
  <c r="F74" i="19"/>
  <c r="G74" i="19"/>
  <c r="H74" i="19"/>
  <c r="I74" i="19"/>
  <c r="J74" i="19"/>
  <c r="K74" i="19"/>
  <c r="L74" i="19"/>
  <c r="M74" i="19"/>
  <c r="N74" i="19"/>
  <c r="O74" i="19"/>
  <c r="P74" i="19"/>
  <c r="Q74" i="19"/>
  <c r="S74" i="19"/>
  <c r="V74" i="19"/>
  <c r="W74" i="19"/>
  <c r="X74" i="19"/>
  <c r="Y74" i="19"/>
  <c r="Z74" i="19"/>
  <c r="AA74" i="19"/>
  <c r="A75" i="19"/>
  <c r="B75" i="19"/>
  <c r="C75" i="19"/>
  <c r="D75" i="19"/>
  <c r="E75" i="19"/>
  <c r="F75" i="19"/>
  <c r="H75" i="19"/>
  <c r="I75" i="19"/>
  <c r="J75" i="19"/>
  <c r="K75" i="19"/>
  <c r="L75" i="19"/>
  <c r="M75" i="19"/>
  <c r="N75" i="19"/>
  <c r="P75" i="19"/>
  <c r="O75" i="19" s="1"/>
  <c r="Q75" i="19"/>
  <c r="S75" i="19"/>
  <c r="V75" i="19"/>
  <c r="Y75" i="19" s="1"/>
  <c r="W75" i="19"/>
  <c r="X75" i="19"/>
  <c r="Z75" i="19"/>
  <c r="AA75" i="19"/>
  <c r="A76" i="19"/>
  <c r="B76" i="19"/>
  <c r="C76" i="19"/>
  <c r="D76" i="19"/>
  <c r="E76" i="19"/>
  <c r="F76" i="19"/>
  <c r="G76" i="19"/>
  <c r="H76" i="19"/>
  <c r="I76" i="19"/>
  <c r="J76" i="19"/>
  <c r="K76" i="19"/>
  <c r="L76" i="19"/>
  <c r="M76" i="19"/>
  <c r="N76" i="19"/>
  <c r="O76" i="19"/>
  <c r="P76" i="19"/>
  <c r="Q76" i="19"/>
  <c r="S76" i="19"/>
  <c r="V76" i="19"/>
  <c r="W76" i="19"/>
  <c r="X76" i="19"/>
  <c r="Y76" i="19"/>
  <c r="Z76" i="19"/>
  <c r="AA76" i="19"/>
  <c r="A77" i="19"/>
  <c r="B77" i="19"/>
  <c r="C77" i="19"/>
  <c r="D77" i="19"/>
  <c r="E77" i="19"/>
  <c r="F77" i="19"/>
  <c r="H77" i="19"/>
  <c r="I77" i="19"/>
  <c r="J77" i="19"/>
  <c r="K77" i="19"/>
  <c r="L77" i="19"/>
  <c r="M77" i="19"/>
  <c r="N77" i="19"/>
  <c r="P77" i="19"/>
  <c r="O77" i="19" s="1"/>
  <c r="Q77" i="19"/>
  <c r="S77" i="19"/>
  <c r="V77" i="19"/>
  <c r="Y77" i="19" s="1"/>
  <c r="W77" i="19"/>
  <c r="X77" i="19"/>
  <c r="Z77" i="19"/>
  <c r="AA77" i="19"/>
  <c r="A78" i="19"/>
  <c r="B78" i="19"/>
  <c r="C78" i="19"/>
  <c r="D78" i="19"/>
  <c r="E78" i="19"/>
  <c r="F78" i="19"/>
  <c r="G78" i="19"/>
  <c r="H78" i="19"/>
  <c r="I78" i="19"/>
  <c r="J78" i="19"/>
  <c r="K78" i="19"/>
  <c r="L78" i="19"/>
  <c r="M78" i="19"/>
  <c r="N78" i="19"/>
  <c r="O78" i="19"/>
  <c r="P78" i="19"/>
  <c r="Q78" i="19"/>
  <c r="S78" i="19"/>
  <c r="V78" i="19"/>
  <c r="W78" i="19"/>
  <c r="X78" i="19"/>
  <c r="Y78" i="19"/>
  <c r="Z78" i="19"/>
  <c r="AA78" i="19"/>
  <c r="A79" i="19"/>
  <c r="B79" i="19"/>
  <c r="C79" i="19"/>
  <c r="D79" i="19"/>
  <c r="E79" i="19"/>
  <c r="F79" i="19"/>
  <c r="H79" i="19"/>
  <c r="I79" i="19"/>
  <c r="J79" i="19"/>
  <c r="K79" i="19"/>
  <c r="L79" i="19"/>
  <c r="M79" i="19"/>
  <c r="N79" i="19"/>
  <c r="P79" i="19"/>
  <c r="O79" i="19" s="1"/>
  <c r="Q79" i="19"/>
  <c r="S79" i="19"/>
  <c r="V79" i="19"/>
  <c r="Y79" i="19" s="1"/>
  <c r="W79" i="19"/>
  <c r="X79" i="19"/>
  <c r="Z79" i="19"/>
  <c r="AA79" i="19"/>
  <c r="A80" i="19"/>
  <c r="B80" i="19"/>
  <c r="C80" i="19"/>
  <c r="D80" i="19"/>
  <c r="E80" i="19"/>
  <c r="F80" i="19"/>
  <c r="G80" i="19"/>
  <c r="H80" i="19"/>
  <c r="I80" i="19"/>
  <c r="J80" i="19"/>
  <c r="K80" i="19"/>
  <c r="L80" i="19"/>
  <c r="M80" i="19"/>
  <c r="N80" i="19"/>
  <c r="O80" i="19"/>
  <c r="P80" i="19"/>
  <c r="Q80" i="19"/>
  <c r="S80" i="19"/>
  <c r="V80" i="19"/>
  <c r="W80" i="19"/>
  <c r="X80" i="19"/>
  <c r="Y80" i="19"/>
  <c r="Z80" i="19"/>
  <c r="AA80" i="19"/>
  <c r="A81" i="19"/>
  <c r="B81" i="19"/>
  <c r="C81" i="19"/>
  <c r="D81" i="19"/>
  <c r="E81" i="19"/>
  <c r="F81" i="19"/>
  <c r="H81" i="19"/>
  <c r="I81" i="19"/>
  <c r="J81" i="19"/>
  <c r="K81" i="19"/>
  <c r="L81" i="19"/>
  <c r="M81" i="19"/>
  <c r="N81" i="19"/>
  <c r="P81" i="19"/>
  <c r="O81" i="19" s="1"/>
  <c r="Q81" i="19"/>
  <c r="S81" i="19"/>
  <c r="V81" i="19"/>
  <c r="Y81" i="19" s="1"/>
  <c r="W81" i="19"/>
  <c r="X81" i="19"/>
  <c r="Z81" i="19"/>
  <c r="AA81" i="19"/>
  <c r="A82" i="19"/>
  <c r="B82" i="19"/>
  <c r="C82" i="19"/>
  <c r="D82" i="19"/>
  <c r="E82" i="19"/>
  <c r="F82" i="19"/>
  <c r="G82" i="19"/>
  <c r="H82" i="19"/>
  <c r="I82" i="19"/>
  <c r="J82" i="19"/>
  <c r="K82" i="19"/>
  <c r="L82" i="19"/>
  <c r="M82" i="19"/>
  <c r="N82" i="19"/>
  <c r="O82" i="19"/>
  <c r="P82" i="19"/>
  <c r="Q82" i="19"/>
  <c r="S82" i="19"/>
  <c r="V82" i="19"/>
  <c r="W82" i="19"/>
  <c r="X82" i="19"/>
  <c r="Y82" i="19"/>
  <c r="Z82" i="19"/>
  <c r="AA82" i="19"/>
  <c r="A83" i="19"/>
  <c r="B83" i="19"/>
  <c r="C83" i="19"/>
  <c r="D83" i="19"/>
  <c r="E83" i="19"/>
  <c r="F83" i="19"/>
  <c r="H83" i="19"/>
  <c r="I83" i="19"/>
  <c r="J83" i="19"/>
  <c r="K83" i="19"/>
  <c r="L83" i="19"/>
  <c r="M83" i="19"/>
  <c r="N83" i="19"/>
  <c r="P83" i="19"/>
  <c r="O83" i="19" s="1"/>
  <c r="Q83" i="19"/>
  <c r="S83" i="19"/>
  <c r="V83" i="19"/>
  <c r="Y83" i="19" s="1"/>
  <c r="W83" i="19"/>
  <c r="X83" i="19"/>
  <c r="Z83" i="19"/>
  <c r="AA83" i="19"/>
  <c r="A84" i="19"/>
  <c r="B84" i="19"/>
  <c r="C84" i="19"/>
  <c r="D84" i="19"/>
  <c r="E84" i="19"/>
  <c r="F84" i="19"/>
  <c r="G84" i="19"/>
  <c r="H84" i="19"/>
  <c r="I84" i="19"/>
  <c r="J84" i="19"/>
  <c r="K84" i="19"/>
  <c r="L84" i="19"/>
  <c r="M84" i="19"/>
  <c r="N84" i="19"/>
  <c r="O84" i="19"/>
  <c r="P84" i="19"/>
  <c r="Q84" i="19"/>
  <c r="S84" i="19"/>
  <c r="V84" i="19"/>
  <c r="W84" i="19"/>
  <c r="X84" i="19"/>
  <c r="Y84" i="19"/>
  <c r="Z84" i="19"/>
  <c r="AA84" i="19"/>
  <c r="A85" i="19"/>
  <c r="B85" i="19"/>
  <c r="C85" i="19"/>
  <c r="D85" i="19"/>
  <c r="E85" i="19"/>
  <c r="F85" i="19"/>
  <c r="H85" i="19"/>
  <c r="I85" i="19"/>
  <c r="J85" i="19"/>
  <c r="K85" i="19"/>
  <c r="L85" i="19"/>
  <c r="M85" i="19"/>
  <c r="N85" i="19"/>
  <c r="P85" i="19"/>
  <c r="O85" i="19" s="1"/>
  <c r="Q85" i="19"/>
  <c r="S85" i="19"/>
  <c r="V85" i="19"/>
  <c r="Y85" i="19" s="1"/>
  <c r="W85" i="19"/>
  <c r="X85" i="19"/>
  <c r="Z85" i="19"/>
  <c r="AA85" i="19"/>
  <c r="A86" i="19"/>
  <c r="B86" i="19"/>
  <c r="C86" i="19"/>
  <c r="D86" i="19"/>
  <c r="E86" i="19"/>
  <c r="F86" i="19"/>
  <c r="G86" i="19"/>
  <c r="H86" i="19"/>
  <c r="I86" i="19"/>
  <c r="J86" i="19"/>
  <c r="K86" i="19"/>
  <c r="L86" i="19"/>
  <c r="M86" i="19"/>
  <c r="N86" i="19"/>
  <c r="O86" i="19"/>
  <c r="P86" i="19"/>
  <c r="Q86" i="19"/>
  <c r="S86" i="19"/>
  <c r="V86" i="19"/>
  <c r="W86" i="19"/>
  <c r="X86" i="19"/>
  <c r="Y86" i="19"/>
  <c r="Z86" i="19"/>
  <c r="AA86" i="19"/>
  <c r="A87" i="19"/>
  <c r="B87" i="19"/>
  <c r="C87" i="19"/>
  <c r="D87" i="19"/>
  <c r="E87" i="19"/>
  <c r="F87" i="19"/>
  <c r="H87" i="19"/>
  <c r="I87" i="19"/>
  <c r="J87" i="19"/>
  <c r="K87" i="19"/>
  <c r="L87" i="19"/>
  <c r="M87" i="19"/>
  <c r="N87" i="19"/>
  <c r="P87" i="19"/>
  <c r="O87" i="19" s="1"/>
  <c r="Q87" i="19"/>
  <c r="S87" i="19"/>
  <c r="V87" i="19"/>
  <c r="Y87" i="19" s="1"/>
  <c r="W87" i="19"/>
  <c r="X87" i="19"/>
  <c r="Z87" i="19"/>
  <c r="AA87" i="19"/>
  <c r="A88" i="19"/>
  <c r="B88" i="19"/>
  <c r="C88" i="19"/>
  <c r="D88" i="19"/>
  <c r="E88" i="19"/>
  <c r="F88" i="19"/>
  <c r="G88" i="19"/>
  <c r="H88" i="19"/>
  <c r="I88" i="19"/>
  <c r="J88" i="19"/>
  <c r="K88" i="19"/>
  <c r="L88" i="19"/>
  <c r="M88" i="19"/>
  <c r="N88" i="19"/>
  <c r="O88" i="19"/>
  <c r="P88" i="19"/>
  <c r="Q88" i="19"/>
  <c r="S88" i="19"/>
  <c r="V88" i="19"/>
  <c r="W88" i="19"/>
  <c r="X88" i="19"/>
  <c r="Y88" i="19"/>
  <c r="Z88" i="19"/>
  <c r="AA88" i="19"/>
  <c r="A89" i="19"/>
  <c r="B89" i="19"/>
  <c r="C89" i="19"/>
  <c r="D89" i="19"/>
  <c r="E89" i="19"/>
  <c r="F89" i="19"/>
  <c r="H89" i="19"/>
  <c r="I89" i="19"/>
  <c r="J89" i="19"/>
  <c r="K89" i="19"/>
  <c r="L89" i="19"/>
  <c r="M89" i="19"/>
  <c r="N89" i="19"/>
  <c r="P89" i="19"/>
  <c r="O89" i="19" s="1"/>
  <c r="Q89" i="19"/>
  <c r="S89" i="19"/>
  <c r="V89" i="19"/>
  <c r="Y89" i="19" s="1"/>
  <c r="W89" i="19"/>
  <c r="X89" i="19"/>
  <c r="Z89" i="19"/>
  <c r="AA89" i="19"/>
  <c r="A90" i="19"/>
  <c r="B90" i="19"/>
  <c r="C90" i="19"/>
  <c r="D90" i="19"/>
  <c r="E90" i="19"/>
  <c r="F90" i="19"/>
  <c r="G90" i="19"/>
  <c r="H90" i="19"/>
  <c r="I90" i="19"/>
  <c r="J90" i="19"/>
  <c r="K90" i="19"/>
  <c r="L90" i="19"/>
  <c r="M90" i="19"/>
  <c r="N90" i="19"/>
  <c r="O90" i="19"/>
  <c r="P90" i="19"/>
  <c r="Q90" i="19"/>
  <c r="S90" i="19"/>
  <c r="V90" i="19"/>
  <c r="W90" i="19"/>
  <c r="X90" i="19"/>
  <c r="Y90" i="19"/>
  <c r="Z90" i="19"/>
  <c r="AA90" i="19"/>
  <c r="A91" i="19"/>
  <c r="B91" i="19"/>
  <c r="C91" i="19"/>
  <c r="D91" i="19"/>
  <c r="E91" i="19"/>
  <c r="F91" i="19"/>
  <c r="H91" i="19"/>
  <c r="I91" i="19"/>
  <c r="J91" i="19"/>
  <c r="K91" i="19"/>
  <c r="L91" i="19"/>
  <c r="M91" i="19"/>
  <c r="N91" i="19"/>
  <c r="P91" i="19"/>
  <c r="O91" i="19" s="1"/>
  <c r="Q91" i="19"/>
  <c r="S91" i="19"/>
  <c r="V91" i="19"/>
  <c r="Y91" i="19" s="1"/>
  <c r="W91" i="19"/>
  <c r="X91" i="19"/>
  <c r="Z91" i="19"/>
  <c r="AA91" i="19"/>
  <c r="A92" i="19"/>
  <c r="B92" i="19"/>
  <c r="C92" i="19"/>
  <c r="D92" i="19"/>
  <c r="E92" i="19"/>
  <c r="F92" i="19"/>
  <c r="G92" i="19"/>
  <c r="H92" i="19"/>
  <c r="I92" i="19"/>
  <c r="J92" i="19"/>
  <c r="K92" i="19"/>
  <c r="L92" i="19"/>
  <c r="M92" i="19"/>
  <c r="N92" i="19"/>
  <c r="O92" i="19"/>
  <c r="P92" i="19"/>
  <c r="Q92" i="19"/>
  <c r="S92" i="19"/>
  <c r="V92" i="19"/>
  <c r="W92" i="19"/>
  <c r="X92" i="19"/>
  <c r="Y92" i="19"/>
  <c r="Z92" i="19"/>
  <c r="AA92" i="19"/>
  <c r="A93" i="19"/>
  <c r="B93" i="19"/>
  <c r="C93" i="19"/>
  <c r="D93" i="19"/>
  <c r="E93" i="19"/>
  <c r="F93" i="19"/>
  <c r="H93" i="19"/>
  <c r="I93" i="19"/>
  <c r="J93" i="19"/>
  <c r="K93" i="19"/>
  <c r="L93" i="19"/>
  <c r="M93" i="19"/>
  <c r="N93" i="19"/>
  <c r="P93" i="19"/>
  <c r="O93" i="19" s="1"/>
  <c r="Q93" i="19"/>
  <c r="S93" i="19"/>
  <c r="V93" i="19"/>
  <c r="Y93" i="19" s="1"/>
  <c r="W93" i="19"/>
  <c r="X93" i="19"/>
  <c r="Z93" i="19"/>
  <c r="AA93" i="19"/>
  <c r="A94" i="19"/>
  <c r="B94" i="19"/>
  <c r="C94" i="19"/>
  <c r="D94" i="19"/>
  <c r="E94" i="19"/>
  <c r="F94" i="19"/>
  <c r="G94" i="19"/>
  <c r="H94" i="19"/>
  <c r="I94" i="19"/>
  <c r="J94" i="19"/>
  <c r="K94" i="19"/>
  <c r="L94" i="19"/>
  <c r="M94" i="19"/>
  <c r="N94" i="19"/>
  <c r="O94" i="19"/>
  <c r="P94" i="19"/>
  <c r="Q94" i="19"/>
  <c r="S94" i="19"/>
  <c r="V94" i="19"/>
  <c r="W94" i="19"/>
  <c r="X94" i="19"/>
  <c r="Y94" i="19"/>
  <c r="Z94" i="19"/>
  <c r="AA94" i="19"/>
  <c r="A95" i="19"/>
  <c r="B95" i="19"/>
  <c r="C95" i="19"/>
  <c r="D95" i="19"/>
  <c r="E95" i="19"/>
  <c r="F95" i="19"/>
  <c r="H95" i="19"/>
  <c r="I95" i="19"/>
  <c r="J95" i="19"/>
  <c r="K95" i="19"/>
  <c r="L95" i="19"/>
  <c r="M95" i="19"/>
  <c r="N95" i="19"/>
  <c r="P95" i="19"/>
  <c r="O95" i="19" s="1"/>
  <c r="Q95" i="19"/>
  <c r="S95" i="19"/>
  <c r="V95" i="19"/>
  <c r="Y95" i="19" s="1"/>
  <c r="W95" i="19"/>
  <c r="X95" i="19"/>
  <c r="Z95" i="19"/>
  <c r="AA95" i="19"/>
  <c r="A96" i="19"/>
  <c r="B96" i="19"/>
  <c r="C96" i="19"/>
  <c r="D96" i="19"/>
  <c r="E96" i="19"/>
  <c r="F96" i="19"/>
  <c r="G96" i="19"/>
  <c r="H96" i="19"/>
  <c r="I96" i="19"/>
  <c r="J96" i="19"/>
  <c r="K96" i="19"/>
  <c r="L96" i="19"/>
  <c r="M96" i="19"/>
  <c r="N96" i="19"/>
  <c r="O96" i="19"/>
  <c r="P96" i="19"/>
  <c r="Q96" i="19"/>
  <c r="S96" i="19"/>
  <c r="V96" i="19"/>
  <c r="W96" i="19"/>
  <c r="X96" i="19"/>
  <c r="Y96" i="19"/>
  <c r="Z96" i="19"/>
  <c r="AA96" i="19"/>
  <c r="A97" i="19"/>
  <c r="B97" i="19"/>
  <c r="C97" i="19"/>
  <c r="D97" i="19"/>
  <c r="E97" i="19"/>
  <c r="F97" i="19"/>
  <c r="H97" i="19"/>
  <c r="I97" i="19"/>
  <c r="J97" i="19"/>
  <c r="K97" i="19"/>
  <c r="L97" i="19"/>
  <c r="M97" i="19"/>
  <c r="N97" i="19"/>
  <c r="P97" i="19"/>
  <c r="O97" i="19" s="1"/>
  <c r="Q97" i="19"/>
  <c r="S97" i="19"/>
  <c r="V97" i="19"/>
  <c r="Y97" i="19" s="1"/>
  <c r="W97" i="19"/>
  <c r="X97" i="19"/>
  <c r="Z97" i="19"/>
  <c r="AA97" i="19"/>
  <c r="A98" i="19"/>
  <c r="B98" i="19"/>
  <c r="C98" i="19"/>
  <c r="D98" i="19"/>
  <c r="E98" i="19"/>
  <c r="F98" i="19"/>
  <c r="G98" i="19"/>
  <c r="H98" i="19"/>
  <c r="I98" i="19"/>
  <c r="J98" i="19"/>
  <c r="K98" i="19"/>
  <c r="L98" i="19"/>
  <c r="M98" i="19"/>
  <c r="N98" i="19"/>
  <c r="O98" i="19"/>
  <c r="P98" i="19"/>
  <c r="Q98" i="19"/>
  <c r="S98" i="19"/>
  <c r="V98" i="19"/>
  <c r="W98" i="19"/>
  <c r="X98" i="19"/>
  <c r="Y98" i="19"/>
  <c r="Z98" i="19"/>
  <c r="AA98" i="19"/>
  <c r="A99" i="19"/>
  <c r="B99" i="19"/>
  <c r="C99" i="19"/>
  <c r="D99" i="19"/>
  <c r="E99" i="19"/>
  <c r="F99" i="19"/>
  <c r="H99" i="19"/>
  <c r="I99" i="19"/>
  <c r="J99" i="19"/>
  <c r="K99" i="19"/>
  <c r="L99" i="19"/>
  <c r="M99" i="19"/>
  <c r="N99" i="19"/>
  <c r="P99" i="19"/>
  <c r="O99" i="19" s="1"/>
  <c r="Q99" i="19"/>
  <c r="S99" i="19"/>
  <c r="V99" i="19"/>
  <c r="W99" i="19"/>
  <c r="X99" i="19"/>
  <c r="Y99" i="19" s="1"/>
  <c r="Z99" i="19"/>
  <c r="AA99" i="19"/>
  <c r="A100" i="19"/>
  <c r="B100" i="19"/>
  <c r="C100" i="19"/>
  <c r="D100" i="19"/>
  <c r="E100" i="19"/>
  <c r="G100" i="19" s="1"/>
  <c r="F100" i="19"/>
  <c r="H100" i="19"/>
  <c r="I100" i="19"/>
  <c r="J100" i="19"/>
  <c r="K100" i="19"/>
  <c r="L100" i="19"/>
  <c r="M100" i="19"/>
  <c r="N100" i="19"/>
  <c r="P100" i="19"/>
  <c r="Q100" i="19"/>
  <c r="O100" i="19" s="1"/>
  <c r="S100" i="19"/>
  <c r="V100" i="19"/>
  <c r="Y100" i="19" s="1"/>
  <c r="W100" i="19"/>
  <c r="X100" i="19"/>
  <c r="Z100" i="19"/>
  <c r="AA100" i="19"/>
  <c r="A101" i="19"/>
  <c r="B101" i="19"/>
  <c r="C101" i="19"/>
  <c r="D101" i="19"/>
  <c r="G101" i="19" s="1"/>
  <c r="E101" i="19"/>
  <c r="F101" i="19"/>
  <c r="H101" i="19"/>
  <c r="I101" i="19"/>
  <c r="J101" i="19"/>
  <c r="K101" i="19"/>
  <c r="L101" i="19"/>
  <c r="M101" i="19"/>
  <c r="N101" i="19"/>
  <c r="P101" i="19"/>
  <c r="O101" i="19" s="1"/>
  <c r="Q101" i="19"/>
  <c r="S101" i="19"/>
  <c r="V101" i="19"/>
  <c r="W101" i="19"/>
  <c r="X101" i="19"/>
  <c r="Z101" i="19"/>
  <c r="AA101" i="19"/>
  <c r="A102" i="19"/>
  <c r="B102" i="19"/>
  <c r="C102" i="19"/>
  <c r="D102" i="19"/>
  <c r="E102" i="19"/>
  <c r="F102" i="19"/>
  <c r="G102" i="19"/>
  <c r="H102" i="19"/>
  <c r="I102" i="19"/>
  <c r="J102" i="19"/>
  <c r="K102" i="19"/>
  <c r="L102" i="19"/>
  <c r="M102" i="19"/>
  <c r="N102" i="19"/>
  <c r="O102" i="19"/>
  <c r="P102" i="19"/>
  <c r="Q102" i="19"/>
  <c r="S102" i="19"/>
  <c r="T102" i="19"/>
  <c r="V102" i="19"/>
  <c r="W102" i="19"/>
  <c r="Y102" i="19" s="1"/>
  <c r="X102" i="19"/>
  <c r="Z102" i="19"/>
  <c r="AA102" i="19"/>
  <c r="A103" i="19"/>
  <c r="B103" i="19"/>
  <c r="C103" i="19"/>
  <c r="D103" i="19"/>
  <c r="E103" i="19"/>
  <c r="F103" i="19"/>
  <c r="H103" i="19"/>
  <c r="I103" i="19"/>
  <c r="J103" i="19"/>
  <c r="K103" i="19"/>
  <c r="L103" i="19"/>
  <c r="M103" i="19"/>
  <c r="N103" i="19"/>
  <c r="P103" i="19"/>
  <c r="O103" i="19" s="1"/>
  <c r="Q103" i="19"/>
  <c r="S103" i="19"/>
  <c r="V103" i="19"/>
  <c r="Y103" i="19" s="1"/>
  <c r="W103" i="19"/>
  <c r="X103" i="19"/>
  <c r="Z103" i="19"/>
  <c r="AA103" i="19"/>
  <c r="A104" i="19"/>
  <c r="B104" i="19"/>
  <c r="C104" i="19"/>
  <c r="D104" i="19"/>
  <c r="E104" i="19"/>
  <c r="F104" i="19"/>
  <c r="G104" i="19"/>
  <c r="H104" i="19"/>
  <c r="I104" i="19"/>
  <c r="J104" i="19"/>
  <c r="K104" i="19"/>
  <c r="L104" i="19"/>
  <c r="M104" i="19"/>
  <c r="N104" i="19"/>
  <c r="O104" i="19"/>
  <c r="P104" i="19"/>
  <c r="Q104" i="19"/>
  <c r="S104" i="19"/>
  <c r="V104" i="19"/>
  <c r="W104" i="19"/>
  <c r="X104" i="19"/>
  <c r="Y104" i="19"/>
  <c r="Z104" i="19"/>
  <c r="AA104" i="19"/>
  <c r="A105" i="19"/>
  <c r="B105" i="19"/>
  <c r="C105" i="19"/>
  <c r="D105" i="19"/>
  <c r="E105" i="19"/>
  <c r="F105" i="19"/>
  <c r="G105" i="19" s="1"/>
  <c r="H105" i="19"/>
  <c r="I105" i="19"/>
  <c r="J105" i="19"/>
  <c r="K105" i="19"/>
  <c r="L105" i="19"/>
  <c r="M105" i="19"/>
  <c r="N105" i="19"/>
  <c r="O105" i="19"/>
  <c r="P105" i="19"/>
  <c r="Q105" i="19"/>
  <c r="S105" i="19"/>
  <c r="V105" i="19"/>
  <c r="W105" i="19"/>
  <c r="X105" i="19"/>
  <c r="Z105" i="19"/>
  <c r="AA105" i="19"/>
  <c r="A106" i="19"/>
  <c r="B106" i="19"/>
  <c r="C106" i="19"/>
  <c r="D106" i="19"/>
  <c r="G106" i="19" s="1"/>
  <c r="E106" i="19"/>
  <c r="F106" i="19"/>
  <c r="H106" i="19"/>
  <c r="I106" i="19"/>
  <c r="J106" i="19"/>
  <c r="K106" i="19"/>
  <c r="L106" i="19"/>
  <c r="M106" i="19"/>
  <c r="N106" i="19"/>
  <c r="P106" i="19"/>
  <c r="O106" i="19" s="1"/>
  <c r="Q106" i="19"/>
  <c r="S106" i="19"/>
  <c r="V106" i="19"/>
  <c r="W106" i="19"/>
  <c r="X106" i="19"/>
  <c r="Y106" i="19"/>
  <c r="Z106" i="19"/>
  <c r="AA106" i="19"/>
  <c r="A107" i="19"/>
  <c r="B107" i="19"/>
  <c r="C107" i="19"/>
  <c r="D107" i="19"/>
  <c r="E107" i="19"/>
  <c r="F107" i="19"/>
  <c r="H107" i="19"/>
  <c r="I107" i="19"/>
  <c r="J107" i="19"/>
  <c r="K107" i="19"/>
  <c r="L107" i="19"/>
  <c r="M107" i="19"/>
  <c r="N107" i="19"/>
  <c r="P107" i="19"/>
  <c r="Q107" i="19"/>
  <c r="S107" i="19"/>
  <c r="V107" i="19"/>
  <c r="W107" i="19"/>
  <c r="X107" i="19"/>
  <c r="Y107" i="19"/>
  <c r="Z107" i="19"/>
  <c r="AA107" i="19"/>
  <c r="A108" i="19"/>
  <c r="B108" i="19"/>
  <c r="C108" i="19"/>
  <c r="D108" i="19"/>
  <c r="E108" i="19"/>
  <c r="G108" i="19" s="1"/>
  <c r="T108" i="19" s="1"/>
  <c r="F108" i="19"/>
  <c r="H108" i="19"/>
  <c r="I108" i="19"/>
  <c r="J108" i="19"/>
  <c r="K108" i="19"/>
  <c r="L108" i="19"/>
  <c r="M108" i="19"/>
  <c r="N108" i="19"/>
  <c r="P108" i="19"/>
  <c r="Q108" i="19"/>
  <c r="O108" i="19" s="1"/>
  <c r="R108" i="19"/>
  <c r="U108" i="19" s="1"/>
  <c r="S108" i="19"/>
  <c r="V108" i="19"/>
  <c r="Y108" i="19" s="1"/>
  <c r="W108" i="19"/>
  <c r="X108" i="19"/>
  <c r="Z108" i="19"/>
  <c r="AA108" i="19"/>
  <c r="A109" i="19"/>
  <c r="B109" i="19"/>
  <c r="C109" i="19"/>
  <c r="D109" i="19"/>
  <c r="G109" i="19" s="1"/>
  <c r="E109" i="19"/>
  <c r="F109" i="19"/>
  <c r="H109" i="19"/>
  <c r="I109" i="19"/>
  <c r="J109" i="19"/>
  <c r="K109" i="19"/>
  <c r="L109" i="19"/>
  <c r="M109" i="19"/>
  <c r="N109" i="19"/>
  <c r="P109" i="19"/>
  <c r="O109" i="19" s="1"/>
  <c r="Q109" i="19"/>
  <c r="S109" i="19"/>
  <c r="V109" i="19"/>
  <c r="W109" i="19"/>
  <c r="X109" i="19"/>
  <c r="Z109" i="19"/>
  <c r="AA109" i="19"/>
  <c r="A110" i="19"/>
  <c r="B110" i="19"/>
  <c r="C110" i="19"/>
  <c r="D110" i="19"/>
  <c r="E110" i="19"/>
  <c r="F110" i="19"/>
  <c r="G110" i="19"/>
  <c r="H110" i="19"/>
  <c r="I110" i="19"/>
  <c r="J110" i="19"/>
  <c r="K110" i="19"/>
  <c r="L110" i="19"/>
  <c r="M110" i="19"/>
  <c r="N110" i="19"/>
  <c r="O110" i="19"/>
  <c r="P110" i="19"/>
  <c r="Q110" i="19"/>
  <c r="S110" i="19"/>
  <c r="T110" i="19"/>
  <c r="V110" i="19"/>
  <c r="W110" i="19"/>
  <c r="X110" i="19"/>
  <c r="Z110" i="19"/>
  <c r="AA110" i="19"/>
  <c r="A111" i="19"/>
  <c r="B111" i="19"/>
  <c r="C111" i="19"/>
  <c r="D111" i="19"/>
  <c r="G111" i="19" s="1"/>
  <c r="T111" i="19" s="1"/>
  <c r="E111" i="19"/>
  <c r="F111" i="19"/>
  <c r="H111" i="19"/>
  <c r="I111" i="19"/>
  <c r="J111" i="19"/>
  <c r="K111" i="19"/>
  <c r="L111" i="19"/>
  <c r="M111" i="19"/>
  <c r="N111" i="19"/>
  <c r="P111" i="19"/>
  <c r="Q111" i="19"/>
  <c r="O111" i="19" s="1"/>
  <c r="R111" i="19"/>
  <c r="U111" i="19" s="1"/>
  <c r="S111" i="19"/>
  <c r="V111" i="19"/>
  <c r="Y111" i="19" s="1"/>
  <c r="W111" i="19"/>
  <c r="X111" i="19"/>
  <c r="Z111" i="19"/>
  <c r="AA111" i="19"/>
  <c r="A112" i="19"/>
  <c r="B112" i="19"/>
  <c r="C112" i="19"/>
  <c r="D112" i="19"/>
  <c r="E112" i="19"/>
  <c r="F112" i="19"/>
  <c r="G112" i="19"/>
  <c r="H112" i="19"/>
  <c r="I112" i="19"/>
  <c r="J112" i="19"/>
  <c r="K112" i="19"/>
  <c r="L112" i="19"/>
  <c r="M112" i="19"/>
  <c r="N112" i="19"/>
  <c r="O112" i="19"/>
  <c r="P112" i="19"/>
  <c r="Q112" i="19"/>
  <c r="R112" i="19"/>
  <c r="U112" i="19" s="1"/>
  <c r="S112" i="19"/>
  <c r="V112" i="19"/>
  <c r="Y112" i="19" s="1"/>
  <c r="W112" i="19"/>
  <c r="X112" i="19"/>
  <c r="Z112" i="19"/>
  <c r="AA112" i="19"/>
  <c r="A113" i="19"/>
  <c r="B113" i="19"/>
  <c r="C113" i="19"/>
  <c r="D113" i="19"/>
  <c r="G113" i="19" s="1"/>
  <c r="E113" i="19"/>
  <c r="F113" i="19"/>
  <c r="H113" i="19"/>
  <c r="I113" i="19"/>
  <c r="J113" i="19"/>
  <c r="K113" i="19"/>
  <c r="L113" i="19"/>
  <c r="M113" i="19"/>
  <c r="N113" i="19"/>
  <c r="P113" i="19"/>
  <c r="O113" i="19" s="1"/>
  <c r="Q113" i="19"/>
  <c r="S113" i="19"/>
  <c r="V113" i="19"/>
  <c r="W113" i="19"/>
  <c r="X113" i="19"/>
  <c r="Z113" i="19"/>
  <c r="AA113" i="19"/>
  <c r="A114" i="19"/>
  <c r="B114" i="19"/>
  <c r="C114" i="19"/>
  <c r="D114" i="19"/>
  <c r="G114" i="19" s="1"/>
  <c r="E114" i="19"/>
  <c r="F114" i="19"/>
  <c r="H114" i="19"/>
  <c r="I114" i="19"/>
  <c r="J114" i="19"/>
  <c r="K114" i="19"/>
  <c r="L114" i="19"/>
  <c r="M114" i="19"/>
  <c r="N114" i="19"/>
  <c r="P114" i="19"/>
  <c r="Q114" i="19"/>
  <c r="S114" i="19"/>
  <c r="V114" i="19"/>
  <c r="W114" i="19"/>
  <c r="X114" i="19"/>
  <c r="Y114" i="19"/>
  <c r="Z114" i="19"/>
  <c r="AA114" i="19"/>
  <c r="A115" i="19"/>
  <c r="B115" i="19"/>
  <c r="C115" i="19"/>
  <c r="D115" i="19"/>
  <c r="E115" i="19"/>
  <c r="F115" i="19"/>
  <c r="H115" i="19"/>
  <c r="I115" i="19"/>
  <c r="J115" i="19"/>
  <c r="K115" i="19"/>
  <c r="L115" i="19"/>
  <c r="M115" i="19"/>
  <c r="N115" i="19"/>
  <c r="P115" i="19"/>
  <c r="Q115" i="19"/>
  <c r="O115" i="19" s="1"/>
  <c r="S115" i="19"/>
  <c r="V115" i="19"/>
  <c r="W115" i="19"/>
  <c r="X115" i="19"/>
  <c r="Y115" i="19"/>
  <c r="Z115" i="19"/>
  <c r="AA115" i="19"/>
  <c r="A116" i="19"/>
  <c r="B116" i="19"/>
  <c r="C116" i="19"/>
  <c r="D116" i="19"/>
  <c r="E116" i="19"/>
  <c r="F116" i="19"/>
  <c r="G116" i="19" s="1"/>
  <c r="H116" i="19"/>
  <c r="I116" i="19"/>
  <c r="J116" i="19"/>
  <c r="K116" i="19"/>
  <c r="L116" i="19"/>
  <c r="M116" i="19"/>
  <c r="N116" i="19"/>
  <c r="O116" i="19"/>
  <c r="P116" i="19"/>
  <c r="Q116" i="19"/>
  <c r="S116" i="19"/>
  <c r="V116" i="19"/>
  <c r="Y116" i="19" s="1"/>
  <c r="W116" i="19"/>
  <c r="X116" i="19"/>
  <c r="Z116" i="19"/>
  <c r="AA116" i="19"/>
  <c r="A117" i="19"/>
  <c r="B117" i="19"/>
  <c r="C117" i="19"/>
  <c r="D117" i="19"/>
  <c r="G117" i="19" s="1"/>
  <c r="E117" i="19"/>
  <c r="F117" i="19"/>
  <c r="H117" i="19"/>
  <c r="I117" i="19"/>
  <c r="J117" i="19"/>
  <c r="K117" i="19"/>
  <c r="L117" i="19"/>
  <c r="M117" i="19"/>
  <c r="N117" i="19"/>
  <c r="P117" i="19"/>
  <c r="O117" i="19" s="1"/>
  <c r="Q117" i="19"/>
  <c r="S117" i="19"/>
  <c r="V117" i="19"/>
  <c r="W117" i="19"/>
  <c r="X117" i="19"/>
  <c r="Z117" i="19"/>
  <c r="AA117" i="19"/>
  <c r="A118" i="19"/>
  <c r="B118" i="19"/>
  <c r="C118" i="19"/>
  <c r="D118" i="19"/>
  <c r="G118" i="19" s="1"/>
  <c r="E118" i="19"/>
  <c r="F118" i="19"/>
  <c r="H118" i="19"/>
  <c r="I118" i="19"/>
  <c r="J118" i="19"/>
  <c r="K118" i="19"/>
  <c r="L118" i="19"/>
  <c r="M118" i="19"/>
  <c r="N118" i="19"/>
  <c r="P118" i="19"/>
  <c r="Q118" i="19"/>
  <c r="S118" i="19"/>
  <c r="V118" i="19"/>
  <c r="W118" i="19"/>
  <c r="X118" i="19"/>
  <c r="Y118" i="19"/>
  <c r="Z118" i="19"/>
  <c r="AA118" i="19"/>
  <c r="A119" i="19"/>
  <c r="B119" i="19"/>
  <c r="C119" i="19"/>
  <c r="D119" i="19"/>
  <c r="E119" i="19"/>
  <c r="F119" i="19"/>
  <c r="H119" i="19"/>
  <c r="I119" i="19"/>
  <c r="J119" i="19"/>
  <c r="K119" i="19"/>
  <c r="L119" i="19"/>
  <c r="M119" i="19"/>
  <c r="N119" i="19"/>
  <c r="P119" i="19"/>
  <c r="Q119" i="19"/>
  <c r="O119" i="19" s="1"/>
  <c r="S119" i="19"/>
  <c r="V119" i="19"/>
  <c r="W119" i="19"/>
  <c r="X119" i="19"/>
  <c r="Y119" i="19"/>
  <c r="Z119" i="19"/>
  <c r="AA119" i="19"/>
  <c r="A120" i="19"/>
  <c r="B120" i="19"/>
  <c r="C120" i="19"/>
  <c r="D120" i="19"/>
  <c r="E120" i="19"/>
  <c r="F120" i="19"/>
  <c r="G120" i="19" s="1"/>
  <c r="H120" i="19"/>
  <c r="I120" i="19"/>
  <c r="J120" i="19"/>
  <c r="K120" i="19"/>
  <c r="L120" i="19"/>
  <c r="M120" i="19"/>
  <c r="N120" i="19"/>
  <c r="O120" i="19"/>
  <c r="P120" i="19"/>
  <c r="Q120" i="19"/>
  <c r="S120" i="19"/>
  <c r="V120" i="19"/>
  <c r="Y120" i="19" s="1"/>
  <c r="W120" i="19"/>
  <c r="X120" i="19"/>
  <c r="Z120" i="19"/>
  <c r="AA120" i="19"/>
  <c r="A121" i="19"/>
  <c r="B121" i="19"/>
  <c r="C121" i="19"/>
  <c r="D121" i="19"/>
  <c r="G121" i="19" s="1"/>
  <c r="E121" i="19"/>
  <c r="F121" i="19"/>
  <c r="H121" i="19"/>
  <c r="I121" i="19"/>
  <c r="J121" i="19"/>
  <c r="K121" i="19"/>
  <c r="L121" i="19"/>
  <c r="M121" i="19"/>
  <c r="N121" i="19"/>
  <c r="P121" i="19"/>
  <c r="O121" i="19" s="1"/>
  <c r="Q121" i="19"/>
  <c r="S121" i="19"/>
  <c r="V121" i="19"/>
  <c r="W121" i="19"/>
  <c r="X121" i="19"/>
  <c r="Z121" i="19"/>
  <c r="AA121" i="19"/>
  <c r="A122" i="19"/>
  <c r="B122" i="19"/>
  <c r="C122" i="19"/>
  <c r="D122" i="19"/>
  <c r="G122" i="19" s="1"/>
  <c r="E122" i="19"/>
  <c r="F122" i="19"/>
  <c r="H122" i="19"/>
  <c r="I122" i="19"/>
  <c r="J122" i="19"/>
  <c r="K122" i="19"/>
  <c r="L122" i="19"/>
  <c r="M122" i="19"/>
  <c r="N122" i="19"/>
  <c r="P122" i="19"/>
  <c r="O122" i="19" s="1"/>
  <c r="Q122" i="19"/>
  <c r="S122" i="19"/>
  <c r="V122" i="19"/>
  <c r="W122" i="19"/>
  <c r="X122" i="19"/>
  <c r="Y122" i="19"/>
  <c r="Z122" i="19"/>
  <c r="AA122" i="19"/>
  <c r="A123" i="19"/>
  <c r="B123" i="19"/>
  <c r="C123" i="19"/>
  <c r="D123" i="19"/>
  <c r="E123" i="19"/>
  <c r="F123" i="19"/>
  <c r="H123" i="19"/>
  <c r="I123" i="19"/>
  <c r="J123" i="19"/>
  <c r="K123" i="19"/>
  <c r="L123" i="19"/>
  <c r="M123" i="19"/>
  <c r="N123" i="19"/>
  <c r="P123" i="19"/>
  <c r="Q123" i="19"/>
  <c r="O123" i="19" s="1"/>
  <c r="S123" i="19"/>
  <c r="V123" i="19"/>
  <c r="W123" i="19"/>
  <c r="X123" i="19"/>
  <c r="Y123" i="19"/>
  <c r="Z123" i="19"/>
  <c r="AA123" i="19"/>
  <c r="A124" i="19"/>
  <c r="B124" i="19"/>
  <c r="C124" i="19"/>
  <c r="D124" i="19"/>
  <c r="E124" i="19"/>
  <c r="F124" i="19"/>
  <c r="G124" i="19" s="1"/>
  <c r="H124" i="19"/>
  <c r="I124" i="19"/>
  <c r="J124" i="19"/>
  <c r="K124" i="19"/>
  <c r="L124" i="19"/>
  <c r="M124" i="19"/>
  <c r="N124" i="19"/>
  <c r="O124" i="19"/>
  <c r="P124" i="19"/>
  <c r="Q124" i="19"/>
  <c r="S124" i="19"/>
  <c r="V124" i="19"/>
  <c r="Y124" i="19" s="1"/>
  <c r="W124" i="19"/>
  <c r="X124" i="19"/>
  <c r="Z124" i="19"/>
  <c r="AA124" i="19"/>
  <c r="A125" i="19"/>
  <c r="B125" i="19"/>
  <c r="C125" i="19"/>
  <c r="D125" i="19"/>
  <c r="G125" i="19" s="1"/>
  <c r="E125" i="19"/>
  <c r="F125" i="19"/>
  <c r="H125" i="19"/>
  <c r="I125" i="19"/>
  <c r="J125" i="19"/>
  <c r="K125" i="19"/>
  <c r="L125" i="19"/>
  <c r="M125" i="19"/>
  <c r="N125" i="19"/>
  <c r="P125" i="19"/>
  <c r="O125" i="19" s="1"/>
  <c r="Q125" i="19"/>
  <c r="S125" i="19"/>
  <c r="V125" i="19"/>
  <c r="W125" i="19"/>
  <c r="X125" i="19"/>
  <c r="Z125" i="19"/>
  <c r="AA125" i="19"/>
  <c r="A126" i="19"/>
  <c r="B126" i="19"/>
  <c r="C126" i="19"/>
  <c r="D126" i="19"/>
  <c r="G126" i="19" s="1"/>
  <c r="E126" i="19"/>
  <c r="F126" i="19"/>
  <c r="H126" i="19"/>
  <c r="I126" i="19"/>
  <c r="J126" i="19"/>
  <c r="K126" i="19"/>
  <c r="L126" i="19"/>
  <c r="M126" i="19"/>
  <c r="N126" i="19"/>
  <c r="P126" i="19"/>
  <c r="O126" i="19" s="1"/>
  <c r="Q126" i="19"/>
  <c r="S126" i="19"/>
  <c r="V126" i="19"/>
  <c r="W126" i="19"/>
  <c r="X126" i="19"/>
  <c r="Y126" i="19"/>
  <c r="Z126" i="19"/>
  <c r="AA126" i="19"/>
  <c r="A127" i="19"/>
  <c r="B127" i="19"/>
  <c r="C127" i="19"/>
  <c r="D127" i="19"/>
  <c r="E127" i="19"/>
  <c r="F127" i="19"/>
  <c r="H127" i="19"/>
  <c r="I127" i="19"/>
  <c r="J127" i="19"/>
  <c r="K127" i="19"/>
  <c r="L127" i="19"/>
  <c r="M127" i="19"/>
  <c r="N127" i="19"/>
  <c r="P127" i="19"/>
  <c r="Q127" i="19"/>
  <c r="O127" i="19" s="1"/>
  <c r="S127" i="19"/>
  <c r="V127" i="19"/>
  <c r="W127" i="19"/>
  <c r="X127" i="19"/>
  <c r="Y127" i="19"/>
  <c r="Z127" i="19"/>
  <c r="AA127" i="19"/>
  <c r="A128" i="19"/>
  <c r="B128" i="19"/>
  <c r="C128" i="19"/>
  <c r="D128" i="19"/>
  <c r="E128" i="19"/>
  <c r="F128" i="19"/>
  <c r="G128" i="19" s="1"/>
  <c r="H128" i="19"/>
  <c r="I128" i="19"/>
  <c r="J128" i="19"/>
  <c r="K128" i="19"/>
  <c r="L128" i="19"/>
  <c r="M128" i="19"/>
  <c r="N128" i="19"/>
  <c r="O128" i="19"/>
  <c r="P128" i="19"/>
  <c r="Q128" i="19"/>
  <c r="S128" i="19"/>
  <c r="V128" i="19"/>
  <c r="Y128" i="19" s="1"/>
  <c r="W128" i="19"/>
  <c r="X128" i="19"/>
  <c r="Z128" i="19"/>
  <c r="AA128" i="19"/>
  <c r="A129" i="19"/>
  <c r="B129" i="19"/>
  <c r="C129" i="19"/>
  <c r="D129" i="19"/>
  <c r="G129" i="19" s="1"/>
  <c r="E129" i="19"/>
  <c r="F129" i="19"/>
  <c r="H129" i="19"/>
  <c r="I129" i="19"/>
  <c r="J129" i="19"/>
  <c r="K129" i="19"/>
  <c r="L129" i="19"/>
  <c r="M129" i="19"/>
  <c r="N129" i="19"/>
  <c r="P129" i="19"/>
  <c r="O129" i="19" s="1"/>
  <c r="Q129" i="19"/>
  <c r="S129" i="19"/>
  <c r="V129" i="19"/>
  <c r="W129" i="19"/>
  <c r="X129" i="19"/>
  <c r="Z129" i="19"/>
  <c r="AA129" i="19"/>
  <c r="A130" i="19"/>
  <c r="B130" i="19"/>
  <c r="C130" i="19"/>
  <c r="D130" i="19"/>
  <c r="G130" i="19" s="1"/>
  <c r="E130" i="19"/>
  <c r="F130" i="19"/>
  <c r="H130" i="19"/>
  <c r="I130" i="19"/>
  <c r="J130" i="19"/>
  <c r="K130" i="19"/>
  <c r="L130" i="19"/>
  <c r="M130" i="19"/>
  <c r="N130" i="19"/>
  <c r="P130" i="19"/>
  <c r="O130" i="19" s="1"/>
  <c r="Q130" i="19"/>
  <c r="S130" i="19"/>
  <c r="V130" i="19"/>
  <c r="W130" i="19"/>
  <c r="X130" i="19"/>
  <c r="Y130" i="19"/>
  <c r="Z130" i="19"/>
  <c r="AA130" i="19"/>
  <c r="A131" i="19"/>
  <c r="B131" i="19"/>
  <c r="C131" i="19"/>
  <c r="D131" i="19"/>
  <c r="E131" i="19"/>
  <c r="F131" i="19"/>
  <c r="H131" i="19"/>
  <c r="I131" i="19"/>
  <c r="J131" i="19"/>
  <c r="K131" i="19"/>
  <c r="L131" i="19"/>
  <c r="M131" i="19"/>
  <c r="N131" i="19"/>
  <c r="P131" i="19"/>
  <c r="Q131" i="19"/>
  <c r="O131" i="19" s="1"/>
  <c r="S131" i="19"/>
  <c r="V131" i="19"/>
  <c r="W131" i="19"/>
  <c r="X131" i="19"/>
  <c r="Y131" i="19"/>
  <c r="Z131" i="19"/>
  <c r="AA131" i="19"/>
  <c r="A132" i="19"/>
  <c r="B132" i="19"/>
  <c r="C132" i="19"/>
  <c r="D132" i="19"/>
  <c r="E132" i="19"/>
  <c r="F132" i="19"/>
  <c r="G132" i="19" s="1"/>
  <c r="H132" i="19"/>
  <c r="I132" i="19"/>
  <c r="J132" i="19"/>
  <c r="K132" i="19"/>
  <c r="L132" i="19"/>
  <c r="M132" i="19"/>
  <c r="N132" i="19"/>
  <c r="O132" i="19"/>
  <c r="P132" i="19"/>
  <c r="Q132" i="19"/>
  <c r="S132" i="19"/>
  <c r="V132" i="19"/>
  <c r="Y132" i="19" s="1"/>
  <c r="W132" i="19"/>
  <c r="X132" i="19"/>
  <c r="Z132" i="19"/>
  <c r="AA132" i="19"/>
  <c r="A133" i="19"/>
  <c r="B133" i="19"/>
  <c r="C133" i="19"/>
  <c r="D133" i="19"/>
  <c r="G133" i="19" s="1"/>
  <c r="E133" i="19"/>
  <c r="F133" i="19"/>
  <c r="H133" i="19"/>
  <c r="I133" i="19"/>
  <c r="J133" i="19"/>
  <c r="K133" i="19"/>
  <c r="L133" i="19"/>
  <c r="M133" i="19"/>
  <c r="N133" i="19"/>
  <c r="P133" i="19"/>
  <c r="O133" i="19" s="1"/>
  <c r="Q133" i="19"/>
  <c r="S133" i="19"/>
  <c r="V133" i="19"/>
  <c r="W133" i="19"/>
  <c r="X133" i="19"/>
  <c r="Y133" i="19"/>
  <c r="Z133" i="19"/>
  <c r="AA133" i="19"/>
  <c r="A134" i="19"/>
  <c r="B134" i="19"/>
  <c r="C134" i="19"/>
  <c r="D134" i="19"/>
  <c r="E134" i="19"/>
  <c r="F134" i="19"/>
  <c r="H134" i="19"/>
  <c r="I134" i="19"/>
  <c r="J134" i="19"/>
  <c r="K134" i="19"/>
  <c r="L134" i="19"/>
  <c r="M134" i="19"/>
  <c r="N134" i="19"/>
  <c r="P134" i="19"/>
  <c r="O134" i="19" s="1"/>
  <c r="Q134" i="19"/>
  <c r="S134" i="19"/>
  <c r="V134" i="19"/>
  <c r="Y134" i="19" s="1"/>
  <c r="W134" i="19"/>
  <c r="X134" i="19"/>
  <c r="Z134" i="19"/>
  <c r="AA134" i="19"/>
  <c r="A135" i="19"/>
  <c r="B135" i="19"/>
  <c r="C135" i="19"/>
  <c r="D135" i="19"/>
  <c r="E135" i="19"/>
  <c r="G135" i="19" s="1"/>
  <c r="F135" i="19"/>
  <c r="H135" i="19"/>
  <c r="I135" i="19"/>
  <c r="J135" i="19"/>
  <c r="K135" i="19"/>
  <c r="L135" i="19"/>
  <c r="M135" i="19"/>
  <c r="N135" i="19"/>
  <c r="P135" i="19"/>
  <c r="Q135" i="19"/>
  <c r="O135" i="19" s="1"/>
  <c r="S135" i="19"/>
  <c r="V135" i="19"/>
  <c r="Y135" i="19" s="1"/>
  <c r="W135" i="19"/>
  <c r="X135" i="19"/>
  <c r="Z135" i="19"/>
  <c r="AA135" i="19"/>
  <c r="A136" i="19"/>
  <c r="B136" i="19"/>
  <c r="C136" i="19"/>
  <c r="D136" i="19"/>
  <c r="E136" i="19"/>
  <c r="F136" i="19"/>
  <c r="G136" i="19"/>
  <c r="T136" i="19" s="1"/>
  <c r="H136" i="19"/>
  <c r="I136" i="19"/>
  <c r="J136" i="19"/>
  <c r="K136" i="19"/>
  <c r="L136" i="19"/>
  <c r="M136" i="19"/>
  <c r="N136" i="19"/>
  <c r="O136" i="19"/>
  <c r="P136" i="19"/>
  <c r="Q136" i="19"/>
  <c r="S136" i="19"/>
  <c r="V136" i="19"/>
  <c r="W136" i="19"/>
  <c r="X136" i="19"/>
  <c r="Z136" i="19"/>
  <c r="AA136" i="19"/>
  <c r="A137" i="19"/>
  <c r="B137" i="19"/>
  <c r="C137" i="19"/>
  <c r="D137" i="19"/>
  <c r="E137" i="19"/>
  <c r="F137" i="19"/>
  <c r="G137" i="19"/>
  <c r="H137" i="19"/>
  <c r="I137" i="19"/>
  <c r="J137" i="19"/>
  <c r="K137" i="19"/>
  <c r="L137" i="19"/>
  <c r="M137" i="19"/>
  <c r="N137" i="19"/>
  <c r="O137" i="19"/>
  <c r="P137" i="19"/>
  <c r="Q137" i="19"/>
  <c r="S137" i="19"/>
  <c r="T137" i="19"/>
  <c r="V137" i="19"/>
  <c r="W137" i="19"/>
  <c r="Y137" i="19" s="1"/>
  <c r="X137" i="19"/>
  <c r="Z137" i="19"/>
  <c r="AA137" i="19"/>
  <c r="A138" i="19"/>
  <c r="B138" i="19"/>
  <c r="C138" i="19"/>
  <c r="D138" i="19"/>
  <c r="G138" i="19" s="1"/>
  <c r="T138" i="19" s="1"/>
  <c r="E138" i="19"/>
  <c r="F138" i="19"/>
  <c r="H138" i="19"/>
  <c r="I138" i="19"/>
  <c r="J138" i="19"/>
  <c r="K138" i="19"/>
  <c r="L138" i="19"/>
  <c r="M138" i="19"/>
  <c r="N138" i="19"/>
  <c r="P138" i="19"/>
  <c r="O138" i="19" s="1"/>
  <c r="Q138" i="19"/>
  <c r="R138" i="19"/>
  <c r="U138" i="19" s="1"/>
  <c r="S138" i="19"/>
  <c r="V138" i="19"/>
  <c r="Y138" i="19" s="1"/>
  <c r="W138" i="19"/>
  <c r="X138" i="19"/>
  <c r="Z138" i="19"/>
  <c r="AA138" i="19"/>
  <c r="A139" i="19"/>
  <c r="B139" i="19"/>
  <c r="C139" i="19"/>
  <c r="D139" i="19"/>
  <c r="E139" i="19"/>
  <c r="F139" i="19"/>
  <c r="G139" i="19"/>
  <c r="H139" i="19"/>
  <c r="I139" i="19"/>
  <c r="J139" i="19"/>
  <c r="K139" i="19"/>
  <c r="L139" i="19"/>
  <c r="M139" i="19"/>
  <c r="N139" i="19"/>
  <c r="O139" i="19"/>
  <c r="P139" i="19"/>
  <c r="Q139" i="19"/>
  <c r="S139" i="19"/>
  <c r="V139" i="19"/>
  <c r="W139" i="19"/>
  <c r="X139" i="19"/>
  <c r="Y139" i="19"/>
  <c r="Z139" i="19"/>
  <c r="AA139" i="19"/>
  <c r="A140" i="19"/>
  <c r="B140" i="19"/>
  <c r="C140" i="19"/>
  <c r="D140" i="19"/>
  <c r="E140" i="19"/>
  <c r="F140" i="19"/>
  <c r="G140" i="19" s="1"/>
  <c r="H140" i="19"/>
  <c r="I140" i="19"/>
  <c r="J140" i="19"/>
  <c r="K140" i="19"/>
  <c r="L140" i="19"/>
  <c r="M140" i="19"/>
  <c r="N140" i="19"/>
  <c r="P140" i="19"/>
  <c r="Q140" i="19"/>
  <c r="O140" i="19" s="1"/>
  <c r="S140" i="19"/>
  <c r="V140" i="19"/>
  <c r="W140" i="19"/>
  <c r="X140" i="19"/>
  <c r="Y140" i="19"/>
  <c r="Z140" i="19"/>
  <c r="AA140" i="19"/>
  <c r="A141" i="19"/>
  <c r="B141" i="19"/>
  <c r="C141" i="19"/>
  <c r="D141" i="19"/>
  <c r="E141" i="19"/>
  <c r="F141" i="19"/>
  <c r="G141" i="19" s="1"/>
  <c r="H141" i="19"/>
  <c r="I141" i="19"/>
  <c r="J141" i="19"/>
  <c r="K141" i="19"/>
  <c r="L141" i="19"/>
  <c r="M141" i="19"/>
  <c r="N141" i="19"/>
  <c r="O141" i="19"/>
  <c r="P141" i="19"/>
  <c r="Q141" i="19"/>
  <c r="S141" i="19"/>
  <c r="V141" i="19"/>
  <c r="Y141" i="19" s="1"/>
  <c r="W141" i="19"/>
  <c r="X141" i="19"/>
  <c r="Z141" i="19"/>
  <c r="AA141" i="19"/>
  <c r="A142" i="19"/>
  <c r="B142" i="19"/>
  <c r="C142" i="19"/>
  <c r="D142" i="19"/>
  <c r="E142" i="19"/>
  <c r="F142" i="19"/>
  <c r="G142" i="19"/>
  <c r="T142" i="19" s="1"/>
  <c r="H142" i="19"/>
  <c r="I142" i="19"/>
  <c r="J142" i="19"/>
  <c r="K142" i="19"/>
  <c r="L142" i="19"/>
  <c r="M142" i="19"/>
  <c r="N142" i="19"/>
  <c r="O142" i="19"/>
  <c r="P142" i="19"/>
  <c r="Q142" i="19"/>
  <c r="S142" i="19"/>
  <c r="V142" i="19"/>
  <c r="W142" i="19"/>
  <c r="Y142" i="19" s="1"/>
  <c r="X142" i="19"/>
  <c r="Z142" i="19"/>
  <c r="AA142" i="19"/>
  <c r="A143" i="19"/>
  <c r="B143" i="19"/>
  <c r="C143" i="19"/>
  <c r="D143" i="19"/>
  <c r="G143" i="19" s="1"/>
  <c r="E143" i="19"/>
  <c r="F143" i="19"/>
  <c r="H143" i="19"/>
  <c r="I143" i="19"/>
  <c r="J143" i="19"/>
  <c r="K143" i="19"/>
  <c r="L143" i="19"/>
  <c r="M143" i="19"/>
  <c r="N143" i="19"/>
  <c r="P143" i="19"/>
  <c r="O143" i="19" s="1"/>
  <c r="Q143" i="19"/>
  <c r="S143" i="19"/>
  <c r="V143" i="19"/>
  <c r="W143" i="19"/>
  <c r="X143" i="19"/>
  <c r="Y143" i="19" s="1"/>
  <c r="Z143" i="19"/>
  <c r="AA143" i="19"/>
  <c r="A144" i="19"/>
  <c r="B144" i="19"/>
  <c r="C144" i="19"/>
  <c r="D144" i="19"/>
  <c r="E144" i="19"/>
  <c r="G144" i="19" s="1"/>
  <c r="F144" i="19"/>
  <c r="H144" i="19"/>
  <c r="I144" i="19"/>
  <c r="J144" i="19"/>
  <c r="K144" i="19"/>
  <c r="L144" i="19"/>
  <c r="M144" i="19"/>
  <c r="N144" i="19"/>
  <c r="P144" i="19"/>
  <c r="Q144" i="19"/>
  <c r="O144" i="19" s="1"/>
  <c r="S144" i="19"/>
  <c r="V144" i="19"/>
  <c r="W144" i="19"/>
  <c r="X144" i="19"/>
  <c r="Y144" i="19"/>
  <c r="Z144" i="19"/>
  <c r="AA144" i="19"/>
  <c r="A145" i="19"/>
  <c r="B145" i="19"/>
  <c r="C145" i="19"/>
  <c r="D145" i="19"/>
  <c r="E145" i="19"/>
  <c r="F145" i="19"/>
  <c r="G145" i="19" s="1"/>
  <c r="H145" i="19"/>
  <c r="I145" i="19"/>
  <c r="J145" i="19"/>
  <c r="K145" i="19"/>
  <c r="L145" i="19"/>
  <c r="M145" i="19"/>
  <c r="N145" i="19"/>
  <c r="O145" i="19"/>
  <c r="P145" i="19"/>
  <c r="Q145" i="19"/>
  <c r="S145" i="19"/>
  <c r="V145" i="19"/>
  <c r="Y145" i="19" s="1"/>
  <c r="W145" i="19"/>
  <c r="X145" i="19"/>
  <c r="Z145" i="19"/>
  <c r="AA145" i="19"/>
  <c r="A146" i="19"/>
  <c r="B146" i="19"/>
  <c r="C146" i="19"/>
  <c r="D146" i="19"/>
  <c r="E146" i="19"/>
  <c r="F146" i="19"/>
  <c r="G146" i="19"/>
  <c r="T146" i="19" s="1"/>
  <c r="H146" i="19"/>
  <c r="I146" i="19"/>
  <c r="J146" i="19"/>
  <c r="K146" i="19"/>
  <c r="L146" i="19"/>
  <c r="M146" i="19"/>
  <c r="N146" i="19"/>
  <c r="O146" i="19"/>
  <c r="P146" i="19"/>
  <c r="Q146" i="19"/>
  <c r="S146" i="19"/>
  <c r="V146" i="19"/>
  <c r="W146" i="19"/>
  <c r="Y146" i="19" s="1"/>
  <c r="X146" i="19"/>
  <c r="Z146" i="19"/>
  <c r="AA146" i="19"/>
  <c r="A147" i="19"/>
  <c r="B147" i="19"/>
  <c r="C147" i="19"/>
  <c r="D147" i="19"/>
  <c r="G147" i="19" s="1"/>
  <c r="E147" i="19"/>
  <c r="F147" i="19"/>
  <c r="H147" i="19"/>
  <c r="I147" i="19"/>
  <c r="J147" i="19"/>
  <c r="K147" i="19"/>
  <c r="L147" i="19"/>
  <c r="M147" i="19"/>
  <c r="N147" i="19"/>
  <c r="P147" i="19"/>
  <c r="O147" i="19" s="1"/>
  <c r="Q147" i="19"/>
  <c r="S147" i="19"/>
  <c r="V147" i="19"/>
  <c r="W147" i="19"/>
  <c r="X147" i="19"/>
  <c r="Y147" i="19" s="1"/>
  <c r="Z147" i="19"/>
  <c r="AA147" i="19"/>
  <c r="A148" i="19"/>
  <c r="B148" i="19"/>
  <c r="C148" i="19"/>
  <c r="D148" i="19"/>
  <c r="E148" i="19"/>
  <c r="G148" i="19" s="1"/>
  <c r="F148" i="19"/>
  <c r="H148" i="19"/>
  <c r="I148" i="19"/>
  <c r="J148" i="19"/>
  <c r="K148" i="19"/>
  <c r="L148" i="19"/>
  <c r="M148" i="19"/>
  <c r="N148" i="19"/>
  <c r="P148" i="19"/>
  <c r="Q148" i="19"/>
  <c r="O148" i="19" s="1"/>
  <c r="S148" i="19"/>
  <c r="V148" i="19"/>
  <c r="W148" i="19"/>
  <c r="X148" i="19"/>
  <c r="Y148" i="19"/>
  <c r="Z148" i="19"/>
  <c r="AA148" i="19"/>
  <c r="A149" i="19"/>
  <c r="B149" i="19"/>
  <c r="C149" i="19"/>
  <c r="D149" i="19"/>
  <c r="E149" i="19"/>
  <c r="F149" i="19"/>
  <c r="G149" i="19" s="1"/>
  <c r="H149" i="19"/>
  <c r="I149" i="19"/>
  <c r="J149" i="19"/>
  <c r="K149" i="19"/>
  <c r="L149" i="19"/>
  <c r="M149" i="19"/>
  <c r="N149" i="19"/>
  <c r="O149" i="19"/>
  <c r="P149" i="19"/>
  <c r="Q149" i="19"/>
  <c r="S149" i="19"/>
  <c r="V149" i="19"/>
  <c r="Y149" i="19" s="1"/>
  <c r="W149" i="19"/>
  <c r="X149" i="19"/>
  <c r="Z149" i="19"/>
  <c r="AA149" i="19"/>
  <c r="A150" i="19"/>
  <c r="B150" i="19"/>
  <c r="C150" i="19"/>
  <c r="D150" i="19"/>
  <c r="E150" i="19"/>
  <c r="F150" i="19"/>
  <c r="G150" i="19"/>
  <c r="T150" i="19" s="1"/>
  <c r="H150" i="19"/>
  <c r="I150" i="19"/>
  <c r="J150" i="19"/>
  <c r="K150" i="19"/>
  <c r="L150" i="19"/>
  <c r="M150" i="19"/>
  <c r="N150" i="19"/>
  <c r="O150" i="19"/>
  <c r="P150" i="19"/>
  <c r="Q150" i="19"/>
  <c r="S150" i="19"/>
  <c r="V150" i="19"/>
  <c r="Y150" i="19" s="1"/>
  <c r="W150" i="19"/>
  <c r="X150" i="19"/>
  <c r="Z150" i="19"/>
  <c r="AA150" i="19"/>
  <c r="A151" i="19"/>
  <c r="B151" i="19"/>
  <c r="C151" i="19"/>
  <c r="D151" i="19"/>
  <c r="G151" i="19" s="1"/>
  <c r="E151" i="19"/>
  <c r="F151" i="19"/>
  <c r="H151" i="19"/>
  <c r="I151" i="19"/>
  <c r="J151" i="19"/>
  <c r="K151" i="19"/>
  <c r="L151" i="19"/>
  <c r="M151" i="19"/>
  <c r="N151" i="19"/>
  <c r="P151" i="19"/>
  <c r="O151" i="19" s="1"/>
  <c r="Q151" i="19"/>
  <c r="S151" i="19"/>
  <c r="V151" i="19"/>
  <c r="W151" i="19"/>
  <c r="X151" i="19"/>
  <c r="Y151" i="19" s="1"/>
  <c r="Z151" i="19"/>
  <c r="AA151" i="19"/>
  <c r="A152" i="19"/>
  <c r="B152" i="19"/>
  <c r="C152" i="19"/>
  <c r="D152" i="19"/>
  <c r="E152" i="19"/>
  <c r="F152" i="19"/>
  <c r="H152" i="19"/>
  <c r="I152" i="19"/>
  <c r="J152" i="19"/>
  <c r="K152" i="19"/>
  <c r="L152" i="19"/>
  <c r="M152" i="19"/>
  <c r="N152" i="19"/>
  <c r="P152" i="19"/>
  <c r="Q152" i="19"/>
  <c r="S152" i="19"/>
  <c r="V152" i="19"/>
  <c r="W152" i="19"/>
  <c r="X152" i="19"/>
  <c r="Y152" i="19"/>
  <c r="Z152" i="19"/>
  <c r="AA152" i="19"/>
  <c r="A153" i="19"/>
  <c r="B153" i="19"/>
  <c r="C153" i="19"/>
  <c r="D153" i="19"/>
  <c r="E153" i="19"/>
  <c r="F153" i="19"/>
  <c r="G153" i="19" s="1"/>
  <c r="T153" i="19" s="1"/>
  <c r="H153" i="19"/>
  <c r="I153" i="19"/>
  <c r="J153" i="19"/>
  <c r="K153" i="19"/>
  <c r="L153" i="19"/>
  <c r="M153" i="19"/>
  <c r="N153" i="19"/>
  <c r="O153" i="19"/>
  <c r="P153" i="19"/>
  <c r="Q153" i="19"/>
  <c r="R153" i="19"/>
  <c r="U153" i="19" s="1"/>
  <c r="S153" i="19"/>
  <c r="V153" i="19"/>
  <c r="Y153" i="19" s="1"/>
  <c r="W153" i="19"/>
  <c r="X153" i="19"/>
  <c r="Z153" i="19"/>
  <c r="AA153" i="19"/>
  <c r="A154" i="19"/>
  <c r="B154" i="19"/>
  <c r="C154" i="19"/>
  <c r="D154" i="19"/>
  <c r="E154" i="19"/>
  <c r="F154" i="19"/>
  <c r="G154" i="19"/>
  <c r="H154" i="19"/>
  <c r="I154" i="19"/>
  <c r="J154" i="19"/>
  <c r="K154" i="19"/>
  <c r="L154" i="19"/>
  <c r="M154" i="19"/>
  <c r="N154" i="19"/>
  <c r="O154" i="19"/>
  <c r="P154" i="19"/>
  <c r="Q154" i="19"/>
  <c r="S154" i="19"/>
  <c r="V154" i="19"/>
  <c r="Y154" i="19" s="1"/>
  <c r="W154" i="19"/>
  <c r="X154" i="19"/>
  <c r="Z154" i="19"/>
  <c r="AA154" i="19"/>
  <c r="A155" i="19"/>
  <c r="B155" i="19"/>
  <c r="C155" i="19"/>
  <c r="D155" i="19"/>
  <c r="G155" i="19" s="1"/>
  <c r="R155" i="19" s="1"/>
  <c r="U155" i="19" s="1"/>
  <c r="E155" i="19"/>
  <c r="F155" i="19"/>
  <c r="H155" i="19"/>
  <c r="I155" i="19"/>
  <c r="J155" i="19"/>
  <c r="K155" i="19"/>
  <c r="L155" i="19"/>
  <c r="M155" i="19"/>
  <c r="N155" i="19"/>
  <c r="P155" i="19"/>
  <c r="O155" i="19" s="1"/>
  <c r="Q155" i="19"/>
  <c r="S155" i="19"/>
  <c r="V155" i="19"/>
  <c r="W155" i="19"/>
  <c r="X155" i="19"/>
  <c r="Y155" i="19" s="1"/>
  <c r="Z155" i="19"/>
  <c r="AA155" i="19"/>
  <c r="A156" i="19"/>
  <c r="B156" i="19"/>
  <c r="C156" i="19"/>
  <c r="D156" i="19"/>
  <c r="E156" i="19"/>
  <c r="F156" i="19"/>
  <c r="H156" i="19"/>
  <c r="I156" i="19"/>
  <c r="J156" i="19"/>
  <c r="K156" i="19"/>
  <c r="L156" i="19"/>
  <c r="M156" i="19"/>
  <c r="N156" i="19"/>
  <c r="P156" i="19"/>
  <c r="O156" i="19" s="1"/>
  <c r="Q156" i="19"/>
  <c r="S156" i="19"/>
  <c r="V156" i="19"/>
  <c r="W156" i="19"/>
  <c r="X156" i="19"/>
  <c r="Y156" i="19"/>
  <c r="Z156" i="19"/>
  <c r="AA156" i="19"/>
  <c r="A157" i="19"/>
  <c r="B157" i="19"/>
  <c r="C157" i="19"/>
  <c r="D157" i="19"/>
  <c r="E157" i="19"/>
  <c r="F157" i="19"/>
  <c r="G157" i="19" s="1"/>
  <c r="T157" i="19" s="1"/>
  <c r="H157" i="19"/>
  <c r="I157" i="19"/>
  <c r="J157" i="19"/>
  <c r="K157" i="19"/>
  <c r="L157" i="19"/>
  <c r="M157" i="19"/>
  <c r="N157" i="19"/>
  <c r="O157" i="19"/>
  <c r="P157" i="19"/>
  <c r="Q157" i="19"/>
  <c r="S157" i="19"/>
  <c r="V157" i="19"/>
  <c r="Y157" i="19" s="1"/>
  <c r="W157" i="19"/>
  <c r="X157" i="19"/>
  <c r="Z157" i="19"/>
  <c r="AA157" i="19"/>
  <c r="A158" i="19"/>
  <c r="B158" i="19"/>
  <c r="C158" i="19"/>
  <c r="D158" i="19"/>
  <c r="E158" i="19"/>
  <c r="F158" i="19"/>
  <c r="G158" i="19"/>
  <c r="H158" i="19"/>
  <c r="I158" i="19"/>
  <c r="J158" i="19"/>
  <c r="K158" i="19"/>
  <c r="L158" i="19"/>
  <c r="M158" i="19"/>
  <c r="N158" i="19"/>
  <c r="O158" i="19"/>
  <c r="P158" i="19"/>
  <c r="Q158" i="19"/>
  <c r="S158" i="19"/>
  <c r="V158" i="19"/>
  <c r="Y158" i="19" s="1"/>
  <c r="W158" i="19"/>
  <c r="X158" i="19"/>
  <c r="Z158" i="19"/>
  <c r="AA158" i="19"/>
  <c r="A159" i="19"/>
  <c r="B159" i="19"/>
  <c r="C159" i="19"/>
  <c r="D159" i="19"/>
  <c r="G159" i="19" s="1"/>
  <c r="R159" i="19" s="1"/>
  <c r="U159" i="19" s="1"/>
  <c r="E159" i="19"/>
  <c r="F159" i="19"/>
  <c r="H159" i="19"/>
  <c r="I159" i="19"/>
  <c r="J159" i="19"/>
  <c r="K159" i="19"/>
  <c r="L159" i="19"/>
  <c r="M159" i="19"/>
  <c r="N159" i="19"/>
  <c r="P159" i="19"/>
  <c r="O159" i="19" s="1"/>
  <c r="Q159" i="19"/>
  <c r="S159" i="19"/>
  <c r="V159" i="19"/>
  <c r="W159" i="19"/>
  <c r="X159" i="19"/>
  <c r="Y159" i="19" s="1"/>
  <c r="Z159" i="19"/>
  <c r="AA159" i="19"/>
  <c r="A160" i="19"/>
  <c r="B160" i="19"/>
  <c r="C160" i="19"/>
  <c r="D160" i="19"/>
  <c r="E160" i="19"/>
  <c r="G160" i="19" s="1"/>
  <c r="F160" i="19"/>
  <c r="H160" i="19"/>
  <c r="I160" i="19"/>
  <c r="J160" i="19"/>
  <c r="K160" i="19"/>
  <c r="L160" i="19"/>
  <c r="M160" i="19"/>
  <c r="N160" i="19"/>
  <c r="P160" i="19"/>
  <c r="Q160" i="19"/>
  <c r="O160" i="19" s="1"/>
  <c r="S160" i="19"/>
  <c r="V160" i="19"/>
  <c r="W160" i="19"/>
  <c r="X160" i="19"/>
  <c r="Y160" i="19"/>
  <c r="Z160" i="19"/>
  <c r="AA160" i="19"/>
  <c r="A161" i="19"/>
  <c r="B161" i="19"/>
  <c r="C161" i="19"/>
  <c r="D161" i="19"/>
  <c r="E161" i="19"/>
  <c r="F161" i="19"/>
  <c r="G161" i="19" s="1"/>
  <c r="T161" i="19" s="1"/>
  <c r="H161" i="19"/>
  <c r="I161" i="19"/>
  <c r="J161" i="19"/>
  <c r="K161" i="19"/>
  <c r="L161" i="19"/>
  <c r="M161" i="19"/>
  <c r="N161" i="19"/>
  <c r="O161" i="19"/>
  <c r="P161" i="19"/>
  <c r="Q161" i="19"/>
  <c r="S161" i="19"/>
  <c r="V161" i="19"/>
  <c r="Y161" i="19" s="1"/>
  <c r="W161" i="19"/>
  <c r="X161" i="19"/>
  <c r="Z161" i="19"/>
  <c r="AA161" i="19"/>
  <c r="A162" i="19"/>
  <c r="B162" i="19"/>
  <c r="C162" i="19"/>
  <c r="D162" i="19"/>
  <c r="E162" i="19"/>
  <c r="F162" i="19"/>
  <c r="G162" i="19"/>
  <c r="H162" i="19"/>
  <c r="I162" i="19"/>
  <c r="J162" i="19"/>
  <c r="K162" i="19"/>
  <c r="L162" i="19"/>
  <c r="M162" i="19"/>
  <c r="N162" i="19"/>
  <c r="O162" i="19"/>
  <c r="P162" i="19"/>
  <c r="Q162" i="19"/>
  <c r="S162" i="19"/>
  <c r="V162" i="19"/>
  <c r="W162" i="19"/>
  <c r="X162" i="19"/>
  <c r="Z162" i="19"/>
  <c r="AA162" i="19"/>
  <c r="A163" i="19"/>
  <c r="B163" i="19"/>
  <c r="C163" i="19"/>
  <c r="D163" i="19"/>
  <c r="G163" i="19" s="1"/>
  <c r="R163" i="19" s="1"/>
  <c r="U163" i="19" s="1"/>
  <c r="E163" i="19"/>
  <c r="F163" i="19"/>
  <c r="H163" i="19"/>
  <c r="I163" i="19"/>
  <c r="J163" i="19"/>
  <c r="K163" i="19"/>
  <c r="L163" i="19"/>
  <c r="M163" i="19"/>
  <c r="N163" i="19"/>
  <c r="P163" i="19"/>
  <c r="O163" i="19" s="1"/>
  <c r="Q163" i="19"/>
  <c r="S163" i="19"/>
  <c r="T163" i="19"/>
  <c r="V163" i="19"/>
  <c r="W163" i="19"/>
  <c r="X163" i="19"/>
  <c r="Y163" i="19" s="1"/>
  <c r="Z163" i="19"/>
  <c r="AA163" i="19"/>
  <c r="A164" i="19"/>
  <c r="B164" i="19"/>
  <c r="C164" i="19"/>
  <c r="D164" i="19"/>
  <c r="E164" i="19"/>
  <c r="G164" i="19" s="1"/>
  <c r="F164" i="19"/>
  <c r="H164" i="19"/>
  <c r="I164" i="19"/>
  <c r="J164" i="19"/>
  <c r="K164" i="19"/>
  <c r="L164" i="19"/>
  <c r="M164" i="19"/>
  <c r="N164" i="19"/>
  <c r="P164" i="19"/>
  <c r="Q164" i="19"/>
  <c r="O164" i="19" s="1"/>
  <c r="S164" i="19"/>
  <c r="V164" i="19"/>
  <c r="W164" i="19"/>
  <c r="X164" i="19"/>
  <c r="Y164" i="19"/>
  <c r="Z164" i="19"/>
  <c r="AA164" i="19"/>
  <c r="A165" i="19"/>
  <c r="B165" i="19"/>
  <c r="C165" i="19"/>
  <c r="D165" i="19"/>
  <c r="E165" i="19"/>
  <c r="F165" i="19"/>
  <c r="G165" i="19" s="1"/>
  <c r="T165" i="19" s="1"/>
  <c r="H165" i="19"/>
  <c r="I165" i="19"/>
  <c r="J165" i="19"/>
  <c r="K165" i="19"/>
  <c r="L165" i="19"/>
  <c r="M165" i="19"/>
  <c r="N165" i="19"/>
  <c r="O165" i="19"/>
  <c r="P165" i="19"/>
  <c r="Q165" i="19"/>
  <c r="S165" i="19"/>
  <c r="V165" i="19"/>
  <c r="Y165" i="19" s="1"/>
  <c r="W165" i="19"/>
  <c r="X165" i="19"/>
  <c r="Z165" i="19"/>
  <c r="AA165" i="19"/>
  <c r="A166" i="19"/>
  <c r="B166" i="19"/>
  <c r="C166" i="19"/>
  <c r="D166" i="19"/>
  <c r="E166" i="19"/>
  <c r="F166" i="19"/>
  <c r="G166" i="19"/>
  <c r="H166" i="19"/>
  <c r="I166" i="19"/>
  <c r="J166" i="19"/>
  <c r="K166" i="19"/>
  <c r="L166" i="19"/>
  <c r="M166" i="19"/>
  <c r="N166" i="19"/>
  <c r="O166" i="19"/>
  <c r="P166" i="19"/>
  <c r="Q166" i="19"/>
  <c r="S166" i="19"/>
  <c r="V166" i="19"/>
  <c r="W166" i="19"/>
  <c r="Y166" i="19" s="1"/>
  <c r="X166" i="19"/>
  <c r="Z166" i="19"/>
  <c r="AA166" i="19"/>
  <c r="A167" i="19"/>
  <c r="B167" i="19"/>
  <c r="C167" i="19"/>
  <c r="D167" i="19"/>
  <c r="G167" i="19" s="1"/>
  <c r="T167" i="19" s="1"/>
  <c r="E167" i="19"/>
  <c r="F167" i="19"/>
  <c r="H167" i="19"/>
  <c r="I167" i="19"/>
  <c r="J167" i="19"/>
  <c r="K167" i="19"/>
  <c r="L167" i="19"/>
  <c r="M167" i="19"/>
  <c r="N167" i="19"/>
  <c r="P167" i="19"/>
  <c r="O167" i="19" s="1"/>
  <c r="Q167" i="19"/>
  <c r="S167" i="19"/>
  <c r="V167" i="19"/>
  <c r="W167" i="19"/>
  <c r="X167" i="19"/>
  <c r="Y167" i="19" s="1"/>
  <c r="Z167" i="19"/>
  <c r="AA167" i="19"/>
  <c r="A168" i="19"/>
  <c r="B168" i="19"/>
  <c r="C168" i="19"/>
  <c r="D168" i="19"/>
  <c r="E168" i="19"/>
  <c r="F168" i="19"/>
  <c r="H168" i="19"/>
  <c r="I168" i="19"/>
  <c r="J168" i="19"/>
  <c r="K168" i="19"/>
  <c r="L168" i="19"/>
  <c r="M168" i="19"/>
  <c r="N168" i="19"/>
  <c r="P168" i="19"/>
  <c r="O168" i="19" s="1"/>
  <c r="Q168" i="19"/>
  <c r="S168" i="19"/>
  <c r="V168" i="19"/>
  <c r="W168" i="19"/>
  <c r="X168" i="19"/>
  <c r="Y168" i="19"/>
  <c r="Z168" i="19"/>
  <c r="AA168" i="19"/>
  <c r="A169" i="19"/>
  <c r="B169" i="19"/>
  <c r="C169" i="19"/>
  <c r="D169" i="19"/>
  <c r="E169" i="19"/>
  <c r="F169" i="19"/>
  <c r="G169" i="19" s="1"/>
  <c r="H169" i="19"/>
  <c r="I169" i="19"/>
  <c r="J169" i="19"/>
  <c r="K169" i="19"/>
  <c r="L169" i="19"/>
  <c r="M169" i="19"/>
  <c r="N169" i="19"/>
  <c r="O169" i="19"/>
  <c r="P169" i="19"/>
  <c r="Q169" i="19"/>
  <c r="S169" i="19"/>
  <c r="V169" i="19"/>
  <c r="Y169" i="19" s="1"/>
  <c r="W169" i="19"/>
  <c r="X169" i="19"/>
  <c r="Z169" i="19"/>
  <c r="AA169" i="19"/>
  <c r="A170" i="19"/>
  <c r="B170" i="19"/>
  <c r="C170" i="19"/>
  <c r="D170" i="19"/>
  <c r="G170" i="19" s="1"/>
  <c r="E170" i="19"/>
  <c r="F170" i="19"/>
  <c r="H170" i="19"/>
  <c r="I170" i="19"/>
  <c r="J170" i="19"/>
  <c r="K170" i="19"/>
  <c r="L170" i="19"/>
  <c r="M170" i="19"/>
  <c r="N170" i="19"/>
  <c r="P170" i="19"/>
  <c r="O170" i="19" s="1"/>
  <c r="Q170" i="19"/>
  <c r="S170" i="19"/>
  <c r="V170" i="19"/>
  <c r="W170" i="19"/>
  <c r="X170" i="19"/>
  <c r="Z170" i="19"/>
  <c r="AA170" i="19"/>
  <c r="A171" i="19"/>
  <c r="B171" i="19"/>
  <c r="C171" i="19"/>
  <c r="D171" i="19"/>
  <c r="G171" i="19" s="1"/>
  <c r="T171" i="19" s="1"/>
  <c r="E171" i="19"/>
  <c r="F171" i="19"/>
  <c r="H171" i="19"/>
  <c r="I171" i="19"/>
  <c r="J171" i="19"/>
  <c r="K171" i="19"/>
  <c r="L171" i="19"/>
  <c r="M171" i="19"/>
  <c r="N171" i="19"/>
  <c r="P171" i="19"/>
  <c r="O171" i="19" s="1"/>
  <c r="Q171" i="19"/>
  <c r="S171" i="19"/>
  <c r="V171" i="19"/>
  <c r="W171" i="19"/>
  <c r="X171" i="19"/>
  <c r="Y171" i="19"/>
  <c r="Z171" i="19"/>
  <c r="AA171" i="19"/>
  <c r="A172" i="19"/>
  <c r="B172" i="19"/>
  <c r="C172" i="19"/>
  <c r="D172" i="19"/>
  <c r="E172" i="19"/>
  <c r="F172" i="19"/>
  <c r="H172" i="19"/>
  <c r="I172" i="19"/>
  <c r="J172" i="19"/>
  <c r="K172" i="19"/>
  <c r="L172" i="19"/>
  <c r="M172" i="19"/>
  <c r="N172" i="19"/>
  <c r="P172" i="19"/>
  <c r="Q172" i="19"/>
  <c r="O172" i="19" s="1"/>
  <c r="S172" i="19"/>
  <c r="V172" i="19"/>
  <c r="W172" i="19"/>
  <c r="X172" i="19"/>
  <c r="Y172" i="19"/>
  <c r="Z172" i="19"/>
  <c r="AA172" i="19"/>
  <c r="A173" i="19"/>
  <c r="B173" i="19"/>
  <c r="C173" i="19"/>
  <c r="D173" i="19"/>
  <c r="E173" i="19"/>
  <c r="F173" i="19"/>
  <c r="G173" i="19" s="1"/>
  <c r="H173" i="19"/>
  <c r="I173" i="19"/>
  <c r="J173" i="19"/>
  <c r="K173" i="19"/>
  <c r="L173" i="19"/>
  <c r="M173" i="19"/>
  <c r="N173" i="19"/>
  <c r="O173" i="19"/>
  <c r="P173" i="19"/>
  <c r="Q173" i="19"/>
  <c r="S173" i="19"/>
  <c r="V173" i="19"/>
  <c r="Y173" i="19" s="1"/>
  <c r="W173" i="19"/>
  <c r="X173" i="19"/>
  <c r="Z173" i="19"/>
  <c r="AA173" i="19"/>
  <c r="A174" i="19"/>
  <c r="B174" i="19"/>
  <c r="C174" i="19"/>
  <c r="D174" i="19"/>
  <c r="G174" i="19" s="1"/>
  <c r="E174" i="19"/>
  <c r="F174" i="19"/>
  <c r="H174" i="19"/>
  <c r="I174" i="19"/>
  <c r="J174" i="19"/>
  <c r="K174" i="19"/>
  <c r="L174" i="19"/>
  <c r="M174" i="19"/>
  <c r="N174" i="19"/>
  <c r="P174" i="19"/>
  <c r="O174" i="19" s="1"/>
  <c r="Q174" i="19"/>
  <c r="S174" i="19"/>
  <c r="V174" i="19"/>
  <c r="W174" i="19"/>
  <c r="X174" i="19"/>
  <c r="Z174" i="19"/>
  <c r="AA174" i="19"/>
  <c r="A175" i="19"/>
  <c r="B175" i="19"/>
  <c r="C175" i="19"/>
  <c r="D175" i="19"/>
  <c r="G175" i="19" s="1"/>
  <c r="T175" i="19" s="1"/>
  <c r="E175" i="19"/>
  <c r="F175" i="19"/>
  <c r="H175" i="19"/>
  <c r="I175" i="19"/>
  <c r="J175" i="19"/>
  <c r="K175" i="19"/>
  <c r="L175" i="19"/>
  <c r="M175" i="19"/>
  <c r="N175" i="19"/>
  <c r="P175" i="19"/>
  <c r="O175" i="19" s="1"/>
  <c r="Q175" i="19"/>
  <c r="S175" i="19"/>
  <c r="V175" i="19"/>
  <c r="W175" i="19"/>
  <c r="X175" i="19"/>
  <c r="Y175" i="19"/>
  <c r="Z175" i="19"/>
  <c r="AA175" i="19"/>
  <c r="A176" i="19"/>
  <c r="B176" i="19"/>
  <c r="C176" i="19"/>
  <c r="D176" i="19"/>
  <c r="E176" i="19"/>
  <c r="F176" i="19"/>
  <c r="H176" i="19"/>
  <c r="I176" i="19"/>
  <c r="J176" i="19"/>
  <c r="K176" i="19"/>
  <c r="L176" i="19"/>
  <c r="M176" i="19"/>
  <c r="N176" i="19"/>
  <c r="P176" i="19"/>
  <c r="Q176" i="19"/>
  <c r="O176" i="19" s="1"/>
  <c r="S176" i="19"/>
  <c r="V176" i="19"/>
  <c r="W176" i="19"/>
  <c r="X176" i="19"/>
  <c r="Y176" i="19"/>
  <c r="Z176" i="19"/>
  <c r="AA176" i="19"/>
  <c r="A177" i="19"/>
  <c r="B177" i="19"/>
  <c r="C177" i="19"/>
  <c r="D177" i="19"/>
  <c r="E177" i="19"/>
  <c r="F177" i="19"/>
  <c r="G177" i="19" s="1"/>
  <c r="H177" i="19"/>
  <c r="I177" i="19"/>
  <c r="J177" i="19"/>
  <c r="K177" i="19"/>
  <c r="L177" i="19"/>
  <c r="M177" i="19"/>
  <c r="N177" i="19"/>
  <c r="O177" i="19"/>
  <c r="P177" i="19"/>
  <c r="Q177" i="19"/>
  <c r="S177" i="19"/>
  <c r="V177" i="19"/>
  <c r="W177" i="19"/>
  <c r="X177" i="19"/>
  <c r="Z177" i="19"/>
  <c r="AA177" i="19"/>
  <c r="A178" i="19"/>
  <c r="B178" i="19"/>
  <c r="C178" i="19"/>
  <c r="D178" i="19"/>
  <c r="G178" i="19" s="1"/>
  <c r="E178" i="19"/>
  <c r="F178" i="19"/>
  <c r="H178" i="19"/>
  <c r="I178" i="19"/>
  <c r="J178" i="19"/>
  <c r="K178" i="19"/>
  <c r="L178" i="19"/>
  <c r="M178" i="19"/>
  <c r="N178" i="19"/>
  <c r="P178" i="19"/>
  <c r="O178" i="19" s="1"/>
  <c r="Q178" i="19"/>
  <c r="S178" i="19"/>
  <c r="V178" i="19"/>
  <c r="Y178" i="19" s="1"/>
  <c r="W178" i="19"/>
  <c r="X178" i="19"/>
  <c r="Z178" i="19"/>
  <c r="AA178" i="19"/>
  <c r="A179" i="19"/>
  <c r="B179" i="19"/>
  <c r="C179" i="19"/>
  <c r="D179" i="19"/>
  <c r="E179" i="19"/>
  <c r="F179" i="19"/>
  <c r="G179" i="19"/>
  <c r="T179" i="19" s="1"/>
  <c r="H179" i="19"/>
  <c r="I179" i="19"/>
  <c r="J179" i="19"/>
  <c r="K179" i="19"/>
  <c r="L179" i="19"/>
  <c r="M179" i="19"/>
  <c r="N179" i="19"/>
  <c r="O179" i="19"/>
  <c r="P179" i="19"/>
  <c r="Q179" i="19"/>
  <c r="S179" i="19"/>
  <c r="V179" i="19"/>
  <c r="W179" i="19"/>
  <c r="Y179" i="19" s="1"/>
  <c r="X179" i="19"/>
  <c r="Z179" i="19"/>
  <c r="AA179" i="19"/>
  <c r="A180" i="19"/>
  <c r="B180" i="19"/>
  <c r="C180" i="19"/>
  <c r="D180" i="19"/>
  <c r="G180" i="19" s="1"/>
  <c r="E180" i="19"/>
  <c r="F180" i="19"/>
  <c r="H180" i="19"/>
  <c r="I180" i="19"/>
  <c r="J180" i="19"/>
  <c r="K180" i="19"/>
  <c r="L180" i="19"/>
  <c r="M180" i="19"/>
  <c r="N180" i="19"/>
  <c r="P180" i="19"/>
  <c r="O180" i="19" s="1"/>
  <c r="Q180" i="19"/>
  <c r="S180" i="19"/>
  <c r="V180" i="19"/>
  <c r="Y180" i="19" s="1"/>
  <c r="W180" i="19"/>
  <c r="X180" i="19"/>
  <c r="Z180" i="19"/>
  <c r="AA180" i="19"/>
  <c r="A181" i="19"/>
  <c r="B181" i="19"/>
  <c r="C181" i="19"/>
  <c r="D181" i="19"/>
  <c r="E181" i="19"/>
  <c r="G181" i="19" s="1"/>
  <c r="F181" i="19"/>
  <c r="H181" i="19"/>
  <c r="I181" i="19"/>
  <c r="J181" i="19"/>
  <c r="K181" i="19"/>
  <c r="L181" i="19"/>
  <c r="M181" i="19"/>
  <c r="N181" i="19"/>
  <c r="P181" i="19"/>
  <c r="Q181" i="19"/>
  <c r="O181" i="19" s="1"/>
  <c r="S181" i="19"/>
  <c r="V181" i="19"/>
  <c r="W181" i="19"/>
  <c r="X181" i="19"/>
  <c r="Y181" i="19"/>
  <c r="Z181" i="19"/>
  <c r="AA181" i="19"/>
  <c r="A182" i="19"/>
  <c r="B182" i="19"/>
  <c r="C182" i="19"/>
  <c r="D182" i="19"/>
  <c r="G182" i="19" s="1"/>
  <c r="E182" i="19"/>
  <c r="F182" i="19"/>
  <c r="H182" i="19"/>
  <c r="I182" i="19"/>
  <c r="J182" i="19"/>
  <c r="K182" i="19"/>
  <c r="L182" i="19"/>
  <c r="M182" i="19"/>
  <c r="N182" i="19"/>
  <c r="P182" i="19"/>
  <c r="O182" i="19" s="1"/>
  <c r="Q182" i="19"/>
  <c r="S182" i="19"/>
  <c r="V182" i="19"/>
  <c r="Y182" i="19" s="1"/>
  <c r="W182" i="19"/>
  <c r="X182" i="19"/>
  <c r="Z182" i="19"/>
  <c r="AA182" i="19"/>
  <c r="A183" i="19"/>
  <c r="B183" i="19"/>
  <c r="C183" i="19"/>
  <c r="D183" i="19"/>
  <c r="E183" i="19"/>
  <c r="F183" i="19"/>
  <c r="G183" i="19"/>
  <c r="T183" i="19" s="1"/>
  <c r="H183" i="19"/>
  <c r="I183" i="19"/>
  <c r="J183" i="19"/>
  <c r="K183" i="19"/>
  <c r="L183" i="19"/>
  <c r="M183" i="19"/>
  <c r="N183" i="19"/>
  <c r="O183" i="19"/>
  <c r="P183" i="19"/>
  <c r="Q183" i="19"/>
  <c r="S183" i="19"/>
  <c r="V183" i="19"/>
  <c r="W183" i="19"/>
  <c r="Y183" i="19" s="1"/>
  <c r="X183" i="19"/>
  <c r="Z183" i="19"/>
  <c r="AA183" i="19"/>
  <c r="A184" i="19"/>
  <c r="B184" i="19"/>
  <c r="C184" i="19"/>
  <c r="D184" i="19"/>
  <c r="G184" i="19" s="1"/>
  <c r="E184" i="19"/>
  <c r="F184" i="19"/>
  <c r="H184" i="19"/>
  <c r="I184" i="19"/>
  <c r="J184" i="19"/>
  <c r="K184" i="19"/>
  <c r="L184" i="19"/>
  <c r="M184" i="19"/>
  <c r="N184" i="19"/>
  <c r="P184" i="19"/>
  <c r="O184" i="19" s="1"/>
  <c r="Q184" i="19"/>
  <c r="S184" i="19"/>
  <c r="V184" i="19"/>
  <c r="Y184" i="19" s="1"/>
  <c r="W184" i="19"/>
  <c r="X184" i="19"/>
  <c r="Z184" i="19"/>
  <c r="AA184" i="19"/>
  <c r="A185" i="19"/>
  <c r="B185" i="19"/>
  <c r="C185" i="19"/>
  <c r="D185" i="19"/>
  <c r="E185" i="19"/>
  <c r="G185" i="19" s="1"/>
  <c r="F185" i="19"/>
  <c r="H185" i="19"/>
  <c r="I185" i="19"/>
  <c r="J185" i="19"/>
  <c r="K185" i="19"/>
  <c r="L185" i="19"/>
  <c r="M185" i="19"/>
  <c r="N185" i="19"/>
  <c r="P185" i="19"/>
  <c r="Q185" i="19"/>
  <c r="O185" i="19" s="1"/>
  <c r="S185" i="19"/>
  <c r="V185" i="19"/>
  <c r="W185" i="19"/>
  <c r="X185" i="19"/>
  <c r="Y185" i="19"/>
  <c r="Z185" i="19"/>
  <c r="AA185" i="19"/>
  <c r="A186" i="19"/>
  <c r="B186" i="19"/>
  <c r="C186" i="19"/>
  <c r="D186" i="19"/>
  <c r="G186" i="19" s="1"/>
  <c r="E186" i="19"/>
  <c r="F186" i="19"/>
  <c r="H186" i="19"/>
  <c r="I186" i="19"/>
  <c r="J186" i="19"/>
  <c r="K186" i="19"/>
  <c r="L186" i="19"/>
  <c r="M186" i="19"/>
  <c r="N186" i="19"/>
  <c r="P186" i="19"/>
  <c r="O186" i="19" s="1"/>
  <c r="Q186" i="19"/>
  <c r="S186" i="19"/>
  <c r="V186" i="19"/>
  <c r="Y186" i="19" s="1"/>
  <c r="W186" i="19"/>
  <c r="X186" i="19"/>
  <c r="Z186" i="19"/>
  <c r="AA186" i="19"/>
  <c r="A187" i="19"/>
  <c r="B187" i="19"/>
  <c r="C187" i="19"/>
  <c r="D187" i="19"/>
  <c r="E187" i="19"/>
  <c r="F187" i="19"/>
  <c r="G187" i="19"/>
  <c r="T187" i="19" s="1"/>
  <c r="H187" i="19"/>
  <c r="I187" i="19"/>
  <c r="J187" i="19"/>
  <c r="K187" i="19"/>
  <c r="L187" i="19"/>
  <c r="M187" i="19"/>
  <c r="N187" i="19"/>
  <c r="O187" i="19"/>
  <c r="P187" i="19"/>
  <c r="Q187" i="19"/>
  <c r="S187" i="19"/>
  <c r="V187" i="19"/>
  <c r="W187" i="19"/>
  <c r="Y187" i="19" s="1"/>
  <c r="X187" i="19"/>
  <c r="Z187" i="19"/>
  <c r="AA187" i="19"/>
  <c r="A188" i="19"/>
  <c r="B188" i="19"/>
  <c r="C188" i="19"/>
  <c r="D188" i="19"/>
  <c r="G188" i="19" s="1"/>
  <c r="E188" i="19"/>
  <c r="F188" i="19"/>
  <c r="H188" i="19"/>
  <c r="I188" i="19"/>
  <c r="J188" i="19"/>
  <c r="K188" i="19"/>
  <c r="L188" i="19"/>
  <c r="M188" i="19"/>
  <c r="N188" i="19"/>
  <c r="P188" i="19"/>
  <c r="O188" i="19" s="1"/>
  <c r="Q188" i="19"/>
  <c r="S188" i="19"/>
  <c r="V188" i="19"/>
  <c r="Y188" i="19" s="1"/>
  <c r="W188" i="19"/>
  <c r="X188" i="19"/>
  <c r="Z188" i="19"/>
  <c r="AA188" i="19"/>
  <c r="A189" i="19"/>
  <c r="B189" i="19"/>
  <c r="C189" i="19"/>
  <c r="D189" i="19"/>
  <c r="E189" i="19"/>
  <c r="G189" i="19" s="1"/>
  <c r="F189" i="19"/>
  <c r="H189" i="19"/>
  <c r="I189" i="19"/>
  <c r="J189" i="19"/>
  <c r="K189" i="19"/>
  <c r="L189" i="19"/>
  <c r="M189" i="19"/>
  <c r="N189" i="19"/>
  <c r="P189" i="19"/>
  <c r="Q189" i="19"/>
  <c r="O189" i="19" s="1"/>
  <c r="S189" i="19"/>
  <c r="V189" i="19"/>
  <c r="W189" i="19"/>
  <c r="X189" i="19"/>
  <c r="Y189" i="19"/>
  <c r="Z189" i="19"/>
  <c r="AA189" i="19"/>
  <c r="A190" i="19"/>
  <c r="B190" i="19"/>
  <c r="C190" i="19"/>
  <c r="D190" i="19"/>
  <c r="G190" i="19" s="1"/>
  <c r="E190" i="19"/>
  <c r="F190" i="19"/>
  <c r="H190" i="19"/>
  <c r="I190" i="19"/>
  <c r="J190" i="19"/>
  <c r="K190" i="19"/>
  <c r="L190" i="19"/>
  <c r="M190" i="19"/>
  <c r="N190" i="19"/>
  <c r="P190" i="19"/>
  <c r="O190" i="19" s="1"/>
  <c r="Q190" i="19"/>
  <c r="S190" i="19"/>
  <c r="V190" i="19"/>
  <c r="Y190" i="19" s="1"/>
  <c r="W190" i="19"/>
  <c r="X190" i="19"/>
  <c r="Z190" i="19"/>
  <c r="AA190" i="19"/>
  <c r="A191" i="19"/>
  <c r="B191" i="19"/>
  <c r="C191" i="19"/>
  <c r="D191" i="19"/>
  <c r="E191" i="19"/>
  <c r="F191" i="19"/>
  <c r="G191" i="19"/>
  <c r="T191" i="19" s="1"/>
  <c r="H191" i="19"/>
  <c r="I191" i="19"/>
  <c r="J191" i="19"/>
  <c r="K191" i="19"/>
  <c r="L191" i="19"/>
  <c r="M191" i="19"/>
  <c r="N191" i="19"/>
  <c r="O191" i="19"/>
  <c r="P191" i="19"/>
  <c r="Q191" i="19"/>
  <c r="S191" i="19"/>
  <c r="V191" i="19"/>
  <c r="W191" i="19"/>
  <c r="Y191" i="19" s="1"/>
  <c r="X191" i="19"/>
  <c r="Z191" i="19"/>
  <c r="AA191" i="19"/>
  <c r="A192" i="19"/>
  <c r="B192" i="19"/>
  <c r="C192" i="19"/>
  <c r="D192" i="19"/>
  <c r="G192" i="19" s="1"/>
  <c r="E192" i="19"/>
  <c r="F192" i="19"/>
  <c r="H192" i="19"/>
  <c r="I192" i="19"/>
  <c r="J192" i="19"/>
  <c r="K192" i="19"/>
  <c r="L192" i="19"/>
  <c r="M192" i="19"/>
  <c r="N192" i="19"/>
  <c r="P192" i="19"/>
  <c r="O192" i="19" s="1"/>
  <c r="Q192" i="19"/>
  <c r="S192" i="19"/>
  <c r="V192" i="19"/>
  <c r="Y192" i="19" s="1"/>
  <c r="W192" i="19"/>
  <c r="X192" i="19"/>
  <c r="Z192" i="19"/>
  <c r="AA192" i="19"/>
  <c r="A193" i="19"/>
  <c r="B193" i="19"/>
  <c r="C193" i="19"/>
  <c r="D193" i="19"/>
  <c r="E193" i="19"/>
  <c r="G193" i="19" s="1"/>
  <c r="F193" i="19"/>
  <c r="H193" i="19"/>
  <c r="I193" i="19"/>
  <c r="J193" i="19"/>
  <c r="K193" i="19"/>
  <c r="L193" i="19"/>
  <c r="M193" i="19"/>
  <c r="N193" i="19"/>
  <c r="P193" i="19"/>
  <c r="Q193" i="19"/>
  <c r="O193" i="19" s="1"/>
  <c r="S193" i="19"/>
  <c r="V193" i="19"/>
  <c r="W193" i="19"/>
  <c r="X193" i="19"/>
  <c r="Y193" i="19"/>
  <c r="Z193" i="19"/>
  <c r="AA193" i="19"/>
  <c r="A194" i="19"/>
  <c r="B194" i="19"/>
  <c r="C194" i="19"/>
  <c r="D194" i="19"/>
  <c r="G194" i="19" s="1"/>
  <c r="E194" i="19"/>
  <c r="F194" i="19"/>
  <c r="H194" i="19"/>
  <c r="I194" i="19"/>
  <c r="J194" i="19"/>
  <c r="K194" i="19"/>
  <c r="L194" i="19"/>
  <c r="M194" i="19"/>
  <c r="N194" i="19"/>
  <c r="P194" i="19"/>
  <c r="O194" i="19" s="1"/>
  <c r="Q194" i="19"/>
  <c r="S194" i="19"/>
  <c r="V194" i="19"/>
  <c r="Y194" i="19" s="1"/>
  <c r="W194" i="19"/>
  <c r="X194" i="19"/>
  <c r="Z194" i="19"/>
  <c r="AA194" i="19"/>
  <c r="A195" i="19"/>
  <c r="B195" i="19"/>
  <c r="C195" i="19"/>
  <c r="D195" i="19"/>
  <c r="E195" i="19"/>
  <c r="F195" i="19"/>
  <c r="G195" i="19"/>
  <c r="T195" i="19" s="1"/>
  <c r="H195" i="19"/>
  <c r="I195" i="19"/>
  <c r="J195" i="19"/>
  <c r="K195" i="19"/>
  <c r="L195" i="19"/>
  <c r="M195" i="19"/>
  <c r="N195" i="19"/>
  <c r="O195" i="19"/>
  <c r="P195" i="19"/>
  <c r="Q195" i="19"/>
  <c r="S195" i="19"/>
  <c r="V195" i="19"/>
  <c r="W195" i="19"/>
  <c r="Y195" i="19" s="1"/>
  <c r="X195" i="19"/>
  <c r="Z195" i="19"/>
  <c r="AA195" i="19"/>
  <c r="A196" i="19"/>
  <c r="B196" i="19"/>
  <c r="C196" i="19"/>
  <c r="D196" i="19"/>
  <c r="G196" i="19" s="1"/>
  <c r="E196" i="19"/>
  <c r="F196" i="19"/>
  <c r="H196" i="19"/>
  <c r="I196" i="19"/>
  <c r="J196" i="19"/>
  <c r="K196" i="19"/>
  <c r="L196" i="19"/>
  <c r="M196" i="19"/>
  <c r="N196" i="19"/>
  <c r="P196" i="19"/>
  <c r="O196" i="19" s="1"/>
  <c r="Q196" i="19"/>
  <c r="S196" i="19"/>
  <c r="V196" i="19"/>
  <c r="Y196" i="19" s="1"/>
  <c r="W196" i="19"/>
  <c r="X196" i="19"/>
  <c r="Z196" i="19"/>
  <c r="AA196" i="19"/>
  <c r="A197" i="19"/>
  <c r="B197" i="19"/>
  <c r="C197" i="19"/>
  <c r="D197" i="19"/>
  <c r="E197" i="19"/>
  <c r="G197" i="19" s="1"/>
  <c r="F197" i="19"/>
  <c r="H197" i="19"/>
  <c r="I197" i="19"/>
  <c r="J197" i="19"/>
  <c r="K197" i="19"/>
  <c r="L197" i="19"/>
  <c r="M197" i="19"/>
  <c r="N197" i="19"/>
  <c r="P197" i="19"/>
  <c r="Q197" i="19"/>
  <c r="O197" i="19" s="1"/>
  <c r="S197" i="19"/>
  <c r="V197" i="19"/>
  <c r="W197" i="19"/>
  <c r="X197" i="19"/>
  <c r="Y197" i="19"/>
  <c r="Z197" i="19"/>
  <c r="AA197" i="19"/>
  <c r="A198" i="19"/>
  <c r="B198" i="19"/>
  <c r="C198" i="19"/>
  <c r="D198" i="19"/>
  <c r="G198" i="19" s="1"/>
  <c r="E198" i="19"/>
  <c r="F198" i="19"/>
  <c r="H198" i="19"/>
  <c r="I198" i="19"/>
  <c r="J198" i="19"/>
  <c r="K198" i="19"/>
  <c r="L198" i="19"/>
  <c r="M198" i="19"/>
  <c r="N198" i="19"/>
  <c r="P198" i="19"/>
  <c r="O198" i="19" s="1"/>
  <c r="Q198" i="19"/>
  <c r="S198" i="19"/>
  <c r="V198" i="19"/>
  <c r="Y198" i="19" s="1"/>
  <c r="W198" i="19"/>
  <c r="X198" i="19"/>
  <c r="Z198" i="19"/>
  <c r="AA198" i="19"/>
  <c r="A199" i="19"/>
  <c r="B199" i="19"/>
  <c r="C199" i="19"/>
  <c r="D199" i="19"/>
  <c r="E199" i="19"/>
  <c r="F199" i="19"/>
  <c r="G199" i="19"/>
  <c r="T199" i="19" s="1"/>
  <c r="H199" i="19"/>
  <c r="I199" i="19"/>
  <c r="J199" i="19"/>
  <c r="K199" i="19"/>
  <c r="L199" i="19"/>
  <c r="M199" i="19"/>
  <c r="N199" i="19"/>
  <c r="O199" i="19"/>
  <c r="P199" i="19"/>
  <c r="Q199" i="19"/>
  <c r="S199" i="19"/>
  <c r="V199" i="19"/>
  <c r="W199" i="19"/>
  <c r="Y199" i="19" s="1"/>
  <c r="X199" i="19"/>
  <c r="Z199" i="19"/>
  <c r="AA199" i="19"/>
  <c r="A200" i="19"/>
  <c r="B200" i="19"/>
  <c r="C200" i="19"/>
  <c r="D200" i="19"/>
  <c r="G200" i="19" s="1"/>
  <c r="E200" i="19"/>
  <c r="F200" i="19"/>
  <c r="H200" i="19"/>
  <c r="I200" i="19"/>
  <c r="J200" i="19"/>
  <c r="K200" i="19"/>
  <c r="L200" i="19"/>
  <c r="M200" i="19"/>
  <c r="N200" i="19"/>
  <c r="P200" i="19"/>
  <c r="O200" i="19" s="1"/>
  <c r="Q200" i="19"/>
  <c r="S200" i="19"/>
  <c r="V200" i="19"/>
  <c r="Y200" i="19" s="1"/>
  <c r="W200" i="19"/>
  <c r="X200" i="19"/>
  <c r="Z200" i="19"/>
  <c r="AA200" i="19"/>
  <c r="A201" i="19"/>
  <c r="B201" i="19"/>
  <c r="C201" i="19"/>
  <c r="D201" i="19"/>
  <c r="E201" i="19"/>
  <c r="G201" i="19" s="1"/>
  <c r="F201" i="19"/>
  <c r="H201" i="19"/>
  <c r="I201" i="19"/>
  <c r="J201" i="19"/>
  <c r="K201" i="19"/>
  <c r="L201" i="19"/>
  <c r="M201" i="19"/>
  <c r="N201" i="19"/>
  <c r="P201" i="19"/>
  <c r="Q201" i="19"/>
  <c r="O201" i="19" s="1"/>
  <c r="S201" i="19"/>
  <c r="V201" i="19"/>
  <c r="W201" i="19"/>
  <c r="X201" i="19"/>
  <c r="Y201" i="19"/>
  <c r="Z201" i="19"/>
  <c r="AA201" i="19"/>
  <c r="A202" i="19"/>
  <c r="B202" i="19"/>
  <c r="C202" i="19"/>
  <c r="D202" i="19"/>
  <c r="G202" i="19" s="1"/>
  <c r="E202" i="19"/>
  <c r="F202" i="19"/>
  <c r="H202" i="19"/>
  <c r="I202" i="19"/>
  <c r="J202" i="19"/>
  <c r="K202" i="19"/>
  <c r="L202" i="19"/>
  <c r="M202" i="19"/>
  <c r="N202" i="19"/>
  <c r="P202" i="19"/>
  <c r="O202" i="19" s="1"/>
  <c r="Q202" i="19"/>
  <c r="S202" i="19"/>
  <c r="V202" i="19"/>
  <c r="Y202" i="19" s="1"/>
  <c r="W202" i="19"/>
  <c r="X202" i="19"/>
  <c r="Z202" i="19"/>
  <c r="AA202" i="19"/>
  <c r="A203" i="19"/>
  <c r="B203" i="19"/>
  <c r="C203" i="19"/>
  <c r="D203" i="19"/>
  <c r="E203" i="19"/>
  <c r="F203" i="19"/>
  <c r="G203" i="19"/>
  <c r="T203" i="19" s="1"/>
  <c r="H203" i="19"/>
  <c r="I203" i="19"/>
  <c r="J203" i="19"/>
  <c r="K203" i="19"/>
  <c r="L203" i="19"/>
  <c r="M203" i="19"/>
  <c r="N203" i="19"/>
  <c r="O203" i="19"/>
  <c r="P203" i="19"/>
  <c r="Q203" i="19"/>
  <c r="S203" i="19"/>
  <c r="V203" i="19"/>
  <c r="W203" i="19"/>
  <c r="Y203" i="19" s="1"/>
  <c r="X203" i="19"/>
  <c r="Z203" i="19"/>
  <c r="AA203" i="19"/>
  <c r="A204" i="19"/>
  <c r="B204" i="19"/>
  <c r="C204" i="19"/>
  <c r="D204" i="19"/>
  <c r="G204" i="19" s="1"/>
  <c r="E204" i="19"/>
  <c r="F204" i="19"/>
  <c r="H204" i="19"/>
  <c r="I204" i="19"/>
  <c r="J204" i="19"/>
  <c r="K204" i="19"/>
  <c r="L204" i="19"/>
  <c r="M204" i="19"/>
  <c r="N204" i="19"/>
  <c r="P204" i="19"/>
  <c r="O204" i="19" s="1"/>
  <c r="Q204" i="19"/>
  <c r="S204" i="19"/>
  <c r="V204" i="19"/>
  <c r="Y204" i="19" s="1"/>
  <c r="W204" i="19"/>
  <c r="X204" i="19"/>
  <c r="Z204" i="19"/>
  <c r="AA204" i="19"/>
  <c r="A205" i="19"/>
  <c r="B205" i="19"/>
  <c r="C205" i="19"/>
  <c r="D205" i="19"/>
  <c r="E205" i="19"/>
  <c r="G205" i="19" s="1"/>
  <c r="F205" i="19"/>
  <c r="H205" i="19"/>
  <c r="I205" i="19"/>
  <c r="J205" i="19"/>
  <c r="K205" i="19"/>
  <c r="L205" i="19"/>
  <c r="M205" i="19"/>
  <c r="N205" i="19"/>
  <c r="P205" i="19"/>
  <c r="Q205" i="19"/>
  <c r="O205" i="19" s="1"/>
  <c r="S205" i="19"/>
  <c r="V205" i="19"/>
  <c r="W205" i="19"/>
  <c r="X205" i="19"/>
  <c r="Y205" i="19"/>
  <c r="Z205" i="19"/>
  <c r="AA205" i="19"/>
  <c r="A206" i="19"/>
  <c r="B206" i="19"/>
  <c r="C206" i="19"/>
  <c r="D206" i="19"/>
  <c r="G206" i="19" s="1"/>
  <c r="E206" i="19"/>
  <c r="F206" i="19"/>
  <c r="H206" i="19"/>
  <c r="I206" i="19"/>
  <c r="J206" i="19"/>
  <c r="K206" i="19"/>
  <c r="L206" i="19"/>
  <c r="M206" i="19"/>
  <c r="N206" i="19"/>
  <c r="P206" i="19"/>
  <c r="O206" i="19" s="1"/>
  <c r="Q206" i="19"/>
  <c r="S206" i="19"/>
  <c r="V206" i="19"/>
  <c r="Y206" i="19" s="1"/>
  <c r="W206" i="19"/>
  <c r="X206" i="19"/>
  <c r="Z206" i="19"/>
  <c r="AA206" i="19"/>
  <c r="A207" i="19"/>
  <c r="B207" i="19"/>
  <c r="C207" i="19"/>
  <c r="D207" i="19"/>
  <c r="E207" i="19"/>
  <c r="F207" i="19"/>
  <c r="G207" i="19"/>
  <c r="T207" i="19" s="1"/>
  <c r="H207" i="19"/>
  <c r="I207" i="19"/>
  <c r="J207" i="19"/>
  <c r="K207" i="19"/>
  <c r="L207" i="19"/>
  <c r="M207" i="19"/>
  <c r="N207" i="19"/>
  <c r="O207" i="19"/>
  <c r="P207" i="19"/>
  <c r="Q207" i="19"/>
  <c r="S207" i="19"/>
  <c r="V207" i="19"/>
  <c r="W207" i="19"/>
  <c r="Y207" i="19" s="1"/>
  <c r="X207" i="19"/>
  <c r="Z207" i="19"/>
  <c r="AA207" i="19"/>
  <c r="A208" i="19"/>
  <c r="B208" i="19"/>
  <c r="C208" i="19"/>
  <c r="D208" i="19"/>
  <c r="G208" i="19" s="1"/>
  <c r="E208" i="19"/>
  <c r="F208" i="19"/>
  <c r="H208" i="19"/>
  <c r="I208" i="19"/>
  <c r="J208" i="19"/>
  <c r="K208" i="19"/>
  <c r="L208" i="19"/>
  <c r="M208" i="19"/>
  <c r="N208" i="19"/>
  <c r="P208" i="19"/>
  <c r="O208" i="19" s="1"/>
  <c r="Q208" i="19"/>
  <c r="S208" i="19"/>
  <c r="V208" i="19"/>
  <c r="Y208" i="19" s="1"/>
  <c r="W208" i="19"/>
  <c r="X208" i="19"/>
  <c r="Z208" i="19"/>
  <c r="AA208" i="19"/>
  <c r="A209" i="19"/>
  <c r="B209" i="19"/>
  <c r="C209" i="19"/>
  <c r="D209" i="19"/>
  <c r="E209" i="19"/>
  <c r="G209" i="19" s="1"/>
  <c r="F209" i="19"/>
  <c r="H209" i="19"/>
  <c r="I209" i="19"/>
  <c r="J209" i="19"/>
  <c r="K209" i="19"/>
  <c r="L209" i="19"/>
  <c r="M209" i="19"/>
  <c r="N209" i="19"/>
  <c r="P209" i="19"/>
  <c r="Q209" i="19"/>
  <c r="O209" i="19" s="1"/>
  <c r="S209" i="19"/>
  <c r="V209" i="19"/>
  <c r="W209" i="19"/>
  <c r="X209" i="19"/>
  <c r="Y209" i="19"/>
  <c r="Z209" i="19"/>
  <c r="AA209" i="19"/>
  <c r="A210" i="19"/>
  <c r="B210" i="19"/>
  <c r="C210" i="19"/>
  <c r="D210" i="19"/>
  <c r="G210" i="19" s="1"/>
  <c r="E210" i="19"/>
  <c r="F210" i="19"/>
  <c r="H210" i="19"/>
  <c r="I210" i="19"/>
  <c r="J210" i="19"/>
  <c r="K210" i="19"/>
  <c r="L210" i="19"/>
  <c r="M210" i="19"/>
  <c r="N210" i="19"/>
  <c r="P210" i="19"/>
  <c r="O210" i="19" s="1"/>
  <c r="Q210" i="19"/>
  <c r="S210" i="19"/>
  <c r="V210" i="19"/>
  <c r="Y210" i="19" s="1"/>
  <c r="W210" i="19"/>
  <c r="X210" i="19"/>
  <c r="Z210" i="19"/>
  <c r="AA210" i="19"/>
  <c r="A211" i="19"/>
  <c r="B211" i="19"/>
  <c r="C211" i="19"/>
  <c r="D211" i="19"/>
  <c r="E211" i="19"/>
  <c r="F211" i="19"/>
  <c r="G211" i="19"/>
  <c r="T211" i="19" s="1"/>
  <c r="H211" i="19"/>
  <c r="I211" i="19"/>
  <c r="J211" i="19"/>
  <c r="K211" i="19"/>
  <c r="L211" i="19"/>
  <c r="M211" i="19"/>
  <c r="N211" i="19"/>
  <c r="O211" i="19"/>
  <c r="P211" i="19"/>
  <c r="Q211" i="19"/>
  <c r="S211" i="19"/>
  <c r="V211" i="19"/>
  <c r="W211" i="19"/>
  <c r="Y211" i="19" s="1"/>
  <c r="X211" i="19"/>
  <c r="Z211" i="19"/>
  <c r="AA211" i="19"/>
  <c r="A212" i="19"/>
  <c r="B212" i="19"/>
  <c r="C212" i="19"/>
  <c r="D212" i="19"/>
  <c r="G212" i="19" s="1"/>
  <c r="E212" i="19"/>
  <c r="F212" i="19"/>
  <c r="H212" i="19"/>
  <c r="I212" i="19"/>
  <c r="J212" i="19"/>
  <c r="K212" i="19"/>
  <c r="L212" i="19"/>
  <c r="M212" i="19"/>
  <c r="N212" i="19"/>
  <c r="P212" i="19"/>
  <c r="O212" i="19" s="1"/>
  <c r="Q212" i="19"/>
  <c r="S212" i="19"/>
  <c r="V212" i="19"/>
  <c r="Y212" i="19" s="1"/>
  <c r="W212" i="19"/>
  <c r="X212" i="19"/>
  <c r="Z212" i="19"/>
  <c r="AA212" i="19"/>
  <c r="A213" i="19"/>
  <c r="B213" i="19"/>
  <c r="C213" i="19"/>
  <c r="D213" i="19"/>
  <c r="E213" i="19"/>
  <c r="G213" i="19" s="1"/>
  <c r="F213" i="19"/>
  <c r="H213" i="19"/>
  <c r="I213" i="19"/>
  <c r="J213" i="19"/>
  <c r="K213" i="19"/>
  <c r="L213" i="19"/>
  <c r="M213" i="19"/>
  <c r="N213" i="19"/>
  <c r="P213" i="19"/>
  <c r="Q213" i="19"/>
  <c r="O213" i="19" s="1"/>
  <c r="S213" i="19"/>
  <c r="V213" i="19"/>
  <c r="W213" i="19"/>
  <c r="X213" i="19"/>
  <c r="Y213" i="19"/>
  <c r="Z213" i="19"/>
  <c r="AA213" i="19"/>
  <c r="A214" i="19"/>
  <c r="B214" i="19"/>
  <c r="C214" i="19"/>
  <c r="D214" i="19"/>
  <c r="G214" i="19" s="1"/>
  <c r="E214" i="19"/>
  <c r="F214" i="19"/>
  <c r="H214" i="19"/>
  <c r="I214" i="19"/>
  <c r="J214" i="19"/>
  <c r="K214" i="19"/>
  <c r="L214" i="19"/>
  <c r="M214" i="19"/>
  <c r="N214" i="19"/>
  <c r="P214" i="19"/>
  <c r="O214" i="19" s="1"/>
  <c r="Q214" i="19"/>
  <c r="S214" i="19"/>
  <c r="V214" i="19"/>
  <c r="Y214" i="19" s="1"/>
  <c r="W214" i="19"/>
  <c r="X214" i="19"/>
  <c r="Z214" i="19"/>
  <c r="AA214" i="19"/>
  <c r="A215" i="19"/>
  <c r="B215" i="19"/>
  <c r="C215" i="19"/>
  <c r="D215" i="19"/>
  <c r="E215" i="19"/>
  <c r="F215" i="19"/>
  <c r="G215" i="19"/>
  <c r="T215" i="19" s="1"/>
  <c r="H215" i="19"/>
  <c r="I215" i="19"/>
  <c r="J215" i="19"/>
  <c r="K215" i="19"/>
  <c r="L215" i="19"/>
  <c r="M215" i="19"/>
  <c r="N215" i="19"/>
  <c r="O215" i="19"/>
  <c r="P215" i="19"/>
  <c r="Q215" i="19"/>
  <c r="S215" i="19"/>
  <c r="V215" i="19"/>
  <c r="W215" i="19"/>
  <c r="Y215" i="19" s="1"/>
  <c r="X215" i="19"/>
  <c r="Z215" i="19"/>
  <c r="AA215" i="19"/>
  <c r="A216" i="19"/>
  <c r="B216" i="19"/>
  <c r="C216" i="19"/>
  <c r="D216" i="19"/>
  <c r="G216" i="19" s="1"/>
  <c r="E216" i="19"/>
  <c r="F216" i="19"/>
  <c r="H216" i="19"/>
  <c r="I216" i="19"/>
  <c r="J216" i="19"/>
  <c r="K216" i="19"/>
  <c r="L216" i="19"/>
  <c r="M216" i="19"/>
  <c r="N216" i="19"/>
  <c r="P216" i="19"/>
  <c r="O216" i="19" s="1"/>
  <c r="Q216" i="19"/>
  <c r="S216" i="19"/>
  <c r="V216" i="19"/>
  <c r="Y216" i="19" s="1"/>
  <c r="W216" i="19"/>
  <c r="X216" i="19"/>
  <c r="Z216" i="19"/>
  <c r="AA216" i="19"/>
  <c r="A217" i="19"/>
  <c r="B217" i="19"/>
  <c r="C217" i="19"/>
  <c r="D217" i="19"/>
  <c r="E217" i="19"/>
  <c r="G217" i="19" s="1"/>
  <c r="F217" i="19"/>
  <c r="H217" i="19"/>
  <c r="I217" i="19"/>
  <c r="J217" i="19"/>
  <c r="K217" i="19"/>
  <c r="L217" i="19"/>
  <c r="M217" i="19"/>
  <c r="N217" i="19"/>
  <c r="P217" i="19"/>
  <c r="Q217" i="19"/>
  <c r="O217" i="19" s="1"/>
  <c r="S217" i="19"/>
  <c r="V217" i="19"/>
  <c r="W217" i="19"/>
  <c r="X217" i="19"/>
  <c r="Y217" i="19"/>
  <c r="Z217" i="19"/>
  <c r="AA217" i="19"/>
  <c r="A218" i="19"/>
  <c r="B218" i="19"/>
  <c r="C218" i="19"/>
  <c r="D218" i="19"/>
  <c r="G218" i="19" s="1"/>
  <c r="E218" i="19"/>
  <c r="F218" i="19"/>
  <c r="H218" i="19"/>
  <c r="I218" i="19"/>
  <c r="J218" i="19"/>
  <c r="K218" i="19"/>
  <c r="L218" i="19"/>
  <c r="M218" i="19"/>
  <c r="N218" i="19"/>
  <c r="P218" i="19"/>
  <c r="O218" i="19" s="1"/>
  <c r="Q218" i="19"/>
  <c r="S218" i="19"/>
  <c r="V218" i="19"/>
  <c r="Y218" i="19" s="1"/>
  <c r="W218" i="19"/>
  <c r="X218" i="19"/>
  <c r="Z218" i="19"/>
  <c r="AA218" i="19"/>
  <c r="A219" i="19"/>
  <c r="B219" i="19"/>
  <c r="C219" i="19"/>
  <c r="D219" i="19"/>
  <c r="E219" i="19"/>
  <c r="F219" i="19"/>
  <c r="G219" i="19"/>
  <c r="T219" i="19" s="1"/>
  <c r="H219" i="19"/>
  <c r="I219" i="19"/>
  <c r="J219" i="19"/>
  <c r="K219" i="19"/>
  <c r="L219" i="19"/>
  <c r="M219" i="19"/>
  <c r="N219" i="19"/>
  <c r="O219" i="19"/>
  <c r="P219" i="19"/>
  <c r="Q219" i="19"/>
  <c r="S219" i="19"/>
  <c r="V219" i="19"/>
  <c r="W219" i="19"/>
  <c r="Y219" i="19" s="1"/>
  <c r="X219" i="19"/>
  <c r="Z219" i="19"/>
  <c r="AA219" i="19"/>
  <c r="A220" i="19"/>
  <c r="B220" i="19"/>
  <c r="C220" i="19"/>
  <c r="D220" i="19"/>
  <c r="G220" i="19" s="1"/>
  <c r="E220" i="19"/>
  <c r="F220" i="19"/>
  <c r="H220" i="19"/>
  <c r="I220" i="19"/>
  <c r="J220" i="19"/>
  <c r="K220" i="19"/>
  <c r="L220" i="19"/>
  <c r="M220" i="19"/>
  <c r="N220" i="19"/>
  <c r="P220" i="19"/>
  <c r="O220" i="19" s="1"/>
  <c r="Q220" i="19"/>
  <c r="S220" i="19"/>
  <c r="V220" i="19"/>
  <c r="Y220" i="19" s="1"/>
  <c r="W220" i="19"/>
  <c r="X220" i="19"/>
  <c r="Z220" i="19"/>
  <c r="AA220" i="19"/>
  <c r="A221" i="19"/>
  <c r="B221" i="19"/>
  <c r="C221" i="19"/>
  <c r="D221" i="19"/>
  <c r="E221" i="19"/>
  <c r="G221" i="19" s="1"/>
  <c r="F221" i="19"/>
  <c r="H221" i="19"/>
  <c r="I221" i="19"/>
  <c r="J221" i="19"/>
  <c r="K221" i="19"/>
  <c r="L221" i="19"/>
  <c r="M221" i="19"/>
  <c r="N221" i="19"/>
  <c r="P221" i="19"/>
  <c r="Q221" i="19"/>
  <c r="O221" i="19" s="1"/>
  <c r="S221" i="19"/>
  <c r="V221" i="19"/>
  <c r="W221" i="19"/>
  <c r="X221" i="19"/>
  <c r="Y221" i="19"/>
  <c r="Z221" i="19"/>
  <c r="AA221" i="19"/>
  <c r="A222" i="19"/>
  <c r="B222" i="19"/>
  <c r="C222" i="19"/>
  <c r="D222" i="19"/>
  <c r="G222" i="19" s="1"/>
  <c r="E222" i="19"/>
  <c r="F222" i="19"/>
  <c r="H222" i="19"/>
  <c r="I222" i="19"/>
  <c r="J222" i="19"/>
  <c r="K222" i="19"/>
  <c r="L222" i="19"/>
  <c r="M222" i="19"/>
  <c r="N222" i="19"/>
  <c r="P222" i="19"/>
  <c r="O222" i="19" s="1"/>
  <c r="Q222" i="19"/>
  <c r="S222" i="19"/>
  <c r="V222" i="19"/>
  <c r="Y222" i="19" s="1"/>
  <c r="W222" i="19"/>
  <c r="X222" i="19"/>
  <c r="Z222" i="19"/>
  <c r="AA222" i="19"/>
  <c r="A223" i="19"/>
  <c r="B223" i="19"/>
  <c r="C223" i="19"/>
  <c r="D223" i="19"/>
  <c r="E223" i="19"/>
  <c r="F223" i="19"/>
  <c r="G223" i="19"/>
  <c r="T223" i="19" s="1"/>
  <c r="H223" i="19"/>
  <c r="I223" i="19"/>
  <c r="J223" i="19"/>
  <c r="K223" i="19"/>
  <c r="L223" i="19"/>
  <c r="M223" i="19"/>
  <c r="N223" i="19"/>
  <c r="O223" i="19"/>
  <c r="P223" i="19"/>
  <c r="Q223" i="19"/>
  <c r="S223" i="19"/>
  <c r="V223" i="19"/>
  <c r="W223" i="19"/>
  <c r="Y223" i="19" s="1"/>
  <c r="X223" i="19"/>
  <c r="Z223" i="19"/>
  <c r="AA223" i="19"/>
  <c r="A224" i="19"/>
  <c r="B224" i="19"/>
  <c r="C224" i="19"/>
  <c r="D224" i="19"/>
  <c r="G224" i="19" s="1"/>
  <c r="E224" i="19"/>
  <c r="F224" i="19"/>
  <c r="H224" i="19"/>
  <c r="I224" i="19"/>
  <c r="J224" i="19"/>
  <c r="K224" i="19"/>
  <c r="L224" i="19"/>
  <c r="M224" i="19"/>
  <c r="N224" i="19"/>
  <c r="P224" i="19"/>
  <c r="O224" i="19" s="1"/>
  <c r="Q224" i="19"/>
  <c r="S224" i="19"/>
  <c r="V224" i="19"/>
  <c r="Y224" i="19" s="1"/>
  <c r="W224" i="19"/>
  <c r="X224" i="19"/>
  <c r="Z224" i="19"/>
  <c r="AA224" i="19"/>
  <c r="A225" i="19"/>
  <c r="B225" i="19"/>
  <c r="C225" i="19"/>
  <c r="D225" i="19"/>
  <c r="E225" i="19"/>
  <c r="G225" i="19" s="1"/>
  <c r="F225" i="19"/>
  <c r="H225" i="19"/>
  <c r="I225" i="19"/>
  <c r="J225" i="19"/>
  <c r="K225" i="19"/>
  <c r="L225" i="19"/>
  <c r="M225" i="19"/>
  <c r="N225" i="19"/>
  <c r="P225" i="19"/>
  <c r="Q225" i="19"/>
  <c r="O225" i="19" s="1"/>
  <c r="S225" i="19"/>
  <c r="V225" i="19"/>
  <c r="W225" i="19"/>
  <c r="X225" i="19"/>
  <c r="Y225" i="19"/>
  <c r="Z225" i="19"/>
  <c r="AA225" i="19"/>
  <c r="A226" i="19"/>
  <c r="B226" i="19"/>
  <c r="C226" i="19"/>
  <c r="D226" i="19"/>
  <c r="G226" i="19" s="1"/>
  <c r="E226" i="19"/>
  <c r="F226" i="19"/>
  <c r="H226" i="19"/>
  <c r="I226" i="19"/>
  <c r="J226" i="19"/>
  <c r="K226" i="19"/>
  <c r="L226" i="19"/>
  <c r="M226" i="19"/>
  <c r="N226" i="19"/>
  <c r="P226" i="19"/>
  <c r="O226" i="19" s="1"/>
  <c r="Q226" i="19"/>
  <c r="S226" i="19"/>
  <c r="V226" i="19"/>
  <c r="Y226" i="19" s="1"/>
  <c r="W226" i="19"/>
  <c r="X226" i="19"/>
  <c r="Z226" i="19"/>
  <c r="AA226" i="19"/>
  <c r="A227" i="19"/>
  <c r="B227" i="19"/>
  <c r="C227" i="19"/>
  <c r="D227" i="19"/>
  <c r="E227" i="19"/>
  <c r="F227" i="19"/>
  <c r="G227" i="19"/>
  <c r="T227" i="19" s="1"/>
  <c r="H227" i="19"/>
  <c r="I227" i="19"/>
  <c r="J227" i="19"/>
  <c r="K227" i="19"/>
  <c r="L227" i="19"/>
  <c r="M227" i="19"/>
  <c r="N227" i="19"/>
  <c r="O227" i="19"/>
  <c r="P227" i="19"/>
  <c r="Q227" i="19"/>
  <c r="S227" i="19"/>
  <c r="V227" i="19"/>
  <c r="W227" i="19"/>
  <c r="Y227" i="19" s="1"/>
  <c r="X227" i="19"/>
  <c r="Z227" i="19"/>
  <c r="AA227" i="19"/>
  <c r="A228" i="19"/>
  <c r="B228" i="19"/>
  <c r="C228" i="19"/>
  <c r="D228" i="19"/>
  <c r="G228" i="19" s="1"/>
  <c r="E228" i="19"/>
  <c r="F228" i="19"/>
  <c r="H228" i="19"/>
  <c r="I228" i="19"/>
  <c r="J228" i="19"/>
  <c r="K228" i="19"/>
  <c r="L228" i="19"/>
  <c r="M228" i="19"/>
  <c r="N228" i="19"/>
  <c r="P228" i="19"/>
  <c r="O228" i="19" s="1"/>
  <c r="Q228" i="19"/>
  <c r="S228" i="19"/>
  <c r="V228" i="19"/>
  <c r="Y228" i="19" s="1"/>
  <c r="W228" i="19"/>
  <c r="X228" i="19"/>
  <c r="Z228" i="19"/>
  <c r="AA228" i="19"/>
  <c r="A229" i="19"/>
  <c r="B229" i="19"/>
  <c r="C229" i="19"/>
  <c r="D229" i="19"/>
  <c r="E229" i="19"/>
  <c r="G229" i="19" s="1"/>
  <c r="F229" i="19"/>
  <c r="H229" i="19"/>
  <c r="I229" i="19"/>
  <c r="J229" i="19"/>
  <c r="K229" i="19"/>
  <c r="L229" i="19"/>
  <c r="M229" i="19"/>
  <c r="N229" i="19"/>
  <c r="P229" i="19"/>
  <c r="Q229" i="19"/>
  <c r="O229" i="19" s="1"/>
  <c r="S229" i="19"/>
  <c r="V229" i="19"/>
  <c r="W229" i="19"/>
  <c r="X229" i="19"/>
  <c r="Y229" i="19"/>
  <c r="Z229" i="19"/>
  <c r="AA229" i="19"/>
  <c r="A230" i="19"/>
  <c r="B230" i="19"/>
  <c r="C230" i="19"/>
  <c r="D230" i="19"/>
  <c r="G230" i="19" s="1"/>
  <c r="E230" i="19"/>
  <c r="F230" i="19"/>
  <c r="H230" i="19"/>
  <c r="I230" i="19"/>
  <c r="J230" i="19"/>
  <c r="K230" i="19"/>
  <c r="L230" i="19"/>
  <c r="M230" i="19"/>
  <c r="N230" i="19"/>
  <c r="P230" i="19"/>
  <c r="O230" i="19" s="1"/>
  <c r="Q230" i="19"/>
  <c r="S230" i="19"/>
  <c r="V230" i="19"/>
  <c r="Y230" i="19" s="1"/>
  <c r="W230" i="19"/>
  <c r="X230" i="19"/>
  <c r="Z230" i="19"/>
  <c r="AA230" i="19"/>
  <c r="A231" i="19"/>
  <c r="B231" i="19"/>
  <c r="C231" i="19"/>
  <c r="D231" i="19"/>
  <c r="E231" i="19"/>
  <c r="F231" i="19"/>
  <c r="G231" i="19"/>
  <c r="T231" i="19" s="1"/>
  <c r="H231" i="19"/>
  <c r="I231" i="19"/>
  <c r="J231" i="19"/>
  <c r="K231" i="19"/>
  <c r="L231" i="19"/>
  <c r="M231" i="19"/>
  <c r="N231" i="19"/>
  <c r="O231" i="19"/>
  <c r="P231" i="19"/>
  <c r="Q231" i="19"/>
  <c r="S231" i="19"/>
  <c r="V231" i="19"/>
  <c r="W231" i="19"/>
  <c r="Y231" i="19" s="1"/>
  <c r="X231" i="19"/>
  <c r="Z231" i="19"/>
  <c r="AA231" i="19"/>
  <c r="A232" i="19"/>
  <c r="B232" i="19"/>
  <c r="C232" i="19"/>
  <c r="D232" i="19"/>
  <c r="G232" i="19" s="1"/>
  <c r="E232" i="19"/>
  <c r="F232" i="19"/>
  <c r="H232" i="19"/>
  <c r="I232" i="19"/>
  <c r="J232" i="19"/>
  <c r="K232" i="19"/>
  <c r="L232" i="19"/>
  <c r="M232" i="19"/>
  <c r="N232" i="19"/>
  <c r="P232" i="19"/>
  <c r="O232" i="19" s="1"/>
  <c r="Q232" i="19"/>
  <c r="S232" i="19"/>
  <c r="V232" i="19"/>
  <c r="Y232" i="19" s="1"/>
  <c r="W232" i="19"/>
  <c r="X232" i="19"/>
  <c r="Z232" i="19"/>
  <c r="AA232" i="19"/>
  <c r="A233" i="19"/>
  <c r="B233" i="19"/>
  <c r="C233" i="19"/>
  <c r="D233" i="19"/>
  <c r="E233" i="19"/>
  <c r="G233" i="19" s="1"/>
  <c r="F233" i="19"/>
  <c r="H233" i="19"/>
  <c r="I233" i="19"/>
  <c r="J233" i="19"/>
  <c r="K233" i="19"/>
  <c r="L233" i="19"/>
  <c r="M233" i="19"/>
  <c r="N233" i="19"/>
  <c r="P233" i="19"/>
  <c r="Q233" i="19"/>
  <c r="O233" i="19" s="1"/>
  <c r="S233" i="19"/>
  <c r="V233" i="19"/>
  <c r="W233" i="19"/>
  <c r="X233" i="19"/>
  <c r="Y233" i="19"/>
  <c r="Z233" i="19"/>
  <c r="AA233" i="19"/>
  <c r="A234" i="19"/>
  <c r="B234" i="19"/>
  <c r="C234" i="19"/>
  <c r="D234" i="19"/>
  <c r="G234" i="19" s="1"/>
  <c r="E234" i="19"/>
  <c r="F234" i="19"/>
  <c r="H234" i="19"/>
  <c r="I234" i="19"/>
  <c r="J234" i="19"/>
  <c r="K234" i="19"/>
  <c r="L234" i="19"/>
  <c r="M234" i="19"/>
  <c r="N234" i="19"/>
  <c r="P234" i="19"/>
  <c r="O234" i="19" s="1"/>
  <c r="Q234" i="19"/>
  <c r="S234" i="19"/>
  <c r="V234" i="19"/>
  <c r="Y234" i="19" s="1"/>
  <c r="W234" i="19"/>
  <c r="X234" i="19"/>
  <c r="Z234" i="19"/>
  <c r="AA234" i="19"/>
  <c r="A235" i="19"/>
  <c r="B235" i="19"/>
  <c r="C235" i="19"/>
  <c r="D235" i="19"/>
  <c r="E235" i="19"/>
  <c r="F235" i="19"/>
  <c r="G235" i="19"/>
  <c r="T235" i="19" s="1"/>
  <c r="H235" i="19"/>
  <c r="I235" i="19"/>
  <c r="J235" i="19"/>
  <c r="K235" i="19"/>
  <c r="L235" i="19"/>
  <c r="M235" i="19"/>
  <c r="N235" i="19"/>
  <c r="O235" i="19"/>
  <c r="P235" i="19"/>
  <c r="Q235" i="19"/>
  <c r="S235" i="19"/>
  <c r="V235" i="19"/>
  <c r="W235" i="19"/>
  <c r="Y235" i="19" s="1"/>
  <c r="X235" i="19"/>
  <c r="Z235" i="19"/>
  <c r="AA235" i="19"/>
  <c r="A236" i="19"/>
  <c r="B236" i="19"/>
  <c r="C236" i="19"/>
  <c r="D236" i="19"/>
  <c r="G236" i="19" s="1"/>
  <c r="E236" i="19"/>
  <c r="F236" i="19"/>
  <c r="H236" i="19"/>
  <c r="I236" i="19"/>
  <c r="J236" i="19"/>
  <c r="K236" i="19"/>
  <c r="L236" i="19"/>
  <c r="M236" i="19"/>
  <c r="N236" i="19"/>
  <c r="P236" i="19"/>
  <c r="O236" i="19" s="1"/>
  <c r="Q236" i="19"/>
  <c r="S236" i="19"/>
  <c r="V236" i="19"/>
  <c r="Y236" i="19" s="1"/>
  <c r="W236" i="19"/>
  <c r="X236" i="19"/>
  <c r="Z236" i="19"/>
  <c r="AA236" i="19"/>
  <c r="A237" i="19"/>
  <c r="B237" i="19"/>
  <c r="C237" i="19"/>
  <c r="D237" i="19"/>
  <c r="E237" i="19"/>
  <c r="G237" i="19" s="1"/>
  <c r="F237" i="19"/>
  <c r="H237" i="19"/>
  <c r="I237" i="19"/>
  <c r="J237" i="19"/>
  <c r="K237" i="19"/>
  <c r="L237" i="19"/>
  <c r="M237" i="19"/>
  <c r="N237" i="19"/>
  <c r="P237" i="19"/>
  <c r="Q237" i="19"/>
  <c r="O237" i="19" s="1"/>
  <c r="S237" i="19"/>
  <c r="V237" i="19"/>
  <c r="W237" i="19"/>
  <c r="X237" i="19"/>
  <c r="Y237" i="19"/>
  <c r="Z237" i="19"/>
  <c r="AA237" i="19"/>
  <c r="A238" i="19"/>
  <c r="B238" i="19"/>
  <c r="C238" i="19"/>
  <c r="D238" i="19"/>
  <c r="G238" i="19" s="1"/>
  <c r="E238" i="19"/>
  <c r="F238" i="19"/>
  <c r="H238" i="19"/>
  <c r="I238" i="19"/>
  <c r="J238" i="19"/>
  <c r="K238" i="19"/>
  <c r="L238" i="19"/>
  <c r="M238" i="19"/>
  <c r="N238" i="19"/>
  <c r="P238" i="19"/>
  <c r="O238" i="19" s="1"/>
  <c r="Q238" i="19"/>
  <c r="S238" i="19"/>
  <c r="V238" i="19"/>
  <c r="Y238" i="19" s="1"/>
  <c r="W238" i="19"/>
  <c r="X238" i="19"/>
  <c r="Z238" i="19"/>
  <c r="AA238" i="19"/>
  <c r="A239" i="19"/>
  <c r="B239" i="19"/>
  <c r="C239" i="19"/>
  <c r="D239" i="19"/>
  <c r="E239" i="19"/>
  <c r="F239" i="19"/>
  <c r="G239" i="19"/>
  <c r="T239" i="19" s="1"/>
  <c r="H239" i="19"/>
  <c r="I239" i="19"/>
  <c r="J239" i="19"/>
  <c r="K239" i="19"/>
  <c r="L239" i="19"/>
  <c r="M239" i="19"/>
  <c r="N239" i="19"/>
  <c r="O239" i="19"/>
  <c r="P239" i="19"/>
  <c r="Q239" i="19"/>
  <c r="S239" i="19"/>
  <c r="V239" i="19"/>
  <c r="W239" i="19"/>
  <c r="Y239" i="19" s="1"/>
  <c r="X239" i="19"/>
  <c r="Z239" i="19"/>
  <c r="AA239" i="19"/>
  <c r="A240" i="19"/>
  <c r="B240" i="19"/>
  <c r="C240" i="19"/>
  <c r="D240" i="19"/>
  <c r="G240" i="19" s="1"/>
  <c r="E240" i="19"/>
  <c r="F240" i="19"/>
  <c r="H240" i="19"/>
  <c r="I240" i="19"/>
  <c r="J240" i="19"/>
  <c r="K240" i="19"/>
  <c r="L240" i="19"/>
  <c r="M240" i="19"/>
  <c r="N240" i="19"/>
  <c r="P240" i="19"/>
  <c r="O240" i="19" s="1"/>
  <c r="Q240" i="19"/>
  <c r="S240" i="19"/>
  <c r="V240" i="19"/>
  <c r="Y240" i="19" s="1"/>
  <c r="W240" i="19"/>
  <c r="X240" i="19"/>
  <c r="Z240" i="19"/>
  <c r="AA240" i="19"/>
  <c r="A241" i="19"/>
  <c r="B241" i="19"/>
  <c r="C241" i="19"/>
  <c r="D241" i="19"/>
  <c r="E241" i="19"/>
  <c r="G241" i="19" s="1"/>
  <c r="F241" i="19"/>
  <c r="H241" i="19"/>
  <c r="I241" i="19"/>
  <c r="J241" i="19"/>
  <c r="K241" i="19"/>
  <c r="L241" i="19"/>
  <c r="M241" i="19"/>
  <c r="N241" i="19"/>
  <c r="P241" i="19"/>
  <c r="Q241" i="19"/>
  <c r="O241" i="19" s="1"/>
  <c r="S241" i="19"/>
  <c r="V241" i="19"/>
  <c r="W241" i="19"/>
  <c r="X241" i="19"/>
  <c r="Y241" i="19"/>
  <c r="Z241" i="19"/>
  <c r="AA241" i="19"/>
  <c r="A242" i="19"/>
  <c r="B242" i="19"/>
  <c r="C242" i="19"/>
  <c r="D242" i="19"/>
  <c r="G242" i="19" s="1"/>
  <c r="E242" i="19"/>
  <c r="F242" i="19"/>
  <c r="H242" i="19"/>
  <c r="I242" i="19"/>
  <c r="J242" i="19"/>
  <c r="K242" i="19"/>
  <c r="L242" i="19"/>
  <c r="M242" i="19"/>
  <c r="N242" i="19"/>
  <c r="P242" i="19"/>
  <c r="O242" i="19" s="1"/>
  <c r="Q242" i="19"/>
  <c r="S242" i="19"/>
  <c r="V242" i="19"/>
  <c r="Y242" i="19" s="1"/>
  <c r="W242" i="19"/>
  <c r="X242" i="19"/>
  <c r="Z242" i="19"/>
  <c r="AA242" i="19"/>
  <c r="A243" i="19"/>
  <c r="B243" i="19"/>
  <c r="C243" i="19"/>
  <c r="D243" i="19"/>
  <c r="E243" i="19"/>
  <c r="F243" i="19"/>
  <c r="G243" i="19"/>
  <c r="T243" i="19" s="1"/>
  <c r="H243" i="19"/>
  <c r="I243" i="19"/>
  <c r="J243" i="19"/>
  <c r="K243" i="19"/>
  <c r="L243" i="19"/>
  <c r="M243" i="19"/>
  <c r="N243" i="19"/>
  <c r="O243" i="19"/>
  <c r="P243" i="19"/>
  <c r="Q243" i="19"/>
  <c r="S243" i="19"/>
  <c r="V243" i="19"/>
  <c r="W243" i="19"/>
  <c r="Y243" i="19" s="1"/>
  <c r="X243" i="19"/>
  <c r="Z243" i="19"/>
  <c r="AA243" i="19"/>
  <c r="A244" i="19"/>
  <c r="B244" i="19"/>
  <c r="C244" i="19"/>
  <c r="D244" i="19"/>
  <c r="G244" i="19" s="1"/>
  <c r="E244" i="19"/>
  <c r="F244" i="19"/>
  <c r="H244" i="19"/>
  <c r="I244" i="19"/>
  <c r="J244" i="19"/>
  <c r="K244" i="19"/>
  <c r="L244" i="19"/>
  <c r="M244" i="19"/>
  <c r="N244" i="19"/>
  <c r="P244" i="19"/>
  <c r="O244" i="19" s="1"/>
  <c r="R244" i="19" s="1"/>
  <c r="U244" i="19" s="1"/>
  <c r="Q244" i="19"/>
  <c r="S244" i="19"/>
  <c r="V244" i="19"/>
  <c r="Y244" i="19" s="1"/>
  <c r="W244" i="19"/>
  <c r="X244" i="19"/>
  <c r="Z244" i="19"/>
  <c r="AA244" i="19"/>
  <c r="A245" i="19"/>
  <c r="B245" i="19"/>
  <c r="C245" i="19"/>
  <c r="D245" i="19"/>
  <c r="E245" i="19"/>
  <c r="F245" i="19"/>
  <c r="G245" i="19"/>
  <c r="H245" i="19"/>
  <c r="I245" i="19"/>
  <c r="J245" i="19"/>
  <c r="K245" i="19"/>
  <c r="L245" i="19"/>
  <c r="M245" i="19"/>
  <c r="N245" i="19"/>
  <c r="O245" i="19"/>
  <c r="P245" i="19"/>
  <c r="Q245" i="19"/>
  <c r="S245" i="19"/>
  <c r="V245" i="19"/>
  <c r="W245" i="19"/>
  <c r="Y245" i="19" s="1"/>
  <c r="X245" i="19"/>
  <c r="Z245" i="19"/>
  <c r="AA245" i="19"/>
  <c r="A246" i="19"/>
  <c r="B246" i="19"/>
  <c r="C246" i="19"/>
  <c r="D246" i="19"/>
  <c r="G246" i="19" s="1"/>
  <c r="E246" i="19"/>
  <c r="F246" i="19"/>
  <c r="H246" i="19"/>
  <c r="I246" i="19"/>
  <c r="J246" i="19"/>
  <c r="K246" i="19"/>
  <c r="L246" i="19"/>
  <c r="M246" i="19"/>
  <c r="N246" i="19"/>
  <c r="P246" i="19"/>
  <c r="O246" i="19" s="1"/>
  <c r="Q246" i="19"/>
  <c r="S246" i="19"/>
  <c r="T246" i="19"/>
  <c r="V246" i="19"/>
  <c r="Y246" i="19" s="1"/>
  <c r="W246" i="19"/>
  <c r="X246" i="19"/>
  <c r="Z246" i="19"/>
  <c r="AA246" i="19"/>
  <c r="A247" i="19"/>
  <c r="B247" i="19"/>
  <c r="C247" i="19"/>
  <c r="D247" i="19"/>
  <c r="E247" i="19"/>
  <c r="G247" i="19" s="1"/>
  <c r="F247" i="19"/>
  <c r="H247" i="19"/>
  <c r="I247" i="19"/>
  <c r="J247" i="19"/>
  <c r="K247" i="19"/>
  <c r="L247" i="19"/>
  <c r="M247" i="19"/>
  <c r="N247" i="19"/>
  <c r="P247" i="19"/>
  <c r="Q247" i="19"/>
  <c r="O247" i="19" s="1"/>
  <c r="S247" i="19"/>
  <c r="V247" i="19"/>
  <c r="W247" i="19"/>
  <c r="X247" i="19"/>
  <c r="Y247" i="19"/>
  <c r="Z247" i="19"/>
  <c r="AA247" i="19"/>
  <c r="A248" i="19"/>
  <c r="B248" i="19"/>
  <c r="C248" i="19"/>
  <c r="D248" i="19"/>
  <c r="G248" i="19" s="1"/>
  <c r="T248" i="19" s="1"/>
  <c r="E248" i="19"/>
  <c r="F248" i="19"/>
  <c r="H248" i="19"/>
  <c r="I248" i="19"/>
  <c r="J248" i="19"/>
  <c r="K248" i="19"/>
  <c r="L248" i="19"/>
  <c r="M248" i="19"/>
  <c r="N248" i="19"/>
  <c r="P248" i="19"/>
  <c r="O248" i="19" s="1"/>
  <c r="Q248" i="19"/>
  <c r="R248" i="19"/>
  <c r="U248" i="19" s="1"/>
  <c r="S248" i="19"/>
  <c r="V248" i="19"/>
  <c r="Y248" i="19" s="1"/>
  <c r="W248" i="19"/>
  <c r="X248" i="19"/>
  <c r="Z248" i="19"/>
  <c r="AA248" i="19"/>
  <c r="A249" i="19"/>
  <c r="B249" i="19"/>
  <c r="C249" i="19"/>
  <c r="D249" i="19"/>
  <c r="E249" i="19"/>
  <c r="F249" i="19"/>
  <c r="G249" i="19"/>
  <c r="H249" i="19"/>
  <c r="I249" i="19"/>
  <c r="J249" i="19"/>
  <c r="K249" i="19"/>
  <c r="L249" i="19"/>
  <c r="M249" i="19"/>
  <c r="N249" i="19"/>
  <c r="O249" i="19"/>
  <c r="P249" i="19"/>
  <c r="Q249" i="19"/>
  <c r="S249" i="19"/>
  <c r="V249" i="19"/>
  <c r="W249" i="19"/>
  <c r="Y249" i="19" s="1"/>
  <c r="X249" i="19"/>
  <c r="Z249" i="19"/>
  <c r="AA249" i="19"/>
  <c r="A250" i="19"/>
  <c r="B250" i="19"/>
  <c r="C250" i="19"/>
  <c r="D250" i="19"/>
  <c r="G250" i="19" s="1"/>
  <c r="T250" i="19" s="1"/>
  <c r="E250" i="19"/>
  <c r="F250" i="19"/>
  <c r="H250" i="19"/>
  <c r="I250" i="19"/>
  <c r="J250" i="19"/>
  <c r="K250" i="19"/>
  <c r="L250" i="19"/>
  <c r="M250" i="19"/>
  <c r="N250" i="19"/>
  <c r="P250" i="19"/>
  <c r="O250" i="19" s="1"/>
  <c r="Q250" i="19"/>
  <c r="S250" i="19"/>
  <c r="V250" i="19"/>
  <c r="W250" i="19"/>
  <c r="X250" i="19"/>
  <c r="Z250" i="19"/>
  <c r="AA250" i="19"/>
  <c r="A251" i="19"/>
  <c r="B251" i="19"/>
  <c r="C251" i="19"/>
  <c r="D251" i="19"/>
  <c r="E251" i="19"/>
  <c r="G251" i="19" s="1"/>
  <c r="F251" i="19"/>
  <c r="H251" i="19"/>
  <c r="I251" i="19"/>
  <c r="J251" i="19"/>
  <c r="K251" i="19"/>
  <c r="L251" i="19"/>
  <c r="M251" i="19"/>
  <c r="N251" i="19"/>
  <c r="P251" i="19"/>
  <c r="Q251" i="19"/>
  <c r="O251" i="19" s="1"/>
  <c r="S251" i="19"/>
  <c r="V251" i="19"/>
  <c r="W251" i="19"/>
  <c r="X251" i="19"/>
  <c r="Y251" i="19"/>
  <c r="Z251" i="19"/>
  <c r="AA251" i="19"/>
  <c r="A252" i="19"/>
  <c r="B252" i="19"/>
  <c r="C252" i="19"/>
  <c r="D252" i="19"/>
  <c r="E252" i="19"/>
  <c r="F252" i="19"/>
  <c r="H252" i="19"/>
  <c r="I252" i="19"/>
  <c r="J252" i="19"/>
  <c r="K252" i="19"/>
  <c r="L252" i="19"/>
  <c r="M252" i="19"/>
  <c r="N252" i="19"/>
  <c r="P252" i="19"/>
  <c r="O252" i="19" s="1"/>
  <c r="Q252" i="19"/>
  <c r="S252" i="19"/>
  <c r="V252" i="19"/>
  <c r="Y252" i="19" s="1"/>
  <c r="W252" i="19"/>
  <c r="X252" i="19"/>
  <c r="Z252" i="19"/>
  <c r="AA252" i="19"/>
  <c r="A253" i="19"/>
  <c r="B253" i="19"/>
  <c r="C253" i="19"/>
  <c r="D253" i="19"/>
  <c r="E253" i="19"/>
  <c r="F253" i="19"/>
  <c r="G253" i="19"/>
  <c r="H253" i="19"/>
  <c r="I253" i="19"/>
  <c r="J253" i="19"/>
  <c r="K253" i="19"/>
  <c r="L253" i="19"/>
  <c r="M253" i="19"/>
  <c r="N253" i="19"/>
  <c r="O253" i="19"/>
  <c r="P253" i="19"/>
  <c r="Q253" i="19"/>
  <c r="S253" i="19"/>
  <c r="V253" i="19"/>
  <c r="W253" i="19"/>
  <c r="Y253" i="19" s="1"/>
  <c r="X253" i="19"/>
  <c r="Z253" i="19"/>
  <c r="AA253" i="19"/>
  <c r="A254" i="19"/>
  <c r="B254" i="19"/>
  <c r="C254" i="19"/>
  <c r="D254" i="19"/>
  <c r="G254" i="19" s="1"/>
  <c r="E254" i="19"/>
  <c r="F254" i="19"/>
  <c r="H254" i="19"/>
  <c r="I254" i="19"/>
  <c r="J254" i="19"/>
  <c r="K254" i="19"/>
  <c r="L254" i="19"/>
  <c r="M254" i="19"/>
  <c r="N254" i="19"/>
  <c r="P254" i="19"/>
  <c r="O254" i="19" s="1"/>
  <c r="Q254" i="19"/>
  <c r="S254" i="19"/>
  <c r="T254" i="19"/>
  <c r="V254" i="19"/>
  <c r="Y254" i="19" s="1"/>
  <c r="W254" i="19"/>
  <c r="X254" i="19"/>
  <c r="Z254" i="19"/>
  <c r="AA254" i="19"/>
  <c r="A255" i="19"/>
  <c r="B255" i="19"/>
  <c r="C255" i="19"/>
  <c r="D255" i="19"/>
  <c r="E255" i="19"/>
  <c r="G255" i="19" s="1"/>
  <c r="F255" i="19"/>
  <c r="H255" i="19"/>
  <c r="I255" i="19"/>
  <c r="J255" i="19"/>
  <c r="K255" i="19"/>
  <c r="L255" i="19"/>
  <c r="M255" i="19"/>
  <c r="N255" i="19"/>
  <c r="P255" i="19"/>
  <c r="Q255" i="19"/>
  <c r="O255" i="19" s="1"/>
  <c r="S255" i="19"/>
  <c r="V255" i="19"/>
  <c r="W255" i="19"/>
  <c r="X255" i="19"/>
  <c r="Y255" i="19"/>
  <c r="Z255" i="19"/>
  <c r="AA255" i="19"/>
  <c r="A256" i="19"/>
  <c r="B256" i="19"/>
  <c r="C256" i="19"/>
  <c r="D256" i="19"/>
  <c r="G256" i="19" s="1"/>
  <c r="T256" i="19" s="1"/>
  <c r="E256" i="19"/>
  <c r="F256" i="19"/>
  <c r="H256" i="19"/>
  <c r="I256" i="19"/>
  <c r="J256" i="19"/>
  <c r="K256" i="19"/>
  <c r="L256" i="19"/>
  <c r="M256" i="19"/>
  <c r="N256" i="19"/>
  <c r="P256" i="19"/>
  <c r="O256" i="19" s="1"/>
  <c r="Q256" i="19"/>
  <c r="R256" i="19"/>
  <c r="U256" i="19" s="1"/>
  <c r="S256" i="19"/>
  <c r="V256" i="19"/>
  <c r="Y256" i="19" s="1"/>
  <c r="W256" i="19"/>
  <c r="X256" i="19"/>
  <c r="Z256" i="19"/>
  <c r="AA256" i="19"/>
  <c r="A257" i="19"/>
  <c r="B257" i="19"/>
  <c r="C257" i="19"/>
  <c r="D257" i="19"/>
  <c r="E257" i="19"/>
  <c r="F257" i="19"/>
  <c r="G257" i="19"/>
  <c r="H257" i="19"/>
  <c r="I257" i="19"/>
  <c r="J257" i="19"/>
  <c r="K257" i="19"/>
  <c r="L257" i="19"/>
  <c r="M257" i="19"/>
  <c r="N257" i="19"/>
  <c r="O257" i="19"/>
  <c r="P257" i="19"/>
  <c r="Q257" i="19"/>
  <c r="S257" i="19"/>
  <c r="V257" i="19"/>
  <c r="W257" i="19"/>
  <c r="Y257" i="19" s="1"/>
  <c r="X257" i="19"/>
  <c r="Z257" i="19"/>
  <c r="AA257" i="19"/>
  <c r="A258" i="19"/>
  <c r="B258" i="19"/>
  <c r="C258" i="19"/>
  <c r="D258" i="19"/>
  <c r="G258" i="19" s="1"/>
  <c r="T258" i="19" s="1"/>
  <c r="E258" i="19"/>
  <c r="F258" i="19"/>
  <c r="H258" i="19"/>
  <c r="I258" i="19"/>
  <c r="J258" i="19"/>
  <c r="K258" i="19"/>
  <c r="L258" i="19"/>
  <c r="M258" i="19"/>
  <c r="N258" i="19"/>
  <c r="P258" i="19"/>
  <c r="O258" i="19" s="1"/>
  <c r="Q258" i="19"/>
  <c r="S258" i="19"/>
  <c r="V258" i="19"/>
  <c r="W258" i="19"/>
  <c r="X258" i="19"/>
  <c r="Z258" i="19"/>
  <c r="AA258" i="19"/>
  <c r="A259" i="19"/>
  <c r="B259" i="19"/>
  <c r="C259" i="19"/>
  <c r="D259" i="19"/>
  <c r="E259" i="19"/>
  <c r="G259" i="19" s="1"/>
  <c r="F259" i="19"/>
  <c r="H259" i="19"/>
  <c r="I259" i="19"/>
  <c r="J259" i="19"/>
  <c r="K259" i="19"/>
  <c r="L259" i="19"/>
  <c r="M259" i="19"/>
  <c r="N259" i="19"/>
  <c r="P259" i="19"/>
  <c r="Q259" i="19"/>
  <c r="O259" i="19" s="1"/>
  <c r="S259" i="19"/>
  <c r="V259" i="19"/>
  <c r="W259" i="19"/>
  <c r="Y259" i="19" s="1"/>
  <c r="X259" i="19"/>
  <c r="Z259" i="19"/>
  <c r="AA259" i="19"/>
  <c r="A260" i="19"/>
  <c r="B260" i="19"/>
  <c r="C260" i="19"/>
  <c r="D260" i="19"/>
  <c r="G260" i="19" s="1"/>
  <c r="T260" i="19" s="1"/>
  <c r="E260" i="19"/>
  <c r="F260" i="19"/>
  <c r="H260" i="19"/>
  <c r="I260" i="19"/>
  <c r="J260" i="19"/>
  <c r="K260" i="19"/>
  <c r="L260" i="19"/>
  <c r="M260" i="19"/>
  <c r="N260" i="19"/>
  <c r="P260" i="19"/>
  <c r="O260" i="19" s="1"/>
  <c r="Q260" i="19"/>
  <c r="R260" i="19"/>
  <c r="U260" i="19" s="1"/>
  <c r="S260" i="19"/>
  <c r="V260" i="19"/>
  <c r="W260" i="19"/>
  <c r="X260" i="19"/>
  <c r="Z260" i="19"/>
  <c r="AA260" i="19"/>
  <c r="A261" i="19"/>
  <c r="B261" i="19"/>
  <c r="C261" i="19"/>
  <c r="D261" i="19"/>
  <c r="E261" i="19"/>
  <c r="G261" i="19" s="1"/>
  <c r="F261" i="19"/>
  <c r="H261" i="19"/>
  <c r="I261" i="19"/>
  <c r="J261" i="19"/>
  <c r="K261" i="19"/>
  <c r="L261" i="19"/>
  <c r="M261" i="19"/>
  <c r="N261" i="19"/>
  <c r="P261" i="19"/>
  <c r="Q261" i="19"/>
  <c r="O261" i="19" s="1"/>
  <c r="S261" i="19"/>
  <c r="V261" i="19"/>
  <c r="W261" i="19"/>
  <c r="Y261" i="19" s="1"/>
  <c r="X261" i="19"/>
  <c r="Z261" i="19"/>
  <c r="AA261" i="19"/>
  <c r="A262" i="19"/>
  <c r="B262" i="19"/>
  <c r="C262" i="19"/>
  <c r="D262" i="19"/>
  <c r="G262" i="19" s="1"/>
  <c r="T262" i="19" s="1"/>
  <c r="E262" i="19"/>
  <c r="F262" i="19"/>
  <c r="H262" i="19"/>
  <c r="I262" i="19"/>
  <c r="J262" i="19"/>
  <c r="K262" i="19"/>
  <c r="L262" i="19"/>
  <c r="M262" i="19"/>
  <c r="N262" i="19"/>
  <c r="P262" i="19"/>
  <c r="O262" i="19" s="1"/>
  <c r="Q262" i="19"/>
  <c r="R262" i="19"/>
  <c r="U262" i="19" s="1"/>
  <c r="S262" i="19"/>
  <c r="V262" i="19"/>
  <c r="W262" i="19"/>
  <c r="X262" i="19"/>
  <c r="Z262" i="19"/>
  <c r="AA262" i="19"/>
  <c r="A263" i="19"/>
  <c r="B263" i="19"/>
  <c r="C263" i="19"/>
  <c r="D263" i="19"/>
  <c r="E263" i="19"/>
  <c r="G263" i="19" s="1"/>
  <c r="F263" i="19"/>
  <c r="H263" i="19"/>
  <c r="I263" i="19"/>
  <c r="J263" i="19"/>
  <c r="K263" i="19"/>
  <c r="L263" i="19"/>
  <c r="M263" i="19"/>
  <c r="N263" i="19"/>
  <c r="P263" i="19"/>
  <c r="Q263" i="19"/>
  <c r="O263" i="19" s="1"/>
  <c r="S263" i="19"/>
  <c r="V263" i="19"/>
  <c r="W263" i="19"/>
  <c r="Y263" i="19" s="1"/>
  <c r="X263" i="19"/>
  <c r="Z263" i="19"/>
  <c r="AA263" i="19"/>
  <c r="A264" i="19"/>
  <c r="B264" i="19"/>
  <c r="C264" i="19"/>
  <c r="D264" i="19"/>
  <c r="G264" i="19" s="1"/>
  <c r="T264" i="19" s="1"/>
  <c r="E264" i="19"/>
  <c r="F264" i="19"/>
  <c r="H264" i="19"/>
  <c r="I264" i="19"/>
  <c r="J264" i="19"/>
  <c r="K264" i="19"/>
  <c r="L264" i="19"/>
  <c r="M264" i="19"/>
  <c r="N264" i="19"/>
  <c r="P264" i="19"/>
  <c r="O264" i="19" s="1"/>
  <c r="Q264" i="19"/>
  <c r="R264" i="19"/>
  <c r="U264" i="19" s="1"/>
  <c r="S264" i="19"/>
  <c r="V264" i="19"/>
  <c r="W264" i="19"/>
  <c r="X264" i="19"/>
  <c r="Z264" i="19"/>
  <c r="AA264" i="19"/>
  <c r="A265" i="19"/>
  <c r="B265" i="19"/>
  <c r="C265" i="19"/>
  <c r="D265" i="19"/>
  <c r="E265" i="19"/>
  <c r="G265" i="19" s="1"/>
  <c r="F265" i="19"/>
  <c r="H265" i="19"/>
  <c r="I265" i="19"/>
  <c r="J265" i="19"/>
  <c r="K265" i="19"/>
  <c r="L265" i="19"/>
  <c r="M265" i="19"/>
  <c r="N265" i="19"/>
  <c r="P265" i="19"/>
  <c r="Q265" i="19"/>
  <c r="O265" i="19" s="1"/>
  <c r="S265" i="19"/>
  <c r="V265" i="19"/>
  <c r="W265" i="19"/>
  <c r="Y265" i="19" s="1"/>
  <c r="X265" i="19"/>
  <c r="Z265" i="19"/>
  <c r="AA265" i="19"/>
  <c r="A266" i="19"/>
  <c r="B266" i="19"/>
  <c r="C266" i="19"/>
  <c r="D266" i="19"/>
  <c r="G266" i="19" s="1"/>
  <c r="T266" i="19" s="1"/>
  <c r="E266" i="19"/>
  <c r="F266" i="19"/>
  <c r="H266" i="19"/>
  <c r="I266" i="19"/>
  <c r="J266" i="19"/>
  <c r="K266" i="19"/>
  <c r="L266" i="19"/>
  <c r="M266" i="19"/>
  <c r="N266" i="19"/>
  <c r="P266" i="19"/>
  <c r="O266" i="19" s="1"/>
  <c r="Q266" i="19"/>
  <c r="R266" i="19"/>
  <c r="U266" i="19" s="1"/>
  <c r="S266" i="19"/>
  <c r="V266" i="19"/>
  <c r="W266" i="19"/>
  <c r="X266" i="19"/>
  <c r="Z266" i="19"/>
  <c r="AA266" i="19"/>
  <c r="A267" i="19"/>
  <c r="B267" i="19"/>
  <c r="C267" i="19"/>
  <c r="D267" i="19"/>
  <c r="E267" i="19"/>
  <c r="G267" i="19" s="1"/>
  <c r="F267" i="19"/>
  <c r="H267" i="19"/>
  <c r="I267" i="19"/>
  <c r="J267" i="19"/>
  <c r="K267" i="19"/>
  <c r="L267" i="19"/>
  <c r="M267" i="19"/>
  <c r="N267" i="19"/>
  <c r="P267" i="19"/>
  <c r="Q267" i="19"/>
  <c r="O267" i="19" s="1"/>
  <c r="S267" i="19"/>
  <c r="V267" i="19"/>
  <c r="W267" i="19"/>
  <c r="Y267" i="19" s="1"/>
  <c r="X267" i="19"/>
  <c r="Z267" i="19"/>
  <c r="AA267" i="19"/>
  <c r="A268" i="19"/>
  <c r="B268" i="19"/>
  <c r="C268" i="19"/>
  <c r="D268" i="19"/>
  <c r="G268" i="19" s="1"/>
  <c r="T268" i="19" s="1"/>
  <c r="E268" i="19"/>
  <c r="F268" i="19"/>
  <c r="H268" i="19"/>
  <c r="I268" i="19"/>
  <c r="J268" i="19"/>
  <c r="K268" i="19"/>
  <c r="L268" i="19"/>
  <c r="M268" i="19"/>
  <c r="N268" i="19"/>
  <c r="P268" i="19"/>
  <c r="O268" i="19" s="1"/>
  <c r="Q268" i="19"/>
  <c r="R268" i="19"/>
  <c r="U268" i="19" s="1"/>
  <c r="S268" i="19"/>
  <c r="V268" i="19"/>
  <c r="W268" i="19"/>
  <c r="X268" i="19"/>
  <c r="Z268" i="19"/>
  <c r="AA268" i="19"/>
  <c r="A269" i="19"/>
  <c r="B269" i="19"/>
  <c r="C269" i="19"/>
  <c r="D269" i="19"/>
  <c r="E269" i="19"/>
  <c r="G269" i="19" s="1"/>
  <c r="F269" i="19"/>
  <c r="H269" i="19"/>
  <c r="I269" i="19"/>
  <c r="J269" i="19"/>
  <c r="K269" i="19"/>
  <c r="L269" i="19"/>
  <c r="M269" i="19"/>
  <c r="N269" i="19"/>
  <c r="P269" i="19"/>
  <c r="Q269" i="19"/>
  <c r="O269" i="19" s="1"/>
  <c r="S269" i="19"/>
  <c r="V269" i="19"/>
  <c r="W269" i="19"/>
  <c r="Y269" i="19" s="1"/>
  <c r="X269" i="19"/>
  <c r="Z269" i="19"/>
  <c r="AA269" i="19"/>
  <c r="A270" i="19"/>
  <c r="B270" i="19"/>
  <c r="C270" i="19"/>
  <c r="D270" i="19"/>
  <c r="G270" i="19" s="1"/>
  <c r="T270" i="19" s="1"/>
  <c r="E270" i="19"/>
  <c r="F270" i="19"/>
  <c r="H270" i="19"/>
  <c r="I270" i="19"/>
  <c r="J270" i="19"/>
  <c r="K270" i="19"/>
  <c r="L270" i="19"/>
  <c r="M270" i="19"/>
  <c r="N270" i="19"/>
  <c r="P270" i="19"/>
  <c r="O270" i="19" s="1"/>
  <c r="Q270" i="19"/>
  <c r="R270" i="19"/>
  <c r="U270" i="19" s="1"/>
  <c r="S270" i="19"/>
  <c r="V270" i="19"/>
  <c r="W270" i="19"/>
  <c r="X270" i="19"/>
  <c r="Z270" i="19"/>
  <c r="AA270" i="19"/>
  <c r="A271" i="19"/>
  <c r="B271" i="19"/>
  <c r="C271" i="19"/>
  <c r="D271" i="19"/>
  <c r="E271" i="19"/>
  <c r="G271" i="19" s="1"/>
  <c r="F271" i="19"/>
  <c r="H271" i="19"/>
  <c r="I271" i="19"/>
  <c r="J271" i="19"/>
  <c r="K271" i="19"/>
  <c r="L271" i="19"/>
  <c r="M271" i="19"/>
  <c r="N271" i="19"/>
  <c r="P271" i="19"/>
  <c r="Q271" i="19"/>
  <c r="O271" i="19" s="1"/>
  <c r="S271" i="19"/>
  <c r="V271" i="19"/>
  <c r="W271" i="19"/>
  <c r="Y271" i="19" s="1"/>
  <c r="X271" i="19"/>
  <c r="Z271" i="19"/>
  <c r="AA271" i="19"/>
  <c r="A272" i="19"/>
  <c r="B272" i="19"/>
  <c r="C272" i="19"/>
  <c r="D272" i="19"/>
  <c r="G272" i="19" s="1"/>
  <c r="T272" i="19" s="1"/>
  <c r="E272" i="19"/>
  <c r="F272" i="19"/>
  <c r="H272" i="19"/>
  <c r="I272" i="19"/>
  <c r="J272" i="19"/>
  <c r="K272" i="19"/>
  <c r="L272" i="19"/>
  <c r="M272" i="19"/>
  <c r="N272" i="19"/>
  <c r="P272" i="19"/>
  <c r="O272" i="19" s="1"/>
  <c r="Q272" i="19"/>
  <c r="R272" i="19"/>
  <c r="U272" i="19" s="1"/>
  <c r="S272" i="19"/>
  <c r="V272" i="19"/>
  <c r="W272" i="19"/>
  <c r="X272" i="19"/>
  <c r="Z272" i="19"/>
  <c r="AA272" i="19"/>
  <c r="A273" i="19"/>
  <c r="B273" i="19"/>
  <c r="C273" i="19"/>
  <c r="D273" i="19"/>
  <c r="E273" i="19"/>
  <c r="G273" i="19" s="1"/>
  <c r="F273" i="19"/>
  <c r="H273" i="19"/>
  <c r="I273" i="19"/>
  <c r="J273" i="19"/>
  <c r="K273" i="19"/>
  <c r="L273" i="19"/>
  <c r="M273" i="19"/>
  <c r="N273" i="19"/>
  <c r="P273" i="19"/>
  <c r="Q273" i="19"/>
  <c r="O273" i="19" s="1"/>
  <c r="S273" i="19"/>
  <c r="V273" i="19"/>
  <c r="W273" i="19"/>
  <c r="Y273" i="19" s="1"/>
  <c r="X273" i="19"/>
  <c r="Z273" i="19"/>
  <c r="AA273" i="19"/>
  <c r="A274" i="19"/>
  <c r="B274" i="19"/>
  <c r="C274" i="19"/>
  <c r="D274" i="19"/>
  <c r="G274" i="19" s="1"/>
  <c r="T274" i="19" s="1"/>
  <c r="E274" i="19"/>
  <c r="F274" i="19"/>
  <c r="H274" i="19"/>
  <c r="I274" i="19"/>
  <c r="J274" i="19"/>
  <c r="K274" i="19"/>
  <c r="L274" i="19"/>
  <c r="M274" i="19"/>
  <c r="N274" i="19"/>
  <c r="P274" i="19"/>
  <c r="O274" i="19" s="1"/>
  <c r="Q274" i="19"/>
  <c r="R274" i="19"/>
  <c r="U274" i="19" s="1"/>
  <c r="S274" i="19"/>
  <c r="V274" i="19"/>
  <c r="W274" i="19"/>
  <c r="X274" i="19"/>
  <c r="Z274" i="19"/>
  <c r="AA274" i="19"/>
  <c r="A275" i="19"/>
  <c r="B275" i="19"/>
  <c r="C275" i="19"/>
  <c r="D275" i="19"/>
  <c r="E275" i="19"/>
  <c r="G275" i="19" s="1"/>
  <c r="F275" i="19"/>
  <c r="H275" i="19"/>
  <c r="I275" i="19"/>
  <c r="J275" i="19"/>
  <c r="K275" i="19"/>
  <c r="L275" i="19"/>
  <c r="M275" i="19"/>
  <c r="N275" i="19"/>
  <c r="P275" i="19"/>
  <c r="Q275" i="19"/>
  <c r="O275" i="19" s="1"/>
  <c r="S275" i="19"/>
  <c r="V275" i="19"/>
  <c r="W275" i="19"/>
  <c r="Y275" i="19" s="1"/>
  <c r="X275" i="19"/>
  <c r="Z275" i="19"/>
  <c r="AA275" i="19"/>
  <c r="A276" i="19"/>
  <c r="B276" i="19"/>
  <c r="C276" i="19"/>
  <c r="D276" i="19"/>
  <c r="G276" i="19" s="1"/>
  <c r="T276" i="19" s="1"/>
  <c r="E276" i="19"/>
  <c r="F276" i="19"/>
  <c r="H276" i="19"/>
  <c r="I276" i="19"/>
  <c r="J276" i="19"/>
  <c r="K276" i="19"/>
  <c r="L276" i="19"/>
  <c r="M276" i="19"/>
  <c r="N276" i="19"/>
  <c r="P276" i="19"/>
  <c r="O276" i="19" s="1"/>
  <c r="Q276" i="19"/>
  <c r="R276" i="19"/>
  <c r="U276" i="19" s="1"/>
  <c r="S276" i="19"/>
  <c r="V276" i="19"/>
  <c r="W276" i="19"/>
  <c r="X276" i="19"/>
  <c r="Z276" i="19"/>
  <c r="AA276" i="19"/>
  <c r="A277" i="19"/>
  <c r="B277" i="19"/>
  <c r="C277" i="19"/>
  <c r="D277" i="19"/>
  <c r="E277" i="19"/>
  <c r="G277" i="19" s="1"/>
  <c r="F277" i="19"/>
  <c r="H277" i="19"/>
  <c r="I277" i="19"/>
  <c r="J277" i="19"/>
  <c r="K277" i="19"/>
  <c r="L277" i="19"/>
  <c r="M277" i="19"/>
  <c r="N277" i="19"/>
  <c r="P277" i="19"/>
  <c r="Q277" i="19"/>
  <c r="O277" i="19" s="1"/>
  <c r="S277" i="19"/>
  <c r="V277" i="19"/>
  <c r="W277" i="19"/>
  <c r="Y277" i="19" s="1"/>
  <c r="X277" i="19"/>
  <c r="Z277" i="19"/>
  <c r="AA277" i="19"/>
  <c r="A278" i="19"/>
  <c r="B278" i="19"/>
  <c r="C278" i="19"/>
  <c r="D278" i="19"/>
  <c r="G278" i="19" s="1"/>
  <c r="T278" i="19" s="1"/>
  <c r="E278" i="19"/>
  <c r="F278" i="19"/>
  <c r="H278" i="19"/>
  <c r="I278" i="19"/>
  <c r="J278" i="19"/>
  <c r="K278" i="19"/>
  <c r="L278" i="19"/>
  <c r="M278" i="19"/>
  <c r="N278" i="19"/>
  <c r="P278" i="19"/>
  <c r="O278" i="19" s="1"/>
  <c r="Q278" i="19"/>
  <c r="R278" i="19"/>
  <c r="U278" i="19" s="1"/>
  <c r="S278" i="19"/>
  <c r="V278" i="19"/>
  <c r="W278" i="19"/>
  <c r="X278" i="19"/>
  <c r="Z278" i="19"/>
  <c r="AA278" i="19"/>
  <c r="A279" i="19"/>
  <c r="B279" i="19"/>
  <c r="C279" i="19"/>
  <c r="D279" i="19"/>
  <c r="E279" i="19"/>
  <c r="G279" i="19" s="1"/>
  <c r="F279" i="19"/>
  <c r="H279" i="19"/>
  <c r="I279" i="19"/>
  <c r="J279" i="19"/>
  <c r="K279" i="19"/>
  <c r="L279" i="19"/>
  <c r="M279" i="19"/>
  <c r="N279" i="19"/>
  <c r="P279" i="19"/>
  <c r="Q279" i="19"/>
  <c r="O279" i="19" s="1"/>
  <c r="S279" i="19"/>
  <c r="V279" i="19"/>
  <c r="W279" i="19"/>
  <c r="Y279" i="19" s="1"/>
  <c r="X279" i="19"/>
  <c r="Z279" i="19"/>
  <c r="AA279" i="19"/>
  <c r="A280" i="19"/>
  <c r="B280" i="19"/>
  <c r="C280" i="19"/>
  <c r="D280" i="19"/>
  <c r="G280" i="19" s="1"/>
  <c r="E280" i="19"/>
  <c r="F280" i="19"/>
  <c r="H280" i="19"/>
  <c r="I280" i="19"/>
  <c r="J280" i="19"/>
  <c r="K280" i="19"/>
  <c r="L280" i="19"/>
  <c r="M280" i="19"/>
  <c r="N280" i="19"/>
  <c r="P280" i="19"/>
  <c r="O280" i="19" s="1"/>
  <c r="Q280" i="19"/>
  <c r="S280" i="19"/>
  <c r="V280" i="19"/>
  <c r="W280" i="19"/>
  <c r="X280" i="19"/>
  <c r="Y280" i="19" s="1"/>
  <c r="Z280" i="19"/>
  <c r="AA280" i="19"/>
  <c r="A281" i="19"/>
  <c r="B281" i="19"/>
  <c r="C281" i="19"/>
  <c r="D281" i="19"/>
  <c r="E281" i="19"/>
  <c r="G281" i="19" s="1"/>
  <c r="F281" i="19"/>
  <c r="H281" i="19"/>
  <c r="I281" i="19"/>
  <c r="J281" i="19"/>
  <c r="K281" i="19"/>
  <c r="L281" i="19"/>
  <c r="M281" i="19"/>
  <c r="N281" i="19"/>
  <c r="P281" i="19"/>
  <c r="Q281" i="19"/>
  <c r="O281" i="19" s="1"/>
  <c r="S281" i="19"/>
  <c r="V281" i="19"/>
  <c r="W281" i="19"/>
  <c r="X281" i="19"/>
  <c r="Y281" i="19"/>
  <c r="Z281" i="19"/>
  <c r="AA281" i="19"/>
  <c r="A282" i="19"/>
  <c r="B282" i="19"/>
  <c r="C282" i="19"/>
  <c r="D282" i="19"/>
  <c r="E282" i="19"/>
  <c r="F282" i="19"/>
  <c r="G282" i="19" s="1"/>
  <c r="H282" i="19"/>
  <c r="I282" i="19"/>
  <c r="J282" i="19"/>
  <c r="K282" i="19"/>
  <c r="L282" i="19"/>
  <c r="M282" i="19"/>
  <c r="N282" i="19"/>
  <c r="O282" i="19"/>
  <c r="P282" i="19"/>
  <c r="Q282" i="19"/>
  <c r="S282" i="19"/>
  <c r="V282" i="19"/>
  <c r="Y282" i="19" s="1"/>
  <c r="W282" i="19"/>
  <c r="X282" i="19"/>
  <c r="Z282" i="19"/>
  <c r="AA282" i="19"/>
  <c r="A283" i="19"/>
  <c r="B283" i="19"/>
  <c r="C283" i="19"/>
  <c r="D283" i="19"/>
  <c r="E283" i="19"/>
  <c r="F283" i="19"/>
  <c r="G283" i="19"/>
  <c r="T283" i="19" s="1"/>
  <c r="H283" i="19"/>
  <c r="I283" i="19"/>
  <c r="J283" i="19"/>
  <c r="K283" i="19"/>
  <c r="L283" i="19"/>
  <c r="M283" i="19"/>
  <c r="N283" i="19"/>
  <c r="O283" i="19"/>
  <c r="P283" i="19"/>
  <c r="Q283" i="19"/>
  <c r="S283" i="19"/>
  <c r="V283" i="19"/>
  <c r="W283" i="19"/>
  <c r="Y283" i="19" s="1"/>
  <c r="X283" i="19"/>
  <c r="Z283" i="19"/>
  <c r="AA283" i="19"/>
  <c r="A284" i="19"/>
  <c r="B284" i="19"/>
  <c r="C284" i="19"/>
  <c r="D284" i="19"/>
  <c r="G284" i="19" s="1"/>
  <c r="E284" i="19"/>
  <c r="F284" i="19"/>
  <c r="H284" i="19"/>
  <c r="I284" i="19"/>
  <c r="J284" i="19"/>
  <c r="K284" i="19"/>
  <c r="L284" i="19"/>
  <c r="M284" i="19"/>
  <c r="N284" i="19"/>
  <c r="P284" i="19"/>
  <c r="O284" i="19" s="1"/>
  <c r="Q284" i="19"/>
  <c r="S284" i="19"/>
  <c r="V284" i="19"/>
  <c r="W284" i="19"/>
  <c r="X284" i="19"/>
  <c r="Y284" i="19" s="1"/>
  <c r="Z284" i="19"/>
  <c r="AA284" i="19"/>
  <c r="A285" i="19"/>
  <c r="B285" i="19"/>
  <c r="C285" i="19"/>
  <c r="D285" i="19"/>
  <c r="E285" i="19"/>
  <c r="G285" i="19" s="1"/>
  <c r="F285" i="19"/>
  <c r="H285" i="19"/>
  <c r="I285" i="19"/>
  <c r="J285" i="19"/>
  <c r="K285" i="19"/>
  <c r="L285" i="19"/>
  <c r="M285" i="19"/>
  <c r="N285" i="19"/>
  <c r="P285" i="19"/>
  <c r="Q285" i="19"/>
  <c r="O285" i="19" s="1"/>
  <c r="S285" i="19"/>
  <c r="V285" i="19"/>
  <c r="W285" i="19"/>
  <c r="X285" i="19"/>
  <c r="Y285" i="19"/>
  <c r="Z285" i="19"/>
  <c r="AA285" i="19"/>
  <c r="A286" i="19"/>
  <c r="B286" i="19"/>
  <c r="C286" i="19"/>
  <c r="D286" i="19"/>
  <c r="E286" i="19"/>
  <c r="F286" i="19"/>
  <c r="G286" i="19" s="1"/>
  <c r="H286" i="19"/>
  <c r="I286" i="19"/>
  <c r="J286" i="19"/>
  <c r="K286" i="19"/>
  <c r="L286" i="19"/>
  <c r="M286" i="19"/>
  <c r="N286" i="19"/>
  <c r="O286" i="19"/>
  <c r="P286" i="19"/>
  <c r="Q286" i="19"/>
  <c r="S286" i="19"/>
  <c r="V286" i="19"/>
  <c r="Y286" i="19" s="1"/>
  <c r="W286" i="19"/>
  <c r="X286" i="19"/>
  <c r="Z286" i="19"/>
  <c r="AA286" i="19"/>
  <c r="A287" i="19"/>
  <c r="B287" i="19"/>
  <c r="C287" i="19"/>
  <c r="D287" i="19"/>
  <c r="E287" i="19"/>
  <c r="F287" i="19"/>
  <c r="G287" i="19"/>
  <c r="T287" i="19" s="1"/>
  <c r="H287" i="19"/>
  <c r="I287" i="19"/>
  <c r="J287" i="19"/>
  <c r="K287" i="19"/>
  <c r="L287" i="19"/>
  <c r="M287" i="19"/>
  <c r="N287" i="19"/>
  <c r="O287" i="19"/>
  <c r="P287" i="19"/>
  <c r="Q287" i="19"/>
  <c r="S287" i="19"/>
  <c r="V287" i="19"/>
  <c r="W287" i="19"/>
  <c r="Y287" i="19" s="1"/>
  <c r="X287" i="19"/>
  <c r="Z287" i="19"/>
  <c r="AA287" i="19"/>
  <c r="A288" i="19"/>
  <c r="B288" i="19"/>
  <c r="C288" i="19"/>
  <c r="D288" i="19"/>
  <c r="G288" i="19" s="1"/>
  <c r="E288" i="19"/>
  <c r="F288" i="19"/>
  <c r="H288" i="19"/>
  <c r="I288" i="19"/>
  <c r="J288" i="19"/>
  <c r="K288" i="19"/>
  <c r="L288" i="19"/>
  <c r="M288" i="19"/>
  <c r="N288" i="19"/>
  <c r="P288" i="19"/>
  <c r="O288" i="19" s="1"/>
  <c r="Q288" i="19"/>
  <c r="S288" i="19"/>
  <c r="V288" i="19"/>
  <c r="W288" i="19"/>
  <c r="X288" i="19"/>
  <c r="Y288" i="19" s="1"/>
  <c r="Z288" i="19"/>
  <c r="AA288" i="19"/>
  <c r="A289" i="19"/>
  <c r="B289" i="19"/>
  <c r="C289" i="19"/>
  <c r="D289" i="19"/>
  <c r="E289" i="19"/>
  <c r="G289" i="19" s="1"/>
  <c r="F289" i="19"/>
  <c r="H289" i="19"/>
  <c r="I289" i="19"/>
  <c r="J289" i="19"/>
  <c r="K289" i="19"/>
  <c r="L289" i="19"/>
  <c r="M289" i="19"/>
  <c r="N289" i="19"/>
  <c r="P289" i="19"/>
  <c r="Q289" i="19"/>
  <c r="O289" i="19" s="1"/>
  <c r="S289" i="19"/>
  <c r="V289" i="19"/>
  <c r="W289" i="19"/>
  <c r="X289" i="19"/>
  <c r="Y289" i="19"/>
  <c r="Z289" i="19"/>
  <c r="AA289" i="19"/>
  <c r="A290" i="19"/>
  <c r="B290" i="19"/>
  <c r="C290" i="19"/>
  <c r="D290" i="19"/>
  <c r="E290" i="19"/>
  <c r="F290" i="19"/>
  <c r="G290" i="19" s="1"/>
  <c r="H290" i="19"/>
  <c r="I290" i="19"/>
  <c r="J290" i="19"/>
  <c r="K290" i="19"/>
  <c r="L290" i="19"/>
  <c r="M290" i="19"/>
  <c r="N290" i="19"/>
  <c r="O290" i="19"/>
  <c r="P290" i="19"/>
  <c r="Q290" i="19"/>
  <c r="S290" i="19"/>
  <c r="V290" i="19"/>
  <c r="Y290" i="19" s="1"/>
  <c r="W290" i="19"/>
  <c r="X290" i="19"/>
  <c r="Z290" i="19"/>
  <c r="AA290" i="19"/>
  <c r="A291" i="19"/>
  <c r="B291" i="19"/>
  <c r="C291" i="19"/>
  <c r="G291" i="19" s="1"/>
  <c r="D291" i="19"/>
  <c r="E291" i="19"/>
  <c r="F291" i="19"/>
  <c r="H291" i="19"/>
  <c r="I291" i="19"/>
  <c r="J291" i="19"/>
  <c r="K291" i="19"/>
  <c r="L291" i="19"/>
  <c r="M291" i="19"/>
  <c r="N291" i="19"/>
  <c r="O291" i="19"/>
  <c r="P291" i="19"/>
  <c r="Q291" i="19"/>
  <c r="S291" i="19"/>
  <c r="V291" i="19"/>
  <c r="W291" i="19"/>
  <c r="Y291" i="19" s="1"/>
  <c r="X291" i="19"/>
  <c r="Z291" i="19"/>
  <c r="AA291" i="19"/>
  <c r="A292" i="19"/>
  <c r="B292" i="19"/>
  <c r="C292" i="19"/>
  <c r="D292" i="19"/>
  <c r="G292" i="19" s="1"/>
  <c r="E292" i="19"/>
  <c r="F292" i="19"/>
  <c r="H292" i="19"/>
  <c r="I292" i="19"/>
  <c r="J292" i="19"/>
  <c r="K292" i="19"/>
  <c r="L292" i="19"/>
  <c r="M292" i="19"/>
  <c r="N292" i="19"/>
  <c r="P292" i="19"/>
  <c r="O292" i="19" s="1"/>
  <c r="Q292" i="19"/>
  <c r="S292" i="19"/>
  <c r="V292" i="19"/>
  <c r="W292" i="19"/>
  <c r="X292" i="19"/>
  <c r="Y292" i="19" s="1"/>
  <c r="Z292" i="19"/>
  <c r="AA292" i="19"/>
  <c r="A293" i="19"/>
  <c r="B293" i="19"/>
  <c r="C293" i="19"/>
  <c r="D293" i="19"/>
  <c r="E293" i="19"/>
  <c r="G293" i="19" s="1"/>
  <c r="F293" i="19"/>
  <c r="H293" i="19"/>
  <c r="I293" i="19"/>
  <c r="J293" i="19"/>
  <c r="K293" i="19"/>
  <c r="L293" i="19"/>
  <c r="M293" i="19"/>
  <c r="N293" i="19"/>
  <c r="P293" i="19"/>
  <c r="Q293" i="19"/>
  <c r="O293" i="19" s="1"/>
  <c r="S293" i="19"/>
  <c r="V293" i="19"/>
  <c r="W293" i="19"/>
  <c r="X293" i="19"/>
  <c r="Y293" i="19"/>
  <c r="Z293" i="19"/>
  <c r="AA293" i="19"/>
  <c r="A294" i="19"/>
  <c r="B294" i="19"/>
  <c r="C294" i="19"/>
  <c r="D294" i="19"/>
  <c r="E294" i="19"/>
  <c r="F294" i="19"/>
  <c r="G294" i="19" s="1"/>
  <c r="H294" i="19"/>
  <c r="I294" i="19"/>
  <c r="J294" i="19"/>
  <c r="K294" i="19"/>
  <c r="L294" i="19"/>
  <c r="M294" i="19"/>
  <c r="N294" i="19"/>
  <c r="O294" i="19"/>
  <c r="P294" i="19"/>
  <c r="Q294" i="19"/>
  <c r="S294" i="19"/>
  <c r="V294" i="19"/>
  <c r="Y294" i="19" s="1"/>
  <c r="W294" i="19"/>
  <c r="X294" i="19"/>
  <c r="Z294" i="19"/>
  <c r="AA294" i="19"/>
  <c r="A295" i="19"/>
  <c r="B295" i="19"/>
  <c r="C295" i="19"/>
  <c r="G295" i="19" s="1"/>
  <c r="D295" i="19"/>
  <c r="E295" i="19"/>
  <c r="F295" i="19"/>
  <c r="H295" i="19"/>
  <c r="I295" i="19"/>
  <c r="J295" i="19"/>
  <c r="K295" i="19"/>
  <c r="L295" i="19"/>
  <c r="M295" i="19"/>
  <c r="N295" i="19"/>
  <c r="O295" i="19"/>
  <c r="P295" i="19"/>
  <c r="Q295" i="19"/>
  <c r="S295" i="19"/>
  <c r="V295" i="19"/>
  <c r="W295" i="19"/>
  <c r="Y295" i="19" s="1"/>
  <c r="X295" i="19"/>
  <c r="Z295" i="19"/>
  <c r="AA295" i="19"/>
  <c r="A296" i="19"/>
  <c r="B296" i="19"/>
  <c r="C296" i="19"/>
  <c r="D296" i="19"/>
  <c r="G296" i="19" s="1"/>
  <c r="E296" i="19"/>
  <c r="F296" i="19"/>
  <c r="H296" i="19"/>
  <c r="I296" i="19"/>
  <c r="J296" i="19"/>
  <c r="K296" i="19"/>
  <c r="L296" i="19"/>
  <c r="M296" i="19"/>
  <c r="N296" i="19"/>
  <c r="P296" i="19"/>
  <c r="O296" i="19" s="1"/>
  <c r="Q296" i="19"/>
  <c r="S296" i="19"/>
  <c r="V296" i="19"/>
  <c r="W296" i="19"/>
  <c r="X296" i="19"/>
  <c r="Y296" i="19" s="1"/>
  <c r="Z296" i="19"/>
  <c r="AA296" i="19"/>
  <c r="A297" i="19"/>
  <c r="B297" i="19"/>
  <c r="C297" i="19"/>
  <c r="D297" i="19"/>
  <c r="E297" i="19"/>
  <c r="G297" i="19" s="1"/>
  <c r="F297" i="19"/>
  <c r="H297" i="19"/>
  <c r="I297" i="19"/>
  <c r="J297" i="19"/>
  <c r="K297" i="19"/>
  <c r="L297" i="19"/>
  <c r="M297" i="19"/>
  <c r="N297" i="19"/>
  <c r="P297" i="19"/>
  <c r="Q297" i="19"/>
  <c r="O297" i="19" s="1"/>
  <c r="S297" i="19"/>
  <c r="V297" i="19"/>
  <c r="W297" i="19"/>
  <c r="X297" i="19"/>
  <c r="Y297" i="19"/>
  <c r="Z297" i="19"/>
  <c r="AA297" i="19"/>
  <c r="A298" i="19"/>
  <c r="B298" i="19"/>
  <c r="C298" i="19"/>
  <c r="D298" i="19"/>
  <c r="E298" i="19"/>
  <c r="F298" i="19"/>
  <c r="G298" i="19" s="1"/>
  <c r="H298" i="19"/>
  <c r="I298" i="19"/>
  <c r="J298" i="19"/>
  <c r="K298" i="19"/>
  <c r="L298" i="19"/>
  <c r="M298" i="19"/>
  <c r="N298" i="19"/>
  <c r="O298" i="19"/>
  <c r="P298" i="19"/>
  <c r="Q298" i="19"/>
  <c r="S298" i="19"/>
  <c r="V298" i="19"/>
  <c r="Y298" i="19" s="1"/>
  <c r="W298" i="19"/>
  <c r="X298" i="19"/>
  <c r="Z298" i="19"/>
  <c r="AA298" i="19"/>
  <c r="A299" i="19"/>
  <c r="B299" i="19"/>
  <c r="C299" i="19"/>
  <c r="G299" i="19" s="1"/>
  <c r="D299" i="19"/>
  <c r="E299" i="19"/>
  <c r="F299" i="19"/>
  <c r="H299" i="19"/>
  <c r="I299" i="19"/>
  <c r="J299" i="19"/>
  <c r="K299" i="19"/>
  <c r="L299" i="19"/>
  <c r="M299" i="19"/>
  <c r="N299" i="19"/>
  <c r="O299" i="19"/>
  <c r="P299" i="19"/>
  <c r="Q299" i="19"/>
  <c r="S299" i="19"/>
  <c r="V299" i="19"/>
  <c r="W299" i="19"/>
  <c r="Y299" i="19" s="1"/>
  <c r="X299" i="19"/>
  <c r="Z299" i="19"/>
  <c r="AA299" i="19"/>
  <c r="A300" i="19"/>
  <c r="B300" i="19"/>
  <c r="C300" i="19"/>
  <c r="D300" i="19"/>
  <c r="G300" i="19" s="1"/>
  <c r="E300" i="19"/>
  <c r="F300" i="19"/>
  <c r="H300" i="19"/>
  <c r="I300" i="19"/>
  <c r="J300" i="19"/>
  <c r="K300" i="19"/>
  <c r="L300" i="19"/>
  <c r="M300" i="19"/>
  <c r="N300" i="19"/>
  <c r="P300" i="19"/>
  <c r="O300" i="19" s="1"/>
  <c r="Q300" i="19"/>
  <c r="S300" i="19"/>
  <c r="V300" i="19"/>
  <c r="W300" i="19"/>
  <c r="X300" i="19"/>
  <c r="Y300" i="19" s="1"/>
  <c r="Z300" i="19"/>
  <c r="AA300" i="19"/>
  <c r="A301" i="19"/>
  <c r="B301" i="19"/>
  <c r="C301" i="19"/>
  <c r="D301" i="19"/>
  <c r="E301" i="19"/>
  <c r="G301" i="19" s="1"/>
  <c r="F301" i="19"/>
  <c r="H301" i="19"/>
  <c r="I301" i="19"/>
  <c r="J301" i="19"/>
  <c r="K301" i="19"/>
  <c r="L301" i="19"/>
  <c r="M301" i="19"/>
  <c r="N301" i="19"/>
  <c r="P301" i="19"/>
  <c r="Q301" i="19"/>
  <c r="O301" i="19" s="1"/>
  <c r="S301" i="19"/>
  <c r="V301" i="19"/>
  <c r="W301" i="19"/>
  <c r="X301" i="19"/>
  <c r="Y301" i="19"/>
  <c r="Z301" i="19"/>
  <c r="AA301" i="19"/>
  <c r="A302" i="19"/>
  <c r="B302" i="19"/>
  <c r="C302" i="19"/>
  <c r="D302" i="19"/>
  <c r="E302" i="19"/>
  <c r="F302" i="19"/>
  <c r="G302" i="19" s="1"/>
  <c r="H302" i="19"/>
  <c r="I302" i="19"/>
  <c r="J302" i="19"/>
  <c r="K302" i="19"/>
  <c r="L302" i="19"/>
  <c r="M302" i="19"/>
  <c r="N302" i="19"/>
  <c r="O302" i="19"/>
  <c r="P302" i="19"/>
  <c r="Q302" i="19"/>
  <c r="S302" i="19"/>
  <c r="V302" i="19"/>
  <c r="Y302" i="19" s="1"/>
  <c r="W302" i="19"/>
  <c r="X302" i="19"/>
  <c r="Z302" i="19"/>
  <c r="AA302" i="19"/>
  <c r="A303" i="19"/>
  <c r="B303" i="19"/>
  <c r="C303" i="19"/>
  <c r="G303" i="19" s="1"/>
  <c r="D303" i="19"/>
  <c r="E303" i="19"/>
  <c r="F303" i="19"/>
  <c r="H303" i="19"/>
  <c r="I303" i="19"/>
  <c r="J303" i="19"/>
  <c r="K303" i="19"/>
  <c r="L303" i="19"/>
  <c r="M303" i="19"/>
  <c r="N303" i="19"/>
  <c r="O303" i="19"/>
  <c r="P303" i="19"/>
  <c r="Q303" i="19"/>
  <c r="S303" i="19"/>
  <c r="V303" i="19"/>
  <c r="W303" i="19"/>
  <c r="Y303" i="19" s="1"/>
  <c r="X303" i="19"/>
  <c r="Z303" i="19"/>
  <c r="AA303" i="19"/>
  <c r="A304" i="19"/>
  <c r="B304" i="19"/>
  <c r="C304" i="19"/>
  <c r="D304" i="19"/>
  <c r="G304" i="19" s="1"/>
  <c r="E304" i="19"/>
  <c r="F304" i="19"/>
  <c r="H304" i="19"/>
  <c r="I304" i="19"/>
  <c r="J304" i="19"/>
  <c r="K304" i="19"/>
  <c r="L304" i="19"/>
  <c r="M304" i="19"/>
  <c r="N304" i="19"/>
  <c r="P304" i="19"/>
  <c r="O304" i="19" s="1"/>
  <c r="Q304" i="19"/>
  <c r="S304" i="19"/>
  <c r="V304" i="19"/>
  <c r="W304" i="19"/>
  <c r="X304" i="19"/>
  <c r="Y304" i="19" s="1"/>
  <c r="Z304" i="19"/>
  <c r="AA304" i="19"/>
  <c r="A305" i="19"/>
  <c r="B305" i="19"/>
  <c r="C305" i="19"/>
  <c r="D305" i="19"/>
  <c r="E305" i="19"/>
  <c r="G305" i="19" s="1"/>
  <c r="F305" i="19"/>
  <c r="H305" i="19"/>
  <c r="I305" i="19"/>
  <c r="J305" i="19"/>
  <c r="K305" i="19"/>
  <c r="L305" i="19"/>
  <c r="M305" i="19"/>
  <c r="N305" i="19"/>
  <c r="P305" i="19"/>
  <c r="Q305" i="19"/>
  <c r="O305" i="19" s="1"/>
  <c r="S305" i="19"/>
  <c r="V305" i="19"/>
  <c r="W305" i="19"/>
  <c r="X305" i="19"/>
  <c r="Y305" i="19"/>
  <c r="Z305" i="19"/>
  <c r="AA305" i="19"/>
  <c r="A306" i="19"/>
  <c r="B306" i="19"/>
  <c r="C306" i="19"/>
  <c r="D306" i="19"/>
  <c r="E306" i="19"/>
  <c r="F306" i="19"/>
  <c r="G306" i="19" s="1"/>
  <c r="H306" i="19"/>
  <c r="I306" i="19"/>
  <c r="J306" i="19"/>
  <c r="K306" i="19"/>
  <c r="L306" i="19"/>
  <c r="M306" i="19"/>
  <c r="N306" i="19"/>
  <c r="O306" i="19"/>
  <c r="P306" i="19"/>
  <c r="Q306" i="19"/>
  <c r="S306" i="19"/>
  <c r="V306" i="19"/>
  <c r="Y306" i="19" s="1"/>
  <c r="W306" i="19"/>
  <c r="X306" i="19"/>
  <c r="Z306" i="19"/>
  <c r="AA306" i="19"/>
  <c r="A307" i="19"/>
  <c r="B307" i="19"/>
  <c r="C307" i="19"/>
  <c r="G307" i="19" s="1"/>
  <c r="D307" i="19"/>
  <c r="E307" i="19"/>
  <c r="F307" i="19"/>
  <c r="H307" i="19"/>
  <c r="I307" i="19"/>
  <c r="J307" i="19"/>
  <c r="K307" i="19"/>
  <c r="L307" i="19"/>
  <c r="M307" i="19"/>
  <c r="N307" i="19"/>
  <c r="O307" i="19"/>
  <c r="P307" i="19"/>
  <c r="Q307" i="19"/>
  <c r="S307" i="19"/>
  <c r="V307" i="19"/>
  <c r="W307" i="19"/>
  <c r="Y307" i="19" s="1"/>
  <c r="X307" i="19"/>
  <c r="Z307" i="19"/>
  <c r="AA307" i="19"/>
  <c r="A308" i="19"/>
  <c r="B308" i="19"/>
  <c r="C308" i="19"/>
  <c r="D308" i="19"/>
  <c r="G308" i="19" s="1"/>
  <c r="E308" i="19"/>
  <c r="F308" i="19"/>
  <c r="H308" i="19"/>
  <c r="I308" i="19"/>
  <c r="J308" i="19"/>
  <c r="K308" i="19"/>
  <c r="L308" i="19"/>
  <c r="M308" i="19"/>
  <c r="N308" i="19"/>
  <c r="P308" i="19"/>
  <c r="O308" i="19" s="1"/>
  <c r="Q308" i="19"/>
  <c r="S308" i="19"/>
  <c r="V308" i="19"/>
  <c r="W308" i="19"/>
  <c r="X308" i="19"/>
  <c r="Y308" i="19" s="1"/>
  <c r="Z308" i="19"/>
  <c r="AA308" i="19"/>
  <c r="A309" i="19"/>
  <c r="B309" i="19"/>
  <c r="C309" i="19"/>
  <c r="D309" i="19"/>
  <c r="E309" i="19"/>
  <c r="G309" i="19" s="1"/>
  <c r="F309" i="19"/>
  <c r="H309" i="19"/>
  <c r="I309" i="19"/>
  <c r="J309" i="19"/>
  <c r="K309" i="19"/>
  <c r="L309" i="19"/>
  <c r="M309" i="19"/>
  <c r="N309" i="19"/>
  <c r="P309" i="19"/>
  <c r="Q309" i="19"/>
  <c r="O309" i="19" s="1"/>
  <c r="S309" i="19"/>
  <c r="V309" i="19"/>
  <c r="W309" i="19"/>
  <c r="X309" i="19"/>
  <c r="Y309" i="19"/>
  <c r="Z309" i="19"/>
  <c r="AA309" i="19"/>
  <c r="A310" i="19"/>
  <c r="B310" i="19"/>
  <c r="C310" i="19"/>
  <c r="D310" i="19"/>
  <c r="E310" i="19"/>
  <c r="F310" i="19"/>
  <c r="G310" i="19"/>
  <c r="R310" i="19" s="1"/>
  <c r="U310" i="19" s="1"/>
  <c r="H310" i="19"/>
  <c r="I310" i="19"/>
  <c r="J310" i="19"/>
  <c r="K310" i="19"/>
  <c r="L310" i="19"/>
  <c r="M310" i="19"/>
  <c r="N310" i="19"/>
  <c r="O310" i="19"/>
  <c r="P310" i="19"/>
  <c r="Q310" i="19"/>
  <c r="S310" i="19"/>
  <c r="V310" i="19"/>
  <c r="Y310" i="19" s="1"/>
  <c r="W310" i="19"/>
  <c r="X310" i="19"/>
  <c r="Z310" i="19"/>
  <c r="AA310" i="19"/>
  <c r="A311" i="19"/>
  <c r="B311" i="19"/>
  <c r="C311" i="19"/>
  <c r="D311" i="19"/>
  <c r="G311" i="19" s="1"/>
  <c r="E311" i="19"/>
  <c r="F311" i="19"/>
  <c r="H311" i="19"/>
  <c r="I311" i="19"/>
  <c r="J311" i="19"/>
  <c r="K311" i="19"/>
  <c r="L311" i="19"/>
  <c r="M311" i="19"/>
  <c r="N311" i="19"/>
  <c r="P311" i="19"/>
  <c r="O311" i="19" s="1"/>
  <c r="Q311" i="19"/>
  <c r="S311" i="19"/>
  <c r="V311" i="19"/>
  <c r="W311" i="19"/>
  <c r="Y311" i="19" s="1"/>
  <c r="X311" i="19"/>
  <c r="Z311" i="19"/>
  <c r="AA311" i="19"/>
  <c r="A312" i="19"/>
  <c r="B312" i="19"/>
  <c r="C312" i="19"/>
  <c r="D312" i="19"/>
  <c r="G312" i="19" s="1"/>
  <c r="E312" i="19"/>
  <c r="F312" i="19"/>
  <c r="H312" i="19"/>
  <c r="I312" i="19"/>
  <c r="J312" i="19"/>
  <c r="K312" i="19"/>
  <c r="L312" i="19"/>
  <c r="M312" i="19"/>
  <c r="N312" i="19"/>
  <c r="P312" i="19"/>
  <c r="O312" i="19" s="1"/>
  <c r="Q312" i="19"/>
  <c r="S312" i="19"/>
  <c r="V312" i="19"/>
  <c r="W312" i="19"/>
  <c r="X312" i="19"/>
  <c r="Y312" i="19"/>
  <c r="Z312" i="19"/>
  <c r="AA312" i="19"/>
  <c r="A313" i="19"/>
  <c r="B313" i="19"/>
  <c r="C313" i="19"/>
  <c r="D313" i="19"/>
  <c r="E313" i="19"/>
  <c r="G313" i="19" s="1"/>
  <c r="F313" i="19"/>
  <c r="H313" i="19"/>
  <c r="I313" i="19"/>
  <c r="J313" i="19"/>
  <c r="K313" i="19"/>
  <c r="L313" i="19"/>
  <c r="M313" i="19"/>
  <c r="N313" i="19"/>
  <c r="P313" i="19"/>
  <c r="Q313" i="19"/>
  <c r="O313" i="19" s="1"/>
  <c r="S313" i="19"/>
  <c r="V313" i="19"/>
  <c r="Y313" i="19" s="1"/>
  <c r="W313" i="19"/>
  <c r="X313" i="19"/>
  <c r="Z313" i="19"/>
  <c r="AA313" i="19"/>
  <c r="A314" i="19"/>
  <c r="B314" i="19"/>
  <c r="C314" i="19"/>
  <c r="G314" i="19" s="1"/>
  <c r="D314" i="19"/>
  <c r="E314" i="19"/>
  <c r="F314" i="19"/>
  <c r="H314" i="19"/>
  <c r="I314" i="19"/>
  <c r="J314" i="19"/>
  <c r="K314" i="19"/>
  <c r="L314" i="19"/>
  <c r="M314" i="19"/>
  <c r="N314" i="19"/>
  <c r="O314" i="19"/>
  <c r="P314" i="19"/>
  <c r="Q314" i="19"/>
  <c r="S314" i="19"/>
  <c r="V314" i="19"/>
  <c r="Y314" i="19" s="1"/>
  <c r="W314" i="19"/>
  <c r="X314" i="19"/>
  <c r="Z314" i="19"/>
  <c r="AA314" i="19"/>
  <c r="A315" i="19"/>
  <c r="B315" i="19"/>
  <c r="C315" i="19"/>
  <c r="D315" i="19"/>
  <c r="G315" i="19" s="1"/>
  <c r="E315" i="19"/>
  <c r="F315" i="19"/>
  <c r="H315" i="19"/>
  <c r="I315" i="19"/>
  <c r="J315" i="19"/>
  <c r="K315" i="19"/>
  <c r="L315" i="19"/>
  <c r="M315" i="19"/>
  <c r="N315" i="19"/>
  <c r="P315" i="19"/>
  <c r="O315" i="19" s="1"/>
  <c r="Q315" i="19"/>
  <c r="S315" i="19"/>
  <c r="V315" i="19"/>
  <c r="W315" i="19"/>
  <c r="Y315" i="19" s="1"/>
  <c r="X315" i="19"/>
  <c r="Z315" i="19"/>
  <c r="AA315" i="19"/>
  <c r="AA316" i="42"/>
  <c r="AB316" i="42"/>
  <c r="AC316" i="42"/>
  <c r="AD316" i="42"/>
  <c r="AE316" i="42"/>
  <c r="AF316" i="42"/>
  <c r="AG316" i="42"/>
  <c r="AH316" i="42"/>
  <c r="AI316" i="42"/>
  <c r="AJ316" i="42"/>
  <c r="AK316" i="42"/>
  <c r="AL316" i="42"/>
  <c r="Z316" i="42"/>
  <c r="D237" i="39" l="1"/>
  <c r="D243" i="39"/>
  <c r="D239" i="39"/>
  <c r="D159" i="39"/>
  <c r="D55" i="39"/>
  <c r="D285" i="12"/>
  <c r="D275" i="12"/>
  <c r="D271" i="12"/>
  <c r="D267" i="12"/>
  <c r="D263" i="12"/>
  <c r="D259" i="12"/>
  <c r="D255" i="12"/>
  <c r="D251" i="12"/>
  <c r="D247" i="12"/>
  <c r="D243" i="12"/>
  <c r="D239" i="12"/>
  <c r="D277" i="12"/>
  <c r="D273" i="12"/>
  <c r="D269" i="12"/>
  <c r="D265" i="12"/>
  <c r="D261" i="12"/>
  <c r="D257" i="12"/>
  <c r="D253" i="12"/>
  <c r="D249" i="12"/>
  <c r="D245" i="12"/>
  <c r="D241" i="12"/>
  <c r="D237" i="12"/>
  <c r="D235" i="12"/>
  <c r="D233" i="12"/>
  <c r="D231" i="12"/>
  <c r="D229" i="12"/>
  <c r="D227" i="12"/>
  <c r="D225" i="12"/>
  <c r="D223" i="12"/>
  <c r="D221" i="12"/>
  <c r="D219" i="12"/>
  <c r="D217" i="12"/>
  <c r="D215" i="12"/>
  <c r="D209" i="12"/>
  <c r="D207" i="12"/>
  <c r="D205" i="12"/>
  <c r="D203" i="12"/>
  <c r="D201" i="12"/>
  <c r="D199" i="12"/>
  <c r="D197" i="12"/>
  <c r="D195" i="12"/>
  <c r="D194" i="12"/>
  <c r="H299" i="34"/>
  <c r="H291" i="34"/>
  <c r="H283" i="34"/>
  <c r="H287" i="34"/>
  <c r="H125" i="34"/>
  <c r="H116" i="34"/>
  <c r="H112" i="34"/>
  <c r="I312" i="37"/>
  <c r="I310" i="37"/>
  <c r="I308" i="37"/>
  <c r="I306" i="37"/>
  <c r="I304" i="37"/>
  <c r="I302" i="37"/>
  <c r="I300" i="37"/>
  <c r="I298" i="37"/>
  <c r="I296" i="37"/>
  <c r="I294" i="37"/>
  <c r="I292" i="37"/>
  <c r="I290" i="37"/>
  <c r="I288" i="37"/>
  <c r="I286" i="37"/>
  <c r="I284" i="37"/>
  <c r="I282" i="37"/>
  <c r="I280" i="37"/>
  <c r="I278" i="37"/>
  <c r="I276" i="37"/>
  <c r="I274" i="37"/>
  <c r="I272" i="37"/>
  <c r="I270" i="37"/>
  <c r="I268" i="37"/>
  <c r="I266" i="37"/>
  <c r="I264" i="37"/>
  <c r="I262" i="37"/>
  <c r="I260" i="37"/>
  <c r="I258" i="37"/>
  <c r="I256" i="37"/>
  <c r="I254" i="37"/>
  <c r="I252" i="37"/>
  <c r="I250" i="37"/>
  <c r="I248" i="37"/>
  <c r="I246" i="37"/>
  <c r="F194" i="37"/>
  <c r="I194" i="37" s="1"/>
  <c r="F238" i="37"/>
  <c r="I238" i="37" s="1"/>
  <c r="F234" i="37"/>
  <c r="I234" i="37" s="1"/>
  <c r="F230" i="37"/>
  <c r="I230" i="37" s="1"/>
  <c r="F226" i="37"/>
  <c r="I226" i="37" s="1"/>
  <c r="F222" i="37"/>
  <c r="I222" i="37" s="1"/>
  <c r="F218" i="37"/>
  <c r="I218" i="37" s="1"/>
  <c r="F214" i="37"/>
  <c r="I214" i="37" s="1"/>
  <c r="F210" i="37"/>
  <c r="I210" i="37" s="1"/>
  <c r="F206" i="37"/>
  <c r="I206" i="37" s="1"/>
  <c r="F200" i="37"/>
  <c r="I200" i="37" s="1"/>
  <c r="F196" i="37"/>
  <c r="I196" i="37" s="1"/>
  <c r="F173" i="37"/>
  <c r="I173" i="37" s="1"/>
  <c r="I151" i="37"/>
  <c r="F150" i="37"/>
  <c r="I150" i="37" s="1"/>
  <c r="F141" i="37"/>
  <c r="I141" i="37" s="1"/>
  <c r="I135" i="37"/>
  <c r="F134" i="37"/>
  <c r="I134" i="37" s="1"/>
  <c r="F125" i="37"/>
  <c r="I125" i="37" s="1"/>
  <c r="I119" i="37"/>
  <c r="F118" i="37"/>
  <c r="I118" i="37" s="1"/>
  <c r="F109" i="37"/>
  <c r="I109" i="37" s="1"/>
  <c r="I103" i="37"/>
  <c r="F102" i="37"/>
  <c r="I102" i="37" s="1"/>
  <c r="I99" i="37"/>
  <c r="I96" i="37"/>
  <c r="F94" i="37"/>
  <c r="I94" i="37" s="1"/>
  <c r="F166" i="37"/>
  <c r="I166" i="37" s="1"/>
  <c r="F158" i="37"/>
  <c r="I158" i="37" s="1"/>
  <c r="I146" i="37"/>
  <c r="I114" i="37"/>
  <c r="F149" i="37"/>
  <c r="I149" i="37" s="1"/>
  <c r="I143" i="37"/>
  <c r="F142" i="37"/>
  <c r="I142" i="37" s="1"/>
  <c r="F133" i="37"/>
  <c r="I133" i="37" s="1"/>
  <c r="I127" i="37"/>
  <c r="F126" i="37"/>
  <c r="I126" i="37" s="1"/>
  <c r="F117" i="37"/>
  <c r="I117" i="37" s="1"/>
  <c r="I111" i="37"/>
  <c r="F110" i="37"/>
  <c r="I110" i="37" s="1"/>
  <c r="I100" i="37"/>
  <c r="F98" i="37"/>
  <c r="I98" i="37" s="1"/>
  <c r="I95" i="37"/>
  <c r="I92" i="37"/>
  <c r="I170" i="37"/>
  <c r="F154" i="37"/>
  <c r="I154" i="37" s="1"/>
  <c r="F51" i="37"/>
  <c r="I51" i="37" s="1"/>
  <c r="I45" i="37"/>
  <c r="F44" i="37"/>
  <c r="I44" i="37" s="1"/>
  <c r="F35" i="37"/>
  <c r="I35" i="37" s="1"/>
  <c r="I13" i="37"/>
  <c r="I10" i="37"/>
  <c r="F8" i="37"/>
  <c r="I8" i="37" s="1"/>
  <c r="F91" i="37"/>
  <c r="I91" i="37" s="1"/>
  <c r="F87" i="37"/>
  <c r="I87" i="37" s="1"/>
  <c r="F80" i="37"/>
  <c r="I80" i="37" s="1"/>
  <c r="F79" i="37"/>
  <c r="I79" i="37" s="1"/>
  <c r="F72" i="37"/>
  <c r="I72" i="37" s="1"/>
  <c r="I67" i="37"/>
  <c r="F64" i="37"/>
  <c r="I64" i="37" s="1"/>
  <c r="F59" i="37"/>
  <c r="I59" i="37" s="1"/>
  <c r="I57" i="37"/>
  <c r="F56" i="37"/>
  <c r="I56" i="37" s="1"/>
  <c r="F47" i="37"/>
  <c r="I47" i="37" s="1"/>
  <c r="I41" i="37"/>
  <c r="F40" i="37"/>
  <c r="I40" i="37" s="1"/>
  <c r="F28" i="37"/>
  <c r="I28" i="37" s="1"/>
  <c r="F20" i="37"/>
  <c r="I20" i="37" s="1"/>
  <c r="I17" i="37"/>
  <c r="I88" i="37"/>
  <c r="I84" i="37"/>
  <c r="F83" i="37"/>
  <c r="I83" i="37" s="1"/>
  <c r="I76" i="37"/>
  <c r="F75" i="37"/>
  <c r="I75" i="37" s="1"/>
  <c r="F16" i="37"/>
  <c r="I16" i="37" s="1"/>
  <c r="H316" i="36"/>
  <c r="D316" i="36"/>
  <c r="J314" i="36"/>
  <c r="F314" i="36"/>
  <c r="K314" i="36" s="1"/>
  <c r="I313" i="36"/>
  <c r="K313" i="36" s="1"/>
  <c r="H312" i="36"/>
  <c r="D312" i="36"/>
  <c r="J310" i="36"/>
  <c r="F310" i="36"/>
  <c r="I309" i="36"/>
  <c r="K309" i="36" s="1"/>
  <c r="H308" i="36"/>
  <c r="D308" i="36"/>
  <c r="J306" i="36"/>
  <c r="F306" i="36"/>
  <c r="K306" i="36" s="1"/>
  <c r="I305" i="36"/>
  <c r="K305" i="36" s="1"/>
  <c r="H304" i="36"/>
  <c r="D304" i="36"/>
  <c r="J302" i="36"/>
  <c r="F302" i="36"/>
  <c r="K302" i="36" s="1"/>
  <c r="I301" i="36"/>
  <c r="K301" i="36" s="1"/>
  <c r="H300" i="36"/>
  <c r="D300" i="36"/>
  <c r="J298" i="36"/>
  <c r="F298" i="36"/>
  <c r="K298" i="36" s="1"/>
  <c r="I297" i="36"/>
  <c r="K297" i="36" s="1"/>
  <c r="H296" i="36"/>
  <c r="D296" i="36"/>
  <c r="J294" i="36"/>
  <c r="F294" i="36"/>
  <c r="K294" i="36" s="1"/>
  <c r="I293" i="36"/>
  <c r="K293" i="36" s="1"/>
  <c r="H292" i="36"/>
  <c r="D292" i="36"/>
  <c r="J290" i="36"/>
  <c r="F290" i="36"/>
  <c r="K290" i="36" s="1"/>
  <c r="I289" i="36"/>
  <c r="K289" i="36" s="1"/>
  <c r="H288" i="36"/>
  <c r="D288" i="36"/>
  <c r="J286" i="36"/>
  <c r="F286" i="36"/>
  <c r="K286" i="36" s="1"/>
  <c r="I285" i="36"/>
  <c r="K285" i="36" s="1"/>
  <c r="H284" i="36"/>
  <c r="D284" i="36"/>
  <c r="J282" i="36"/>
  <c r="F282" i="36"/>
  <c r="K282" i="36" s="1"/>
  <c r="K281" i="36"/>
  <c r="G279" i="36"/>
  <c r="D278" i="36"/>
  <c r="H278" i="36"/>
  <c r="G276" i="36"/>
  <c r="E275" i="36"/>
  <c r="K275" i="36" s="1"/>
  <c r="I275" i="36"/>
  <c r="J274" i="36"/>
  <c r="F272" i="36"/>
  <c r="K272" i="36" s="1"/>
  <c r="J272" i="36"/>
  <c r="J271" i="36"/>
  <c r="I268" i="36"/>
  <c r="I264" i="36"/>
  <c r="I260" i="36"/>
  <c r="I256" i="36"/>
  <c r="I252" i="36"/>
  <c r="I248" i="36"/>
  <c r="I244" i="36"/>
  <c r="I240" i="36"/>
  <c r="I236" i="36"/>
  <c r="I232" i="36"/>
  <c r="I228" i="36"/>
  <c r="E222" i="36"/>
  <c r="I222" i="36"/>
  <c r="F222" i="36"/>
  <c r="J222" i="36"/>
  <c r="D222" i="36"/>
  <c r="H222" i="36"/>
  <c r="K277" i="36"/>
  <c r="D274" i="36"/>
  <c r="H274" i="36"/>
  <c r="E271" i="36"/>
  <c r="K271" i="36" s="1"/>
  <c r="I271" i="36"/>
  <c r="J316" i="36"/>
  <c r="F316" i="36"/>
  <c r="H314" i="36"/>
  <c r="J312" i="36"/>
  <c r="F312" i="36"/>
  <c r="H310" i="36"/>
  <c r="K310" i="36" s="1"/>
  <c r="J308" i="36"/>
  <c r="F308" i="36"/>
  <c r="H306" i="36"/>
  <c r="J304" i="36"/>
  <c r="F304" i="36"/>
  <c r="H302" i="36"/>
  <c r="J300" i="36"/>
  <c r="F300" i="36"/>
  <c r="H298" i="36"/>
  <c r="J296" i="36"/>
  <c r="F296" i="36"/>
  <c r="H294" i="36"/>
  <c r="J292" i="36"/>
  <c r="F292" i="36"/>
  <c r="H290" i="36"/>
  <c r="J288" i="36"/>
  <c r="F288" i="36"/>
  <c r="H286" i="36"/>
  <c r="J284" i="36"/>
  <c r="F284" i="36"/>
  <c r="H282" i="36"/>
  <c r="F280" i="36"/>
  <c r="K280" i="36" s="1"/>
  <c r="J280" i="36"/>
  <c r="J279" i="36"/>
  <c r="I276" i="36"/>
  <c r="G274" i="36"/>
  <c r="K273" i="36"/>
  <c r="G271" i="36"/>
  <c r="D270" i="36"/>
  <c r="H270" i="36"/>
  <c r="F266" i="36"/>
  <c r="J266" i="36"/>
  <c r="D266" i="36"/>
  <c r="H266" i="36"/>
  <c r="F262" i="36"/>
  <c r="J262" i="36"/>
  <c r="D262" i="36"/>
  <c r="H262" i="36"/>
  <c r="F258" i="36"/>
  <c r="J258" i="36"/>
  <c r="D258" i="36"/>
  <c r="K258" i="36" s="1"/>
  <c r="H258" i="36"/>
  <c r="F254" i="36"/>
  <c r="J254" i="36"/>
  <c r="D254" i="36"/>
  <c r="H254" i="36"/>
  <c r="F250" i="36"/>
  <c r="J250" i="36"/>
  <c r="D250" i="36"/>
  <c r="H250" i="36"/>
  <c r="F246" i="36"/>
  <c r="J246" i="36"/>
  <c r="D246" i="36"/>
  <c r="H246" i="36"/>
  <c r="F242" i="36"/>
  <c r="J242" i="36"/>
  <c r="D242" i="36"/>
  <c r="K242" i="36" s="1"/>
  <c r="H242" i="36"/>
  <c r="F238" i="36"/>
  <c r="J238" i="36"/>
  <c r="D238" i="36"/>
  <c r="H238" i="36"/>
  <c r="F234" i="36"/>
  <c r="J234" i="36"/>
  <c r="D234" i="36"/>
  <c r="H234" i="36"/>
  <c r="F230" i="36"/>
  <c r="J230" i="36"/>
  <c r="D230" i="36"/>
  <c r="H230" i="36"/>
  <c r="F226" i="36"/>
  <c r="J226" i="36"/>
  <c r="D226" i="36"/>
  <c r="K226" i="36" s="1"/>
  <c r="H226" i="36"/>
  <c r="I316" i="36"/>
  <c r="I312" i="36"/>
  <c r="I308" i="36"/>
  <c r="I304" i="36"/>
  <c r="I300" i="36"/>
  <c r="I296" i="36"/>
  <c r="I292" i="36"/>
  <c r="I288" i="36"/>
  <c r="I284" i="36"/>
  <c r="E279" i="36"/>
  <c r="K279" i="36" s="1"/>
  <c r="I279" i="36"/>
  <c r="F276" i="36"/>
  <c r="K276" i="36" s="1"/>
  <c r="J276" i="36"/>
  <c r="F274" i="36"/>
  <c r="F271" i="36"/>
  <c r="K269" i="36"/>
  <c r="D268" i="36"/>
  <c r="H268" i="36"/>
  <c r="F268" i="36"/>
  <c r="J268" i="36"/>
  <c r="K265" i="36"/>
  <c r="D264" i="36"/>
  <c r="K264" i="36" s="1"/>
  <c r="H264" i="36"/>
  <c r="F264" i="36"/>
  <c r="J264" i="36"/>
  <c r="K261" i="36"/>
  <c r="D260" i="36"/>
  <c r="H260" i="36"/>
  <c r="F260" i="36"/>
  <c r="J260" i="36"/>
  <c r="K257" i="36"/>
  <c r="D256" i="36"/>
  <c r="H256" i="36"/>
  <c r="F256" i="36"/>
  <c r="J256" i="36"/>
  <c r="K253" i="36"/>
  <c r="D252" i="36"/>
  <c r="H252" i="36"/>
  <c r="F252" i="36"/>
  <c r="J252" i="36"/>
  <c r="K249" i="36"/>
  <c r="D248" i="36"/>
  <c r="K248" i="36" s="1"/>
  <c r="H248" i="36"/>
  <c r="F248" i="36"/>
  <c r="J248" i="36"/>
  <c r="K245" i="36"/>
  <c r="D244" i="36"/>
  <c r="H244" i="36"/>
  <c r="F244" i="36"/>
  <c r="J244" i="36"/>
  <c r="K241" i="36"/>
  <c r="D240" i="36"/>
  <c r="H240" i="36"/>
  <c r="F240" i="36"/>
  <c r="J240" i="36"/>
  <c r="K237" i="36"/>
  <c r="D236" i="36"/>
  <c r="H236" i="36"/>
  <c r="F236" i="36"/>
  <c r="J236" i="36"/>
  <c r="K233" i="36"/>
  <c r="D232" i="36"/>
  <c r="K232" i="36" s="1"/>
  <c r="H232" i="36"/>
  <c r="F232" i="36"/>
  <c r="J232" i="36"/>
  <c r="K229" i="36"/>
  <c r="D228" i="36"/>
  <c r="H228" i="36"/>
  <c r="F228" i="36"/>
  <c r="J228" i="36"/>
  <c r="K225" i="36"/>
  <c r="I267" i="36"/>
  <c r="K267" i="36" s="1"/>
  <c r="I263" i="36"/>
  <c r="K263" i="36" s="1"/>
  <c r="I259" i="36"/>
  <c r="K259" i="36" s="1"/>
  <c r="I255" i="36"/>
  <c r="K255" i="36" s="1"/>
  <c r="I251" i="36"/>
  <c r="K251" i="36" s="1"/>
  <c r="I247" i="36"/>
  <c r="K247" i="36" s="1"/>
  <c r="I243" i="36"/>
  <c r="K243" i="36" s="1"/>
  <c r="I239" i="36"/>
  <c r="K239" i="36" s="1"/>
  <c r="I235" i="36"/>
  <c r="K235" i="36" s="1"/>
  <c r="I231" i="36"/>
  <c r="K231" i="36" s="1"/>
  <c r="I227" i="36"/>
  <c r="K227" i="36" s="1"/>
  <c r="J224" i="36"/>
  <c r="F224" i="36"/>
  <c r="I223" i="36"/>
  <c r="K223" i="36" s="1"/>
  <c r="J220" i="36"/>
  <c r="F220" i="36"/>
  <c r="K220" i="36" s="1"/>
  <c r="I219" i="36"/>
  <c r="K219" i="36" s="1"/>
  <c r="H218" i="36"/>
  <c r="D218" i="36"/>
  <c r="J216" i="36"/>
  <c r="F216" i="36"/>
  <c r="K216" i="36" s="1"/>
  <c r="I215" i="36"/>
  <c r="K215" i="36" s="1"/>
  <c r="H214" i="36"/>
  <c r="D214" i="36"/>
  <c r="J212" i="36"/>
  <c r="F212" i="36"/>
  <c r="K212" i="36" s="1"/>
  <c r="I211" i="36"/>
  <c r="K211" i="36" s="1"/>
  <c r="H210" i="36"/>
  <c r="D210" i="36"/>
  <c r="J208" i="36"/>
  <c r="F208" i="36"/>
  <c r="K208" i="36" s="1"/>
  <c r="I207" i="36"/>
  <c r="K207" i="36" s="1"/>
  <c r="H206" i="36"/>
  <c r="D206" i="36"/>
  <c r="J204" i="36"/>
  <c r="F204" i="36"/>
  <c r="K204" i="36" s="1"/>
  <c r="I203" i="36"/>
  <c r="K203" i="36" s="1"/>
  <c r="H202" i="36"/>
  <c r="D202" i="36"/>
  <c r="J200" i="36"/>
  <c r="F200" i="36"/>
  <c r="K200" i="36" s="1"/>
  <c r="I199" i="36"/>
  <c r="K199" i="36" s="1"/>
  <c r="H198" i="36"/>
  <c r="D198" i="36"/>
  <c r="J196" i="36"/>
  <c r="F196" i="36"/>
  <c r="K196" i="36" s="1"/>
  <c r="I195" i="36"/>
  <c r="K195" i="36" s="1"/>
  <c r="J193" i="36"/>
  <c r="I190" i="36"/>
  <c r="I186" i="36"/>
  <c r="I182" i="36"/>
  <c r="I178" i="36"/>
  <c r="F172" i="36"/>
  <c r="J172" i="36"/>
  <c r="D172" i="36"/>
  <c r="I172" i="36"/>
  <c r="G172" i="36"/>
  <c r="E193" i="36"/>
  <c r="K193" i="36" s="1"/>
  <c r="I193" i="36"/>
  <c r="K173" i="36"/>
  <c r="H224" i="36"/>
  <c r="H220" i="36"/>
  <c r="J218" i="36"/>
  <c r="F218" i="36"/>
  <c r="H216" i="36"/>
  <c r="J214" i="36"/>
  <c r="F214" i="36"/>
  <c r="H212" i="36"/>
  <c r="J210" i="36"/>
  <c r="F210" i="36"/>
  <c r="H208" i="36"/>
  <c r="J206" i="36"/>
  <c r="F206" i="36"/>
  <c r="H204" i="36"/>
  <c r="J202" i="36"/>
  <c r="F202" i="36"/>
  <c r="H200" i="36"/>
  <c r="J198" i="36"/>
  <c r="F198" i="36"/>
  <c r="H196" i="36"/>
  <c r="G193" i="36"/>
  <c r="D192" i="36"/>
  <c r="H192" i="36"/>
  <c r="D188" i="36"/>
  <c r="K188" i="36" s="1"/>
  <c r="H188" i="36"/>
  <c r="F188" i="36"/>
  <c r="J188" i="36"/>
  <c r="D184" i="36"/>
  <c r="H184" i="36"/>
  <c r="F184" i="36"/>
  <c r="J184" i="36"/>
  <c r="D180" i="36"/>
  <c r="H180" i="36"/>
  <c r="F180" i="36"/>
  <c r="J180" i="36"/>
  <c r="D176" i="36"/>
  <c r="H176" i="36"/>
  <c r="F176" i="36"/>
  <c r="J176" i="36"/>
  <c r="D170" i="36"/>
  <c r="H170" i="36"/>
  <c r="G170" i="36"/>
  <c r="E170" i="36"/>
  <c r="J170" i="36"/>
  <c r="I218" i="36"/>
  <c r="I214" i="36"/>
  <c r="I210" i="36"/>
  <c r="I206" i="36"/>
  <c r="I202" i="36"/>
  <c r="I198" i="36"/>
  <c r="F193" i="36"/>
  <c r="K191" i="36"/>
  <c r="F190" i="36"/>
  <c r="J190" i="36"/>
  <c r="D190" i="36"/>
  <c r="H190" i="36"/>
  <c r="K187" i="36"/>
  <c r="F186" i="36"/>
  <c r="J186" i="36"/>
  <c r="D186" i="36"/>
  <c r="H186" i="36"/>
  <c r="K183" i="36"/>
  <c r="F182" i="36"/>
  <c r="J182" i="36"/>
  <c r="D182" i="36"/>
  <c r="H182" i="36"/>
  <c r="K179" i="36"/>
  <c r="F178" i="36"/>
  <c r="J178" i="36"/>
  <c r="D178" i="36"/>
  <c r="K178" i="36" s="1"/>
  <c r="H178" i="36"/>
  <c r="K175" i="36"/>
  <c r="E171" i="36"/>
  <c r="K171" i="36" s="1"/>
  <c r="I171" i="36"/>
  <c r="F168" i="36"/>
  <c r="J168" i="36"/>
  <c r="J167" i="36"/>
  <c r="I164" i="36"/>
  <c r="G162" i="36"/>
  <c r="K161" i="36"/>
  <c r="G159" i="36"/>
  <c r="D158" i="36"/>
  <c r="H158" i="36"/>
  <c r="G156" i="36"/>
  <c r="E155" i="36"/>
  <c r="K155" i="36" s="1"/>
  <c r="I155" i="36"/>
  <c r="J154" i="36"/>
  <c r="E167" i="36"/>
  <c r="I167" i="36"/>
  <c r="F164" i="36"/>
  <c r="J164" i="36"/>
  <c r="K157" i="36"/>
  <c r="D154" i="36"/>
  <c r="H154" i="36"/>
  <c r="E150" i="36"/>
  <c r="I150" i="36"/>
  <c r="D150" i="36"/>
  <c r="H150" i="36"/>
  <c r="E146" i="36"/>
  <c r="I146" i="36"/>
  <c r="D146" i="36"/>
  <c r="H146" i="36"/>
  <c r="E142" i="36"/>
  <c r="I142" i="36"/>
  <c r="D142" i="36"/>
  <c r="H142" i="36"/>
  <c r="E138" i="36"/>
  <c r="I138" i="36"/>
  <c r="D138" i="36"/>
  <c r="H138" i="36"/>
  <c r="E134" i="36"/>
  <c r="I134" i="36"/>
  <c r="D134" i="36"/>
  <c r="K134" i="36" s="1"/>
  <c r="H134" i="36"/>
  <c r="E130" i="36"/>
  <c r="I130" i="36"/>
  <c r="D130" i="36"/>
  <c r="H130" i="36"/>
  <c r="I189" i="36"/>
  <c r="K189" i="36" s="1"/>
  <c r="I185" i="36"/>
  <c r="K185" i="36" s="1"/>
  <c r="I181" i="36"/>
  <c r="K181" i="36" s="1"/>
  <c r="I177" i="36"/>
  <c r="K177" i="36" s="1"/>
  <c r="J174" i="36"/>
  <c r="F174" i="36"/>
  <c r="K169" i="36"/>
  <c r="E168" i="36"/>
  <c r="K168" i="36" s="1"/>
  <c r="G167" i="36"/>
  <c r="D166" i="36"/>
  <c r="H166" i="36"/>
  <c r="G164" i="36"/>
  <c r="E163" i="36"/>
  <c r="K163" i="36" s="1"/>
  <c r="I163" i="36"/>
  <c r="J162" i="36"/>
  <c r="F160" i="36"/>
  <c r="K160" i="36" s="1"/>
  <c r="J160" i="36"/>
  <c r="J159" i="36"/>
  <c r="F158" i="36"/>
  <c r="I156" i="36"/>
  <c r="G154" i="36"/>
  <c r="K153" i="36"/>
  <c r="F151" i="36"/>
  <c r="J151" i="36"/>
  <c r="E151" i="36"/>
  <c r="K151" i="36" s="1"/>
  <c r="I151" i="36"/>
  <c r="J150" i="36"/>
  <c r="K149" i="36"/>
  <c r="F147" i="36"/>
  <c r="J147" i="36"/>
  <c r="E147" i="36"/>
  <c r="K147" i="36" s="1"/>
  <c r="I147" i="36"/>
  <c r="J146" i="36"/>
  <c r="K145" i="36"/>
  <c r="F143" i="36"/>
  <c r="J143" i="36"/>
  <c r="E143" i="36"/>
  <c r="K143" i="36" s="1"/>
  <c r="I143" i="36"/>
  <c r="J142" i="36"/>
  <c r="K141" i="36"/>
  <c r="F139" i="36"/>
  <c r="J139" i="36"/>
  <c r="E139" i="36"/>
  <c r="K139" i="36" s="1"/>
  <c r="I139" i="36"/>
  <c r="J138" i="36"/>
  <c r="K137" i="36"/>
  <c r="F135" i="36"/>
  <c r="J135" i="36"/>
  <c r="E135" i="36"/>
  <c r="K135" i="36" s="1"/>
  <c r="I135" i="36"/>
  <c r="J134" i="36"/>
  <c r="K133" i="36"/>
  <c r="F131" i="36"/>
  <c r="J131" i="36"/>
  <c r="E131" i="36"/>
  <c r="K131" i="36" s="1"/>
  <c r="I131" i="36"/>
  <c r="J130" i="36"/>
  <c r="K129" i="36"/>
  <c r="F167" i="36"/>
  <c r="K167" i="36" s="1"/>
  <c r="K165" i="36"/>
  <c r="E164" i="36"/>
  <c r="K164" i="36" s="1"/>
  <c r="D162" i="36"/>
  <c r="H162" i="36"/>
  <c r="E159" i="36"/>
  <c r="K159" i="36" s="1"/>
  <c r="I159" i="36"/>
  <c r="F156" i="36"/>
  <c r="K156" i="36" s="1"/>
  <c r="J156" i="36"/>
  <c r="J152" i="36"/>
  <c r="K152" i="36" s="1"/>
  <c r="J148" i="36"/>
  <c r="K148" i="36" s="1"/>
  <c r="J144" i="36"/>
  <c r="K144" i="36" s="1"/>
  <c r="J140" i="36"/>
  <c r="K140" i="36" s="1"/>
  <c r="J136" i="36"/>
  <c r="K136" i="36" s="1"/>
  <c r="J132" i="36"/>
  <c r="K132" i="36" s="1"/>
  <c r="J128" i="36"/>
  <c r="K128" i="36" s="1"/>
  <c r="I127" i="36"/>
  <c r="E127" i="36"/>
  <c r="K127" i="36" s="1"/>
  <c r="H126" i="36"/>
  <c r="D126" i="36"/>
  <c r="J124" i="36"/>
  <c r="K124" i="36" s="1"/>
  <c r="I123" i="36"/>
  <c r="E123" i="36"/>
  <c r="H122" i="36"/>
  <c r="D122" i="36"/>
  <c r="J120" i="36"/>
  <c r="K120" i="36" s="1"/>
  <c r="I119" i="36"/>
  <c r="E119" i="36"/>
  <c r="H118" i="36"/>
  <c r="D118" i="36"/>
  <c r="J116" i="36"/>
  <c r="K116" i="36" s="1"/>
  <c r="I115" i="36"/>
  <c r="E115" i="36"/>
  <c r="H114" i="36"/>
  <c r="D114" i="36"/>
  <c r="J112" i="36"/>
  <c r="K112" i="36" s="1"/>
  <c r="I111" i="36"/>
  <c r="E111" i="36"/>
  <c r="H110" i="36"/>
  <c r="D110" i="36"/>
  <c r="J108" i="36"/>
  <c r="K108" i="36" s="1"/>
  <c r="I107" i="36"/>
  <c r="E107" i="36"/>
  <c r="H106" i="36"/>
  <c r="D106" i="36"/>
  <c r="J104" i="36"/>
  <c r="K104" i="36" s="1"/>
  <c r="I103" i="36"/>
  <c r="E103" i="36"/>
  <c r="H102" i="36"/>
  <c r="D102" i="36"/>
  <c r="J100" i="36"/>
  <c r="K100" i="36" s="1"/>
  <c r="I99" i="36"/>
  <c r="E99" i="36"/>
  <c r="H98" i="36"/>
  <c r="D98" i="36"/>
  <c r="J96" i="36"/>
  <c r="F94" i="36"/>
  <c r="J94" i="36"/>
  <c r="J93" i="36"/>
  <c r="H123" i="36"/>
  <c r="D123" i="36"/>
  <c r="H119" i="36"/>
  <c r="D119" i="36"/>
  <c r="H115" i="36"/>
  <c r="D115" i="36"/>
  <c r="H111" i="36"/>
  <c r="D111" i="36"/>
  <c r="H107" i="36"/>
  <c r="D107" i="36"/>
  <c r="H103" i="36"/>
  <c r="D103" i="36"/>
  <c r="H99" i="36"/>
  <c r="D99" i="36"/>
  <c r="D96" i="36"/>
  <c r="H96" i="36"/>
  <c r="E93" i="36"/>
  <c r="K93" i="36" s="1"/>
  <c r="I93" i="36"/>
  <c r="D81" i="36"/>
  <c r="H81" i="36"/>
  <c r="E81" i="36"/>
  <c r="I81" i="36"/>
  <c r="F81" i="36"/>
  <c r="F126" i="36"/>
  <c r="K95" i="36"/>
  <c r="D89" i="36"/>
  <c r="H89" i="36"/>
  <c r="E89" i="36"/>
  <c r="I89" i="36"/>
  <c r="D85" i="36"/>
  <c r="H85" i="36"/>
  <c r="E85" i="36"/>
  <c r="I85" i="36"/>
  <c r="J127" i="36"/>
  <c r="I126" i="36"/>
  <c r="J123" i="36"/>
  <c r="I122" i="36"/>
  <c r="J119" i="36"/>
  <c r="I118" i="36"/>
  <c r="J115" i="36"/>
  <c r="I114" i="36"/>
  <c r="J111" i="36"/>
  <c r="I110" i="36"/>
  <c r="J107" i="36"/>
  <c r="I106" i="36"/>
  <c r="J103" i="36"/>
  <c r="I102" i="36"/>
  <c r="J99" i="36"/>
  <c r="I98" i="36"/>
  <c r="F96" i="36"/>
  <c r="F93" i="36"/>
  <c r="K91" i="36"/>
  <c r="E90" i="36"/>
  <c r="K90" i="36" s="1"/>
  <c r="I90" i="36"/>
  <c r="F90" i="36"/>
  <c r="J90" i="36"/>
  <c r="J89" i="36"/>
  <c r="K87" i="36"/>
  <c r="E86" i="36"/>
  <c r="K86" i="36" s="1"/>
  <c r="I86" i="36"/>
  <c r="F86" i="36"/>
  <c r="J86" i="36"/>
  <c r="J85" i="36"/>
  <c r="K83" i="36"/>
  <c r="E82" i="36"/>
  <c r="K82" i="36" s="1"/>
  <c r="I82" i="36"/>
  <c r="F82" i="36"/>
  <c r="J82" i="36"/>
  <c r="J81" i="36"/>
  <c r="J77" i="36"/>
  <c r="F77" i="36"/>
  <c r="J73" i="36"/>
  <c r="F73" i="36"/>
  <c r="J69" i="36"/>
  <c r="F69" i="36"/>
  <c r="J65" i="36"/>
  <c r="F65" i="36"/>
  <c r="J61" i="36"/>
  <c r="F61" i="36"/>
  <c r="G53" i="36"/>
  <c r="K52" i="36"/>
  <c r="E51" i="36"/>
  <c r="K51" i="36" s="1"/>
  <c r="I51" i="36"/>
  <c r="F51" i="36"/>
  <c r="J51" i="36"/>
  <c r="J50" i="36"/>
  <c r="K48" i="36"/>
  <c r="E47" i="36"/>
  <c r="I47" i="36"/>
  <c r="F47" i="36"/>
  <c r="J47" i="36"/>
  <c r="J46" i="36"/>
  <c r="K44" i="36"/>
  <c r="E43" i="36"/>
  <c r="K43" i="36" s="1"/>
  <c r="I43" i="36"/>
  <c r="F43" i="36"/>
  <c r="J43" i="36"/>
  <c r="J42" i="36"/>
  <c r="K40" i="36"/>
  <c r="E39" i="36"/>
  <c r="K39" i="36" s="1"/>
  <c r="I39" i="36"/>
  <c r="F39" i="36"/>
  <c r="J39" i="36"/>
  <c r="J38" i="36"/>
  <c r="K36" i="36"/>
  <c r="H92" i="36"/>
  <c r="K92" i="36" s="1"/>
  <c r="H88" i="36"/>
  <c r="K88" i="36" s="1"/>
  <c r="H84" i="36"/>
  <c r="K84" i="36" s="1"/>
  <c r="H80" i="36"/>
  <c r="K80" i="36" s="1"/>
  <c r="J78" i="36"/>
  <c r="F78" i="36"/>
  <c r="K78" i="36" s="1"/>
  <c r="I77" i="36"/>
  <c r="E77" i="36"/>
  <c r="K77" i="36" s="1"/>
  <c r="H76" i="36"/>
  <c r="K76" i="36" s="1"/>
  <c r="J74" i="36"/>
  <c r="F74" i="36"/>
  <c r="K74" i="36" s="1"/>
  <c r="I73" i="36"/>
  <c r="E73" i="36"/>
  <c r="K73" i="36" s="1"/>
  <c r="H72" i="36"/>
  <c r="K72" i="36" s="1"/>
  <c r="J70" i="36"/>
  <c r="F70" i="36"/>
  <c r="K70" i="36" s="1"/>
  <c r="I69" i="36"/>
  <c r="E69" i="36"/>
  <c r="K69" i="36" s="1"/>
  <c r="H68" i="36"/>
  <c r="K68" i="36" s="1"/>
  <c r="J66" i="36"/>
  <c r="F66" i="36"/>
  <c r="K66" i="36" s="1"/>
  <c r="I65" i="36"/>
  <c r="E65" i="36"/>
  <c r="K65" i="36" s="1"/>
  <c r="H64" i="36"/>
  <c r="K64" i="36" s="1"/>
  <c r="J62" i="36"/>
  <c r="F62" i="36"/>
  <c r="K62" i="36" s="1"/>
  <c r="I61" i="36"/>
  <c r="E61" i="36"/>
  <c r="K61" i="36" s="1"/>
  <c r="H60" i="36"/>
  <c r="K60" i="36" s="1"/>
  <c r="J58" i="36"/>
  <c r="F58" i="36"/>
  <c r="K58" i="36" s="1"/>
  <c r="I57" i="36"/>
  <c r="E57" i="36"/>
  <c r="F55" i="36"/>
  <c r="K55" i="36" s="1"/>
  <c r="J55" i="36"/>
  <c r="J54" i="36"/>
  <c r="F53" i="36"/>
  <c r="H51" i="36"/>
  <c r="G50" i="36"/>
  <c r="H47" i="36"/>
  <c r="K47" i="36" s="1"/>
  <c r="G46" i="36"/>
  <c r="H43" i="36"/>
  <c r="H39" i="36"/>
  <c r="I78" i="36"/>
  <c r="H77" i="36"/>
  <c r="I74" i="36"/>
  <c r="H73" i="36"/>
  <c r="I70" i="36"/>
  <c r="H69" i="36"/>
  <c r="I66" i="36"/>
  <c r="H65" i="36"/>
  <c r="I62" i="36"/>
  <c r="H61" i="36"/>
  <c r="I58" i="36"/>
  <c r="E54" i="36"/>
  <c r="K54" i="36" s="1"/>
  <c r="I54" i="36"/>
  <c r="J53" i="36"/>
  <c r="G51" i="36"/>
  <c r="D35" i="36"/>
  <c r="H35" i="36"/>
  <c r="E35" i="36"/>
  <c r="I35" i="36"/>
  <c r="F35" i="36"/>
  <c r="J35" i="36"/>
  <c r="K56" i="36"/>
  <c r="D53" i="36"/>
  <c r="K53" i="36" s="1"/>
  <c r="H53" i="36"/>
  <c r="D50" i="36"/>
  <c r="H50" i="36"/>
  <c r="E50" i="36"/>
  <c r="I50" i="36"/>
  <c r="D46" i="36"/>
  <c r="H46" i="36"/>
  <c r="E46" i="36"/>
  <c r="I46" i="36"/>
  <c r="D42" i="36"/>
  <c r="K42" i="36" s="1"/>
  <c r="H42" i="36"/>
  <c r="E42" i="36"/>
  <c r="I42" i="36"/>
  <c r="D38" i="36"/>
  <c r="H38" i="36"/>
  <c r="E38" i="36"/>
  <c r="I38" i="36"/>
  <c r="H49" i="36"/>
  <c r="K49" i="36" s="1"/>
  <c r="H45" i="36"/>
  <c r="K45" i="36" s="1"/>
  <c r="H41" i="36"/>
  <c r="K41" i="36" s="1"/>
  <c r="H37" i="36"/>
  <c r="K37" i="36" s="1"/>
  <c r="I34" i="36"/>
  <c r="E34" i="36"/>
  <c r="K34" i="36" s="1"/>
  <c r="H33" i="36"/>
  <c r="K33" i="36" s="1"/>
  <c r="J31" i="36"/>
  <c r="F31" i="36"/>
  <c r="I30" i="36"/>
  <c r="E30" i="36"/>
  <c r="K30" i="36" s="1"/>
  <c r="H29" i="36"/>
  <c r="K29" i="36" s="1"/>
  <c r="J27" i="36"/>
  <c r="F27" i="36"/>
  <c r="I26" i="36"/>
  <c r="E26" i="36"/>
  <c r="K26" i="36" s="1"/>
  <c r="H25" i="36"/>
  <c r="K25" i="36" s="1"/>
  <c r="J23" i="36"/>
  <c r="F23" i="36"/>
  <c r="I22" i="36"/>
  <c r="E22" i="36"/>
  <c r="K22" i="36" s="1"/>
  <c r="H21" i="36"/>
  <c r="K21" i="36" s="1"/>
  <c r="J19" i="36"/>
  <c r="F19" i="36"/>
  <c r="I18" i="36"/>
  <c r="E18" i="36"/>
  <c r="K18" i="36" s="1"/>
  <c r="H17" i="36"/>
  <c r="K17" i="36" s="1"/>
  <c r="J15" i="36"/>
  <c r="F15" i="36"/>
  <c r="K15" i="36" s="1"/>
  <c r="I14" i="36"/>
  <c r="E14" i="36"/>
  <c r="H13" i="36"/>
  <c r="K13" i="36" s="1"/>
  <c r="J11" i="36"/>
  <c r="F11" i="36"/>
  <c r="I10" i="36"/>
  <c r="E10" i="36"/>
  <c r="H9" i="36"/>
  <c r="K9" i="36" s="1"/>
  <c r="H34" i="36"/>
  <c r="I31" i="36"/>
  <c r="E31" i="36"/>
  <c r="K31" i="36" s="1"/>
  <c r="H30" i="36"/>
  <c r="I27" i="36"/>
  <c r="E27" i="36"/>
  <c r="K27" i="36" s="1"/>
  <c r="H26" i="36"/>
  <c r="I23" i="36"/>
  <c r="E23" i="36"/>
  <c r="K23" i="36" s="1"/>
  <c r="H22" i="36"/>
  <c r="I19" i="36"/>
  <c r="E19" i="36"/>
  <c r="K19" i="36" s="1"/>
  <c r="H18" i="36"/>
  <c r="I15" i="36"/>
  <c r="H14" i="36"/>
  <c r="D14" i="36"/>
  <c r="K14" i="36" s="1"/>
  <c r="I11" i="36"/>
  <c r="E11" i="36"/>
  <c r="K11" i="36" s="1"/>
  <c r="H10" i="36"/>
  <c r="D10" i="36"/>
  <c r="K10" i="36" s="1"/>
  <c r="H31" i="36"/>
  <c r="H27" i="36"/>
  <c r="H23" i="36"/>
  <c r="H19" i="36"/>
  <c r="E272" i="33"/>
  <c r="E264" i="33"/>
  <c r="E260" i="33"/>
  <c r="E276" i="33"/>
  <c r="E218" i="33"/>
  <c r="E210" i="33"/>
  <c r="E202" i="33"/>
  <c r="E194" i="33"/>
  <c r="E186" i="33"/>
  <c r="E178" i="33"/>
  <c r="E222" i="33"/>
  <c r="E214" i="33"/>
  <c r="E206" i="33"/>
  <c r="E198" i="33"/>
  <c r="E190" i="33"/>
  <c r="E182" i="33"/>
  <c r="E174" i="33"/>
  <c r="E170" i="33"/>
  <c r="E160" i="33"/>
  <c r="E152" i="33"/>
  <c r="E144" i="33"/>
  <c r="E164" i="33"/>
  <c r="E156" i="33"/>
  <c r="E148" i="33"/>
  <c r="E140" i="33"/>
  <c r="E98" i="33"/>
  <c r="E41" i="33"/>
  <c r="E33" i="33"/>
  <c r="E25" i="33"/>
  <c r="E17" i="33"/>
  <c r="E9" i="33"/>
  <c r="E29" i="33"/>
  <c r="E21" i="33"/>
  <c r="E13" i="33"/>
  <c r="E311" i="32"/>
  <c r="G311" i="32" s="1"/>
  <c r="E307" i="32"/>
  <c r="G307" i="32" s="1"/>
  <c r="E303" i="32"/>
  <c r="G303" i="32" s="1"/>
  <c r="H301" i="32"/>
  <c r="E301" i="32"/>
  <c r="G301" i="32" s="1"/>
  <c r="H299" i="32"/>
  <c r="E299" i="32"/>
  <c r="G299" i="32" s="1"/>
  <c r="H297" i="32"/>
  <c r="E297" i="32"/>
  <c r="G297" i="32" s="1"/>
  <c r="H295" i="32"/>
  <c r="E295" i="32"/>
  <c r="G295" i="32" s="1"/>
  <c r="H293" i="32"/>
  <c r="E293" i="32"/>
  <c r="G293" i="32" s="1"/>
  <c r="H291" i="32"/>
  <c r="E291" i="32"/>
  <c r="G291" i="32" s="1"/>
  <c r="H289" i="32"/>
  <c r="E289" i="32"/>
  <c r="G289" i="32" s="1"/>
  <c r="H287" i="32"/>
  <c r="E287" i="32"/>
  <c r="G287" i="32" s="1"/>
  <c r="H285" i="32"/>
  <c r="E285" i="32"/>
  <c r="G285" i="32" s="1"/>
  <c r="H283" i="32"/>
  <c r="E283" i="32"/>
  <c r="G283" i="32" s="1"/>
  <c r="H281" i="32"/>
  <c r="E281" i="32"/>
  <c r="G281" i="32" s="1"/>
  <c r="H279" i="32"/>
  <c r="E279" i="32"/>
  <c r="G279" i="32" s="1"/>
  <c r="H277" i="32"/>
  <c r="E277" i="32"/>
  <c r="G277" i="32" s="1"/>
  <c r="H275" i="32"/>
  <c r="E275" i="32"/>
  <c r="G275" i="32" s="1"/>
  <c r="H273" i="32"/>
  <c r="E273" i="32"/>
  <c r="G273" i="32" s="1"/>
  <c r="H271" i="32"/>
  <c r="E271" i="32"/>
  <c r="G271" i="32" s="1"/>
  <c r="E313" i="32"/>
  <c r="G313" i="32" s="1"/>
  <c r="E309" i="32"/>
  <c r="G309" i="32" s="1"/>
  <c r="E305" i="32"/>
  <c r="G305" i="32" s="1"/>
  <c r="H300" i="32"/>
  <c r="E300" i="32"/>
  <c r="G300" i="32" s="1"/>
  <c r="H298" i="32"/>
  <c r="E298" i="32"/>
  <c r="G298" i="32" s="1"/>
  <c r="H296" i="32"/>
  <c r="E296" i="32"/>
  <c r="G296" i="32" s="1"/>
  <c r="H294" i="32"/>
  <c r="E294" i="32"/>
  <c r="G294" i="32" s="1"/>
  <c r="H292" i="32"/>
  <c r="E292" i="32"/>
  <c r="G292" i="32" s="1"/>
  <c r="H290" i="32"/>
  <c r="E290" i="32"/>
  <c r="G290" i="32" s="1"/>
  <c r="H288" i="32"/>
  <c r="E288" i="32"/>
  <c r="G288" i="32" s="1"/>
  <c r="H286" i="32"/>
  <c r="E286" i="32"/>
  <c r="G286" i="32" s="1"/>
  <c r="H284" i="32"/>
  <c r="E284" i="32"/>
  <c r="G284" i="32" s="1"/>
  <c r="H282" i="32"/>
  <c r="E282" i="32"/>
  <c r="G282" i="32" s="1"/>
  <c r="H280" i="32"/>
  <c r="E280" i="32"/>
  <c r="G280" i="32" s="1"/>
  <c r="H278" i="32"/>
  <c r="E278" i="32"/>
  <c r="G278" i="32" s="1"/>
  <c r="H276" i="32"/>
  <c r="E276" i="32"/>
  <c r="G276" i="32" s="1"/>
  <c r="H274" i="32"/>
  <c r="E274" i="32"/>
  <c r="G274" i="32" s="1"/>
  <c r="H272" i="32"/>
  <c r="E272" i="32"/>
  <c r="G272" i="32" s="1"/>
  <c r="E270" i="32"/>
  <c r="G270" i="32" s="1"/>
  <c r="E269" i="32"/>
  <c r="G269" i="32" s="1"/>
  <c r="E268" i="32"/>
  <c r="G268" i="32" s="1"/>
  <c r="E267" i="32"/>
  <c r="G267" i="32" s="1"/>
  <c r="E266" i="32"/>
  <c r="G266" i="32" s="1"/>
  <c r="E265" i="32"/>
  <c r="G265" i="32" s="1"/>
  <c r="E264" i="32"/>
  <c r="G264" i="32" s="1"/>
  <c r="E263" i="32"/>
  <c r="G263" i="32" s="1"/>
  <c r="E262" i="32"/>
  <c r="G262" i="32" s="1"/>
  <c r="E261" i="32"/>
  <c r="G261" i="32" s="1"/>
  <c r="E260" i="32"/>
  <c r="G260" i="32" s="1"/>
  <c r="E259" i="32"/>
  <c r="G259" i="32" s="1"/>
  <c r="E258" i="32"/>
  <c r="G258" i="32" s="1"/>
  <c r="E257" i="32"/>
  <c r="G257" i="32" s="1"/>
  <c r="E256" i="32"/>
  <c r="G256" i="32" s="1"/>
  <c r="E255" i="32"/>
  <c r="G255" i="32" s="1"/>
  <c r="E254" i="32"/>
  <c r="G254" i="32" s="1"/>
  <c r="E253" i="32"/>
  <c r="G253" i="32" s="1"/>
  <c r="E252" i="32"/>
  <c r="G252" i="32" s="1"/>
  <c r="E251" i="32"/>
  <c r="G251" i="32" s="1"/>
  <c r="E250" i="32"/>
  <c r="G250" i="32" s="1"/>
  <c r="E249" i="32"/>
  <c r="G249" i="32" s="1"/>
  <c r="E248" i="32"/>
  <c r="G248" i="32" s="1"/>
  <c r="E247" i="32"/>
  <c r="G247" i="32" s="1"/>
  <c r="E246" i="32"/>
  <c r="G246" i="32" s="1"/>
  <c r="E245" i="32"/>
  <c r="G245" i="32" s="1"/>
  <c r="E244" i="32"/>
  <c r="G244" i="32" s="1"/>
  <c r="E243" i="32"/>
  <c r="G243" i="32" s="1"/>
  <c r="E242" i="32"/>
  <c r="G242" i="32" s="1"/>
  <c r="E241" i="32"/>
  <c r="G241" i="32" s="1"/>
  <c r="E240" i="32"/>
  <c r="G240" i="32" s="1"/>
  <c r="E239" i="32"/>
  <c r="G239" i="32" s="1"/>
  <c r="E238" i="32"/>
  <c r="G238" i="32" s="1"/>
  <c r="E237" i="32"/>
  <c r="G237" i="32" s="1"/>
  <c r="E236" i="32"/>
  <c r="G236" i="32" s="1"/>
  <c r="E235" i="32"/>
  <c r="G235" i="32" s="1"/>
  <c r="E234" i="32"/>
  <c r="G234" i="32" s="1"/>
  <c r="E233" i="32"/>
  <c r="G233" i="32" s="1"/>
  <c r="E232" i="32"/>
  <c r="G232" i="32" s="1"/>
  <c r="E231" i="32"/>
  <c r="G231" i="32" s="1"/>
  <c r="E230" i="32"/>
  <c r="G230" i="32" s="1"/>
  <c r="E229" i="32"/>
  <c r="G229" i="32" s="1"/>
  <c r="E228" i="32"/>
  <c r="G228" i="32" s="1"/>
  <c r="E227" i="32"/>
  <c r="G227" i="32" s="1"/>
  <c r="E226" i="32"/>
  <c r="G226" i="32" s="1"/>
  <c r="E225" i="32"/>
  <c r="G225" i="32" s="1"/>
  <c r="E224" i="32"/>
  <c r="G224" i="32" s="1"/>
  <c r="E223" i="32"/>
  <c r="G223" i="32" s="1"/>
  <c r="E222" i="32"/>
  <c r="G222" i="32" s="1"/>
  <c r="E221" i="32"/>
  <c r="G221" i="32" s="1"/>
  <c r="E220" i="32"/>
  <c r="G220" i="32" s="1"/>
  <c r="E219" i="32"/>
  <c r="G219" i="32" s="1"/>
  <c r="E218" i="32"/>
  <c r="G218" i="32" s="1"/>
  <c r="E217" i="32"/>
  <c r="G217" i="32" s="1"/>
  <c r="E216" i="32"/>
  <c r="G216" i="32" s="1"/>
  <c r="E215" i="32"/>
  <c r="G215" i="32" s="1"/>
  <c r="E214" i="32"/>
  <c r="G214" i="32" s="1"/>
  <c r="E213" i="32"/>
  <c r="G213" i="32" s="1"/>
  <c r="E212" i="32"/>
  <c r="G212" i="32" s="1"/>
  <c r="E211" i="32"/>
  <c r="G211" i="32" s="1"/>
  <c r="E210" i="32"/>
  <c r="G210" i="32" s="1"/>
  <c r="E209" i="32"/>
  <c r="G209" i="32" s="1"/>
  <c r="E208" i="32"/>
  <c r="G208" i="32" s="1"/>
  <c r="E207" i="32"/>
  <c r="G207" i="32" s="1"/>
  <c r="E206" i="32"/>
  <c r="G206" i="32" s="1"/>
  <c r="E205" i="32"/>
  <c r="G205" i="32" s="1"/>
  <c r="E204" i="32"/>
  <c r="G204" i="32" s="1"/>
  <c r="E203" i="32"/>
  <c r="G203" i="32" s="1"/>
  <c r="E202" i="32"/>
  <c r="G202" i="32" s="1"/>
  <c r="E201" i="32"/>
  <c r="G201" i="32" s="1"/>
  <c r="E200" i="32"/>
  <c r="G200" i="32" s="1"/>
  <c r="E199" i="32"/>
  <c r="G199" i="32" s="1"/>
  <c r="E198" i="32"/>
  <c r="G198" i="32" s="1"/>
  <c r="E197" i="32"/>
  <c r="G197" i="32" s="1"/>
  <c r="E196" i="32"/>
  <c r="G196" i="32" s="1"/>
  <c r="E195" i="32"/>
  <c r="G195" i="32" s="1"/>
  <c r="E194" i="32"/>
  <c r="G194" i="32" s="1"/>
  <c r="E193" i="32"/>
  <c r="G193" i="32" s="1"/>
  <c r="E192" i="32"/>
  <c r="G192" i="32" s="1"/>
  <c r="E190" i="32"/>
  <c r="G190" i="32" s="1"/>
  <c r="E186" i="32"/>
  <c r="G186" i="32" s="1"/>
  <c r="E182" i="32"/>
  <c r="G182" i="32" s="1"/>
  <c r="H179" i="32"/>
  <c r="E179" i="32"/>
  <c r="G179" i="32" s="1"/>
  <c r="H177" i="32"/>
  <c r="E177" i="32"/>
  <c r="G177" i="32" s="1"/>
  <c r="H175" i="32"/>
  <c r="E175" i="32"/>
  <c r="G175" i="32" s="1"/>
  <c r="H173" i="32"/>
  <c r="E173" i="32"/>
  <c r="G173" i="32" s="1"/>
  <c r="H171" i="32"/>
  <c r="E171" i="32"/>
  <c r="G171" i="32" s="1"/>
  <c r="H169" i="32"/>
  <c r="E169" i="32"/>
  <c r="G169" i="32" s="1"/>
  <c r="H167" i="32"/>
  <c r="E167" i="32"/>
  <c r="G167" i="32" s="1"/>
  <c r="H165" i="32"/>
  <c r="E165" i="32"/>
  <c r="G165" i="32" s="1"/>
  <c r="H163" i="32"/>
  <c r="E163" i="32"/>
  <c r="G163" i="32" s="1"/>
  <c r="H161" i="32"/>
  <c r="E161" i="32"/>
  <c r="G161" i="32" s="1"/>
  <c r="H159" i="32"/>
  <c r="E159" i="32"/>
  <c r="G159" i="32" s="1"/>
  <c r="H178" i="32"/>
  <c r="E178" i="32"/>
  <c r="G178" i="32" s="1"/>
  <c r="H176" i="32"/>
  <c r="E176" i="32"/>
  <c r="G176" i="32" s="1"/>
  <c r="H174" i="32"/>
  <c r="E174" i="32"/>
  <c r="G174" i="32" s="1"/>
  <c r="H172" i="32"/>
  <c r="E172" i="32"/>
  <c r="G172" i="32" s="1"/>
  <c r="H170" i="32"/>
  <c r="E170" i="32"/>
  <c r="G170" i="32" s="1"/>
  <c r="H168" i="32"/>
  <c r="E168" i="32"/>
  <c r="G168" i="32" s="1"/>
  <c r="H166" i="32"/>
  <c r="E166" i="32"/>
  <c r="G166" i="32" s="1"/>
  <c r="H164" i="32"/>
  <c r="E164" i="32"/>
  <c r="G164" i="32" s="1"/>
  <c r="H162" i="32"/>
  <c r="E162" i="32"/>
  <c r="G162" i="32" s="1"/>
  <c r="H160" i="32"/>
  <c r="E160" i="32"/>
  <c r="G160" i="32" s="1"/>
  <c r="E158" i="32"/>
  <c r="G158" i="32" s="1"/>
  <c r="E157" i="32"/>
  <c r="G157" i="32" s="1"/>
  <c r="E156" i="32"/>
  <c r="G156" i="32" s="1"/>
  <c r="E155" i="32"/>
  <c r="G155" i="32" s="1"/>
  <c r="E154" i="32"/>
  <c r="G154" i="32" s="1"/>
  <c r="E153" i="32"/>
  <c r="G153" i="32" s="1"/>
  <c r="E152" i="32"/>
  <c r="G152" i="32" s="1"/>
  <c r="E151" i="32"/>
  <c r="G151" i="32" s="1"/>
  <c r="E150" i="32"/>
  <c r="G150" i="32" s="1"/>
  <c r="E149" i="32"/>
  <c r="G149" i="32" s="1"/>
  <c r="E148" i="32"/>
  <c r="G148" i="32" s="1"/>
  <c r="E147" i="32"/>
  <c r="G147" i="32" s="1"/>
  <c r="E146" i="32"/>
  <c r="G146" i="32" s="1"/>
  <c r="E145" i="32"/>
  <c r="G145" i="32" s="1"/>
  <c r="E144" i="32"/>
  <c r="G144" i="32" s="1"/>
  <c r="E143" i="32"/>
  <c r="G143" i="32" s="1"/>
  <c r="E142" i="32"/>
  <c r="G142" i="32" s="1"/>
  <c r="E141" i="32"/>
  <c r="G141" i="32" s="1"/>
  <c r="E140" i="32"/>
  <c r="G140" i="32" s="1"/>
  <c r="E139" i="32"/>
  <c r="G139" i="32" s="1"/>
  <c r="E138" i="32"/>
  <c r="G138" i="32" s="1"/>
  <c r="E137" i="32"/>
  <c r="G137" i="32" s="1"/>
  <c r="E136" i="32"/>
  <c r="G136" i="32" s="1"/>
  <c r="E135" i="32"/>
  <c r="G135" i="32" s="1"/>
  <c r="E134" i="32"/>
  <c r="G134" i="32" s="1"/>
  <c r="E133" i="32"/>
  <c r="G133" i="32" s="1"/>
  <c r="E132" i="32"/>
  <c r="G132" i="32" s="1"/>
  <c r="E131" i="32"/>
  <c r="G131" i="32" s="1"/>
  <c r="E130" i="32"/>
  <c r="G130" i="32" s="1"/>
  <c r="E129" i="32"/>
  <c r="G129" i="32" s="1"/>
  <c r="E128" i="32"/>
  <c r="G128" i="32" s="1"/>
  <c r="E127" i="32"/>
  <c r="G127" i="32" s="1"/>
  <c r="E126" i="32"/>
  <c r="G126" i="32" s="1"/>
  <c r="E125" i="32"/>
  <c r="G125" i="32" s="1"/>
  <c r="E124" i="32"/>
  <c r="G124" i="32" s="1"/>
  <c r="E123" i="32"/>
  <c r="G123" i="32" s="1"/>
  <c r="E122" i="32"/>
  <c r="G122" i="32" s="1"/>
  <c r="E121" i="32"/>
  <c r="G121" i="32" s="1"/>
  <c r="E120" i="32"/>
  <c r="G120" i="32" s="1"/>
  <c r="E116" i="32"/>
  <c r="G116" i="32" s="1"/>
  <c r="E112" i="32"/>
  <c r="G112" i="32" s="1"/>
  <c r="E108" i="32"/>
  <c r="G108" i="32" s="1"/>
  <c r="E104" i="32"/>
  <c r="G104" i="32" s="1"/>
  <c r="E100" i="32"/>
  <c r="G100" i="32" s="1"/>
  <c r="E96" i="32"/>
  <c r="G96" i="32" s="1"/>
  <c r="E92" i="32"/>
  <c r="G92" i="32" s="1"/>
  <c r="E88" i="32"/>
  <c r="G88" i="32" s="1"/>
  <c r="E84" i="32"/>
  <c r="G84" i="32" s="1"/>
  <c r="E80" i="32"/>
  <c r="G80" i="32" s="1"/>
  <c r="G77" i="32"/>
  <c r="G75" i="32"/>
  <c r="G73" i="32"/>
  <c r="G71" i="32"/>
  <c r="G69" i="32"/>
  <c r="G67" i="32"/>
  <c r="G65" i="32"/>
  <c r="G63" i="32"/>
  <c r="G59" i="32"/>
  <c r="G55" i="32"/>
  <c r="G51" i="32"/>
  <c r="G47" i="32"/>
  <c r="E117" i="32"/>
  <c r="G117" i="32" s="1"/>
  <c r="E113" i="32"/>
  <c r="G113" i="32" s="1"/>
  <c r="E109" i="32"/>
  <c r="G109" i="32" s="1"/>
  <c r="E105" i="32"/>
  <c r="G105" i="32" s="1"/>
  <c r="E101" i="32"/>
  <c r="G101" i="32" s="1"/>
  <c r="E97" i="32"/>
  <c r="G97" i="32" s="1"/>
  <c r="E93" i="32"/>
  <c r="G93" i="32" s="1"/>
  <c r="E89" i="32"/>
  <c r="G89" i="32" s="1"/>
  <c r="E85" i="32"/>
  <c r="G85" i="32" s="1"/>
  <c r="E81" i="32"/>
  <c r="G81" i="32" s="1"/>
  <c r="G62" i="32"/>
  <c r="G58" i="32"/>
  <c r="G54" i="32"/>
  <c r="G50"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6" i="32"/>
  <c r="H35" i="32"/>
  <c r="R313" i="19"/>
  <c r="U313" i="19" s="1"/>
  <c r="T313" i="19"/>
  <c r="T311" i="19"/>
  <c r="R311" i="19"/>
  <c r="U311" i="19" s="1"/>
  <c r="T306" i="19"/>
  <c r="R306" i="19"/>
  <c r="U306" i="19" s="1"/>
  <c r="T303" i="19"/>
  <c r="R303" i="19"/>
  <c r="U303" i="19" s="1"/>
  <c r="R293" i="19"/>
  <c r="U293" i="19" s="1"/>
  <c r="T293" i="19"/>
  <c r="R290" i="19"/>
  <c r="U290" i="19" s="1"/>
  <c r="T290" i="19"/>
  <c r="R286" i="19"/>
  <c r="U286" i="19" s="1"/>
  <c r="T286" i="19"/>
  <c r="T314" i="19"/>
  <c r="R314" i="19"/>
  <c r="U314" i="19" s="1"/>
  <c r="T307" i="19"/>
  <c r="R307" i="19"/>
  <c r="U307" i="19" s="1"/>
  <c r="R304" i="19"/>
  <c r="U304" i="19" s="1"/>
  <c r="T304" i="19"/>
  <c r="R297" i="19"/>
  <c r="U297" i="19" s="1"/>
  <c r="T297" i="19"/>
  <c r="R294" i="19"/>
  <c r="U294" i="19" s="1"/>
  <c r="T294" i="19"/>
  <c r="T291" i="19"/>
  <c r="R291" i="19"/>
  <c r="U291" i="19" s="1"/>
  <c r="T288" i="19"/>
  <c r="R288" i="19"/>
  <c r="U288" i="19" s="1"/>
  <c r="T284" i="19"/>
  <c r="R284" i="19"/>
  <c r="U284" i="19" s="1"/>
  <c r="T280" i="19"/>
  <c r="R280" i="19"/>
  <c r="U280" i="19" s="1"/>
  <c r="T279" i="19"/>
  <c r="R279" i="19"/>
  <c r="U279" i="19" s="1"/>
  <c r="T271" i="19"/>
  <c r="R271" i="19"/>
  <c r="U271" i="19" s="1"/>
  <c r="T263" i="19"/>
  <c r="R263" i="19"/>
  <c r="U263" i="19" s="1"/>
  <c r="R301" i="19"/>
  <c r="U301" i="19" s="1"/>
  <c r="T301" i="19"/>
  <c r="T298" i="19"/>
  <c r="R298" i="19"/>
  <c r="U298" i="19" s="1"/>
  <c r="R273" i="19"/>
  <c r="U273" i="19" s="1"/>
  <c r="T273" i="19"/>
  <c r="R265" i="19"/>
  <c r="U265" i="19" s="1"/>
  <c r="T265" i="19"/>
  <c r="T315" i="19"/>
  <c r="R315" i="19"/>
  <c r="U315" i="19" s="1"/>
  <c r="R308" i="19"/>
  <c r="U308" i="19" s="1"/>
  <c r="T308" i="19"/>
  <c r="T295" i="19"/>
  <c r="R295" i="19"/>
  <c r="U295" i="19" s="1"/>
  <c r="R292" i="19"/>
  <c r="U292" i="19" s="1"/>
  <c r="T292" i="19"/>
  <c r="R312" i="19"/>
  <c r="U312" i="19" s="1"/>
  <c r="T312" i="19"/>
  <c r="R305" i="19"/>
  <c r="U305" i="19" s="1"/>
  <c r="T305" i="19"/>
  <c r="T302" i="19"/>
  <c r="R302" i="19"/>
  <c r="U302" i="19" s="1"/>
  <c r="T299" i="19"/>
  <c r="R299" i="19"/>
  <c r="U299" i="19" s="1"/>
  <c r="R296" i="19"/>
  <c r="U296" i="19" s="1"/>
  <c r="T296" i="19"/>
  <c r="R289" i="19"/>
  <c r="U289" i="19" s="1"/>
  <c r="T289" i="19"/>
  <c r="R285" i="19"/>
  <c r="U285" i="19" s="1"/>
  <c r="T285" i="19"/>
  <c r="R281" i="19"/>
  <c r="U281" i="19" s="1"/>
  <c r="T281" i="19"/>
  <c r="T275" i="19"/>
  <c r="R275" i="19"/>
  <c r="U275" i="19" s="1"/>
  <c r="T267" i="19"/>
  <c r="R267" i="19"/>
  <c r="U267" i="19" s="1"/>
  <c r="T259" i="19"/>
  <c r="R259" i="19"/>
  <c r="U259" i="19" s="1"/>
  <c r="R309" i="19"/>
  <c r="U309" i="19" s="1"/>
  <c r="T309" i="19"/>
  <c r="R300" i="19"/>
  <c r="U300" i="19" s="1"/>
  <c r="T300" i="19"/>
  <c r="R282" i="19"/>
  <c r="U282" i="19" s="1"/>
  <c r="T282" i="19"/>
  <c r="R277" i="19"/>
  <c r="U277" i="19" s="1"/>
  <c r="T277" i="19"/>
  <c r="R269" i="19"/>
  <c r="U269" i="19" s="1"/>
  <c r="T269" i="19"/>
  <c r="R261" i="19"/>
  <c r="U261" i="19" s="1"/>
  <c r="T261" i="19"/>
  <c r="R287" i="19"/>
  <c r="U287" i="19" s="1"/>
  <c r="R283" i="19"/>
  <c r="U283" i="19" s="1"/>
  <c r="Y278" i="19"/>
  <c r="Y276" i="19"/>
  <c r="Y274" i="19"/>
  <c r="Y272" i="19"/>
  <c r="Y270" i="19"/>
  <c r="Y268" i="19"/>
  <c r="Y266" i="19"/>
  <c r="Y264" i="19"/>
  <c r="Y262" i="19"/>
  <c r="Y260" i="19"/>
  <c r="Y258" i="19"/>
  <c r="R254" i="19"/>
  <c r="U254" i="19" s="1"/>
  <c r="R253" i="19"/>
  <c r="U253" i="19" s="1"/>
  <c r="T253" i="19"/>
  <c r="Y250" i="19"/>
  <c r="R246" i="19"/>
  <c r="U246" i="19" s="1"/>
  <c r="R245" i="19"/>
  <c r="U245" i="19" s="1"/>
  <c r="T245" i="19"/>
  <c r="T240" i="19"/>
  <c r="R240" i="19"/>
  <c r="U240" i="19" s="1"/>
  <c r="R238" i="19"/>
  <c r="U238" i="19" s="1"/>
  <c r="T238" i="19"/>
  <c r="R233" i="19"/>
  <c r="U233" i="19" s="1"/>
  <c r="T233" i="19"/>
  <c r="T224" i="19"/>
  <c r="R224" i="19"/>
  <c r="U224" i="19" s="1"/>
  <c r="R222" i="19"/>
  <c r="U222" i="19" s="1"/>
  <c r="T222" i="19"/>
  <c r="R217" i="19"/>
  <c r="U217" i="19" s="1"/>
  <c r="T217" i="19"/>
  <c r="T208" i="19"/>
  <c r="R208" i="19"/>
  <c r="U208" i="19" s="1"/>
  <c r="R206" i="19"/>
  <c r="U206" i="19" s="1"/>
  <c r="T206" i="19"/>
  <c r="R201" i="19"/>
  <c r="U201" i="19" s="1"/>
  <c r="T201" i="19"/>
  <c r="T192" i="19"/>
  <c r="R192" i="19"/>
  <c r="U192" i="19" s="1"/>
  <c r="R190" i="19"/>
  <c r="U190" i="19" s="1"/>
  <c r="T190" i="19"/>
  <c r="R185" i="19"/>
  <c r="U185" i="19" s="1"/>
  <c r="T185" i="19"/>
  <c r="R174" i="19"/>
  <c r="U174" i="19" s="1"/>
  <c r="T174" i="19"/>
  <c r="T173" i="19"/>
  <c r="R173" i="19"/>
  <c r="U173" i="19" s="1"/>
  <c r="T310" i="19"/>
  <c r="T255" i="19"/>
  <c r="R255" i="19"/>
  <c r="U255" i="19" s="1"/>
  <c r="G252" i="19"/>
  <c r="T247" i="19"/>
  <c r="R247" i="19"/>
  <c r="U247" i="19" s="1"/>
  <c r="T244" i="19"/>
  <c r="R242" i="19"/>
  <c r="U242" i="19" s="1"/>
  <c r="T242" i="19"/>
  <c r="R237" i="19"/>
  <c r="U237" i="19" s="1"/>
  <c r="T237" i="19"/>
  <c r="T228" i="19"/>
  <c r="R228" i="19"/>
  <c r="U228" i="19" s="1"/>
  <c r="R226" i="19"/>
  <c r="U226" i="19" s="1"/>
  <c r="T226" i="19"/>
  <c r="R221" i="19"/>
  <c r="U221" i="19" s="1"/>
  <c r="T221" i="19"/>
  <c r="T212" i="19"/>
  <c r="R212" i="19"/>
  <c r="U212" i="19" s="1"/>
  <c r="R210" i="19"/>
  <c r="U210" i="19" s="1"/>
  <c r="T210" i="19"/>
  <c r="R205" i="19"/>
  <c r="U205" i="19" s="1"/>
  <c r="T205" i="19"/>
  <c r="T196" i="19"/>
  <c r="R196" i="19"/>
  <c r="U196" i="19" s="1"/>
  <c r="R194" i="19"/>
  <c r="U194" i="19" s="1"/>
  <c r="T194" i="19"/>
  <c r="R189" i="19"/>
  <c r="U189" i="19" s="1"/>
  <c r="T189" i="19"/>
  <c r="T180" i="19"/>
  <c r="R180" i="19"/>
  <c r="U180" i="19" s="1"/>
  <c r="R178" i="19"/>
  <c r="U178" i="19" s="1"/>
  <c r="T178" i="19"/>
  <c r="T177" i="19"/>
  <c r="R177" i="19"/>
  <c r="U177" i="19" s="1"/>
  <c r="R258" i="19"/>
  <c r="U258" i="19" s="1"/>
  <c r="R257" i="19"/>
  <c r="U257" i="19" s="1"/>
  <c r="T257" i="19"/>
  <c r="R250" i="19"/>
  <c r="U250" i="19" s="1"/>
  <c r="R249" i="19"/>
  <c r="U249" i="19" s="1"/>
  <c r="T249" i="19"/>
  <c r="R241" i="19"/>
  <c r="U241" i="19" s="1"/>
  <c r="T241" i="19"/>
  <c r="T232" i="19"/>
  <c r="R232" i="19"/>
  <c r="U232" i="19" s="1"/>
  <c r="R230" i="19"/>
  <c r="U230" i="19" s="1"/>
  <c r="T230" i="19"/>
  <c r="R225" i="19"/>
  <c r="U225" i="19" s="1"/>
  <c r="T225" i="19"/>
  <c r="T216" i="19"/>
  <c r="R216" i="19"/>
  <c r="U216" i="19" s="1"/>
  <c r="R214" i="19"/>
  <c r="U214" i="19" s="1"/>
  <c r="T214" i="19"/>
  <c r="R209" i="19"/>
  <c r="U209" i="19" s="1"/>
  <c r="T209" i="19"/>
  <c r="T200" i="19"/>
  <c r="R200" i="19"/>
  <c r="U200" i="19" s="1"/>
  <c r="R198" i="19"/>
  <c r="U198" i="19" s="1"/>
  <c r="T198" i="19"/>
  <c r="R193" i="19"/>
  <c r="U193" i="19" s="1"/>
  <c r="T193" i="19"/>
  <c r="T184" i="19"/>
  <c r="R184" i="19"/>
  <c r="U184" i="19" s="1"/>
  <c r="R182" i="19"/>
  <c r="U182" i="19" s="1"/>
  <c r="T182" i="19"/>
  <c r="T251" i="19"/>
  <c r="R251" i="19"/>
  <c r="U251" i="19" s="1"/>
  <c r="T236" i="19"/>
  <c r="R236" i="19"/>
  <c r="U236" i="19" s="1"/>
  <c r="R234" i="19"/>
  <c r="U234" i="19" s="1"/>
  <c r="T234" i="19"/>
  <c r="R229" i="19"/>
  <c r="U229" i="19" s="1"/>
  <c r="T229" i="19"/>
  <c r="T220" i="19"/>
  <c r="R220" i="19"/>
  <c r="U220" i="19" s="1"/>
  <c r="R218" i="19"/>
  <c r="U218" i="19" s="1"/>
  <c r="T218" i="19"/>
  <c r="R213" i="19"/>
  <c r="U213" i="19" s="1"/>
  <c r="T213" i="19"/>
  <c r="T204" i="19"/>
  <c r="R204" i="19"/>
  <c r="U204" i="19" s="1"/>
  <c r="R202" i="19"/>
  <c r="U202" i="19" s="1"/>
  <c r="T202" i="19"/>
  <c r="R197" i="19"/>
  <c r="U197" i="19" s="1"/>
  <c r="T197" i="19"/>
  <c r="T188" i="19"/>
  <c r="R188" i="19"/>
  <c r="U188" i="19" s="1"/>
  <c r="R186" i="19"/>
  <c r="U186" i="19" s="1"/>
  <c r="T186" i="19"/>
  <c r="R181" i="19"/>
  <c r="U181" i="19" s="1"/>
  <c r="T181" i="19"/>
  <c r="R170" i="19"/>
  <c r="U170" i="19" s="1"/>
  <c r="T170" i="19"/>
  <c r="T169" i="19"/>
  <c r="R169" i="19"/>
  <c r="U169" i="19" s="1"/>
  <c r="R243" i="19"/>
  <c r="U243" i="19" s="1"/>
  <c r="R239" i="19"/>
  <c r="U239" i="19" s="1"/>
  <c r="R235" i="19"/>
  <c r="U235" i="19" s="1"/>
  <c r="R231" i="19"/>
  <c r="U231" i="19" s="1"/>
  <c r="R227" i="19"/>
  <c r="U227" i="19" s="1"/>
  <c r="R223" i="19"/>
  <c r="U223" i="19" s="1"/>
  <c r="R219" i="19"/>
  <c r="U219" i="19" s="1"/>
  <c r="R215" i="19"/>
  <c r="U215" i="19" s="1"/>
  <c r="R211" i="19"/>
  <c r="U211" i="19" s="1"/>
  <c r="R207" i="19"/>
  <c r="U207" i="19" s="1"/>
  <c r="R203" i="19"/>
  <c r="U203" i="19" s="1"/>
  <c r="R199" i="19"/>
  <c r="U199" i="19" s="1"/>
  <c r="R195" i="19"/>
  <c r="U195" i="19" s="1"/>
  <c r="R191" i="19"/>
  <c r="U191" i="19" s="1"/>
  <c r="R187" i="19"/>
  <c r="U187" i="19" s="1"/>
  <c r="R183" i="19"/>
  <c r="U183" i="19" s="1"/>
  <c r="R179" i="19"/>
  <c r="U179" i="19" s="1"/>
  <c r="G176" i="19"/>
  <c r="G172" i="19"/>
  <c r="Y170" i="19"/>
  <c r="G168" i="19"/>
  <c r="R165" i="19"/>
  <c r="U165" i="19" s="1"/>
  <c r="T159" i="19"/>
  <c r="T154" i="19"/>
  <c r="R154" i="19"/>
  <c r="U154" i="19" s="1"/>
  <c r="R148" i="19"/>
  <c r="U148" i="19" s="1"/>
  <c r="T148" i="19"/>
  <c r="R144" i="19"/>
  <c r="U144" i="19" s="1"/>
  <c r="T144" i="19"/>
  <c r="R125" i="19"/>
  <c r="U125" i="19" s="1"/>
  <c r="T125" i="19"/>
  <c r="T124" i="19"/>
  <c r="R124" i="19"/>
  <c r="U124" i="19" s="1"/>
  <c r="R109" i="19"/>
  <c r="U109" i="19" s="1"/>
  <c r="T109" i="19"/>
  <c r="Y177" i="19"/>
  <c r="R175" i="19"/>
  <c r="U175" i="19" s="1"/>
  <c r="Y174" i="19"/>
  <c r="R171" i="19"/>
  <c r="U171" i="19" s="1"/>
  <c r="T158" i="19"/>
  <c r="R158" i="19"/>
  <c r="U158" i="19" s="1"/>
  <c r="G152" i="19"/>
  <c r="T149" i="19"/>
  <c r="R149" i="19"/>
  <c r="U149" i="19" s="1"/>
  <c r="T145" i="19"/>
  <c r="R145" i="19"/>
  <c r="U145" i="19" s="1"/>
  <c r="T141" i="19"/>
  <c r="R141" i="19"/>
  <c r="U141" i="19" s="1"/>
  <c r="R129" i="19"/>
  <c r="U129" i="19" s="1"/>
  <c r="T129" i="19"/>
  <c r="T128" i="19"/>
  <c r="R128" i="19"/>
  <c r="U128" i="19" s="1"/>
  <c r="R113" i="19"/>
  <c r="U113" i="19" s="1"/>
  <c r="T113" i="19"/>
  <c r="Y162" i="19"/>
  <c r="T162" i="19"/>
  <c r="R162" i="19"/>
  <c r="U162" i="19" s="1"/>
  <c r="R160" i="19"/>
  <c r="U160" i="19" s="1"/>
  <c r="T160" i="19"/>
  <c r="R157" i="19"/>
  <c r="U157" i="19" s="1"/>
  <c r="G156" i="19"/>
  <c r="R151" i="19"/>
  <c r="U151" i="19" s="1"/>
  <c r="T151" i="19"/>
  <c r="R147" i="19"/>
  <c r="U147" i="19" s="1"/>
  <c r="T147" i="19"/>
  <c r="R143" i="19"/>
  <c r="U143" i="19" s="1"/>
  <c r="T143" i="19"/>
  <c r="T135" i="19"/>
  <c r="R135" i="19"/>
  <c r="U135" i="19" s="1"/>
  <c r="R133" i="19"/>
  <c r="U133" i="19" s="1"/>
  <c r="T133" i="19"/>
  <c r="T132" i="19"/>
  <c r="R132" i="19"/>
  <c r="U132" i="19" s="1"/>
  <c r="R117" i="19"/>
  <c r="U117" i="19" s="1"/>
  <c r="T117" i="19"/>
  <c r="T116" i="19"/>
  <c r="R116" i="19"/>
  <c r="U116" i="19" s="1"/>
  <c r="R167" i="19"/>
  <c r="U167" i="19" s="1"/>
  <c r="T166" i="19"/>
  <c r="R166" i="19"/>
  <c r="U166" i="19" s="1"/>
  <c r="R164" i="19"/>
  <c r="U164" i="19" s="1"/>
  <c r="T164" i="19"/>
  <c r="R161" i="19"/>
  <c r="U161" i="19" s="1"/>
  <c r="T155" i="19"/>
  <c r="O152" i="19"/>
  <c r="R140" i="19"/>
  <c r="U140" i="19" s="1"/>
  <c r="T140" i="19"/>
  <c r="R121" i="19"/>
  <c r="U121" i="19" s="1"/>
  <c r="T121" i="19"/>
  <c r="T120" i="19"/>
  <c r="R120" i="19"/>
  <c r="U120" i="19" s="1"/>
  <c r="T139" i="19"/>
  <c r="R130" i="19"/>
  <c r="U130" i="19" s="1"/>
  <c r="R126" i="19"/>
  <c r="U126" i="19" s="1"/>
  <c r="R122" i="19"/>
  <c r="U122" i="19" s="1"/>
  <c r="R118" i="19"/>
  <c r="U118" i="19" s="1"/>
  <c r="R150" i="19"/>
  <c r="U150" i="19" s="1"/>
  <c r="R146" i="19"/>
  <c r="U146" i="19" s="1"/>
  <c r="R142" i="19"/>
  <c r="U142" i="19" s="1"/>
  <c r="R139" i="19"/>
  <c r="U139" i="19" s="1"/>
  <c r="R136" i="19"/>
  <c r="U136" i="19" s="1"/>
  <c r="T112" i="19"/>
  <c r="R110" i="19"/>
  <c r="U110" i="19" s="1"/>
  <c r="Y136" i="19"/>
  <c r="G134" i="19"/>
  <c r="O118" i="19"/>
  <c r="O114" i="19"/>
  <c r="R114" i="19" s="1"/>
  <c r="U114" i="19" s="1"/>
  <c r="R106" i="19"/>
  <c r="U106" i="19" s="1"/>
  <c r="T106" i="19"/>
  <c r="T105" i="19"/>
  <c r="R105" i="19"/>
  <c r="U105" i="19" s="1"/>
  <c r="R101" i="19"/>
  <c r="U101" i="19" s="1"/>
  <c r="T101" i="19"/>
  <c r="T100" i="19"/>
  <c r="R100" i="19"/>
  <c r="U100" i="19" s="1"/>
  <c r="R137" i="19"/>
  <c r="U137" i="19" s="1"/>
  <c r="G131" i="19"/>
  <c r="T130" i="19"/>
  <c r="Y129" i="19"/>
  <c r="G127" i="19"/>
  <c r="T126" i="19"/>
  <c r="Y125" i="19"/>
  <c r="G123" i="19"/>
  <c r="T122" i="19"/>
  <c r="Y121" i="19"/>
  <c r="G119" i="19"/>
  <c r="T118" i="19"/>
  <c r="Y117" i="19"/>
  <c r="G115" i="19"/>
  <c r="T114" i="19"/>
  <c r="Y113" i="19"/>
  <c r="Y110" i="19"/>
  <c r="R102" i="19"/>
  <c r="U102" i="19" s="1"/>
  <c r="T62" i="19"/>
  <c r="R62" i="19"/>
  <c r="U62" i="19" s="1"/>
  <c r="T55" i="19"/>
  <c r="R55" i="19"/>
  <c r="U55" i="19" s="1"/>
  <c r="R53" i="19"/>
  <c r="U53" i="19" s="1"/>
  <c r="T53" i="19"/>
  <c r="R48" i="19"/>
  <c r="U48" i="19" s="1"/>
  <c r="T48" i="19"/>
  <c r="T39" i="19"/>
  <c r="R39" i="19"/>
  <c r="U39" i="19" s="1"/>
  <c r="R37" i="19"/>
  <c r="U37" i="19" s="1"/>
  <c r="T37" i="19"/>
  <c r="R32" i="19"/>
  <c r="U32" i="19" s="1"/>
  <c r="T32" i="19"/>
  <c r="T23" i="19"/>
  <c r="R23" i="19"/>
  <c r="U23" i="19" s="1"/>
  <c r="R21" i="19"/>
  <c r="U21" i="19" s="1"/>
  <c r="T21" i="19"/>
  <c r="R16" i="19"/>
  <c r="U16" i="19" s="1"/>
  <c r="T16" i="19"/>
  <c r="O107" i="19"/>
  <c r="Y105" i="19"/>
  <c r="T104" i="19"/>
  <c r="G103" i="19"/>
  <c r="T98" i="19"/>
  <c r="R98" i="19"/>
  <c r="U98" i="19" s="1"/>
  <c r="R96" i="19"/>
  <c r="U96" i="19" s="1"/>
  <c r="T96" i="19"/>
  <c r="T94" i="19"/>
  <c r="R94" i="19"/>
  <c r="U94" i="19" s="1"/>
  <c r="R92" i="19"/>
  <c r="U92" i="19" s="1"/>
  <c r="T92" i="19"/>
  <c r="T90" i="19"/>
  <c r="R90" i="19"/>
  <c r="U90" i="19" s="1"/>
  <c r="R88" i="19"/>
  <c r="U88" i="19" s="1"/>
  <c r="T88" i="19"/>
  <c r="T86" i="19"/>
  <c r="R86" i="19"/>
  <c r="U86" i="19" s="1"/>
  <c r="R84" i="19"/>
  <c r="U84" i="19" s="1"/>
  <c r="T84" i="19"/>
  <c r="T82" i="19"/>
  <c r="R82" i="19"/>
  <c r="U82" i="19" s="1"/>
  <c r="R80" i="19"/>
  <c r="U80" i="19" s="1"/>
  <c r="T80" i="19"/>
  <c r="T78" i="19"/>
  <c r="R78" i="19"/>
  <c r="U78" i="19" s="1"/>
  <c r="R76" i="19"/>
  <c r="U76" i="19" s="1"/>
  <c r="T76" i="19"/>
  <c r="T74" i="19"/>
  <c r="R74" i="19"/>
  <c r="U74" i="19" s="1"/>
  <c r="R72" i="19"/>
  <c r="U72" i="19" s="1"/>
  <c r="T72" i="19"/>
  <c r="T70" i="19"/>
  <c r="R70" i="19"/>
  <c r="U70" i="19" s="1"/>
  <c r="R68" i="19"/>
  <c r="U68" i="19" s="1"/>
  <c r="T68" i="19"/>
  <c r="T66" i="19"/>
  <c r="R66" i="19"/>
  <c r="U66" i="19" s="1"/>
  <c r="R63" i="19"/>
  <c r="U63" i="19" s="1"/>
  <c r="R104" i="19"/>
  <c r="U104" i="19" s="1"/>
  <c r="T64" i="19"/>
  <c r="T61" i="19"/>
  <c r="R60" i="19"/>
  <c r="U60" i="19" s="1"/>
  <c r="T60" i="19"/>
  <c r="R56" i="19"/>
  <c r="U56" i="19" s="1"/>
  <c r="T56" i="19"/>
  <c r="Y109" i="19"/>
  <c r="G107" i="19"/>
  <c r="Y101" i="19"/>
  <c r="G99" i="19"/>
  <c r="G97" i="19"/>
  <c r="G95" i="19"/>
  <c r="G93" i="19"/>
  <c r="G91" i="19"/>
  <c r="G89" i="19"/>
  <c r="G87" i="19"/>
  <c r="G85" i="19"/>
  <c r="G83" i="19"/>
  <c r="G81" i="19"/>
  <c r="G79" i="19"/>
  <c r="G77" i="19"/>
  <c r="G75" i="19"/>
  <c r="G73" i="19"/>
  <c r="G71" i="19"/>
  <c r="G69" i="19"/>
  <c r="G67" i="19"/>
  <c r="G65" i="19"/>
  <c r="Y63" i="19"/>
  <c r="R61" i="19"/>
  <c r="U61" i="19" s="1"/>
  <c r="R59" i="19"/>
  <c r="U59" i="19" s="1"/>
  <c r="R57" i="19"/>
  <c r="U57" i="19" s="1"/>
  <c r="T57" i="19"/>
  <c r="R52" i="19"/>
  <c r="U52" i="19" s="1"/>
  <c r="T52" i="19"/>
  <c r="T43" i="19"/>
  <c r="R43" i="19"/>
  <c r="U43" i="19" s="1"/>
  <c r="R41" i="19"/>
  <c r="U41" i="19" s="1"/>
  <c r="T41" i="19"/>
  <c r="R36" i="19"/>
  <c r="U36" i="19" s="1"/>
  <c r="T36" i="19"/>
  <c r="T27" i="19"/>
  <c r="R27" i="19"/>
  <c r="U27" i="19" s="1"/>
  <c r="R25" i="19"/>
  <c r="U25" i="19" s="1"/>
  <c r="T25" i="19"/>
  <c r="R20" i="19"/>
  <c r="U20" i="19" s="1"/>
  <c r="T20" i="19"/>
  <c r="T11" i="19"/>
  <c r="R11" i="19"/>
  <c r="U11" i="19" s="1"/>
  <c r="R9" i="19"/>
  <c r="U9" i="19" s="1"/>
  <c r="T9" i="19"/>
  <c r="T47" i="19"/>
  <c r="R47" i="19"/>
  <c r="U47" i="19" s="1"/>
  <c r="R45" i="19"/>
  <c r="U45" i="19" s="1"/>
  <c r="T45" i="19"/>
  <c r="R40" i="19"/>
  <c r="U40" i="19" s="1"/>
  <c r="T40" i="19"/>
  <c r="T31" i="19"/>
  <c r="R31" i="19"/>
  <c r="U31" i="19" s="1"/>
  <c r="R29" i="19"/>
  <c r="U29" i="19" s="1"/>
  <c r="T29" i="19"/>
  <c r="R24" i="19"/>
  <c r="U24" i="19" s="1"/>
  <c r="T24" i="19"/>
  <c r="T15" i="19"/>
  <c r="R15" i="19"/>
  <c r="U15" i="19" s="1"/>
  <c r="R13" i="19"/>
  <c r="U13" i="19" s="1"/>
  <c r="T13" i="19"/>
  <c r="T51" i="19"/>
  <c r="R51" i="19"/>
  <c r="U51" i="19" s="1"/>
  <c r="R49" i="19"/>
  <c r="U49" i="19" s="1"/>
  <c r="T49" i="19"/>
  <c r="R44" i="19"/>
  <c r="U44" i="19" s="1"/>
  <c r="T44" i="19"/>
  <c r="T35" i="19"/>
  <c r="R35" i="19"/>
  <c r="U35" i="19" s="1"/>
  <c r="R33" i="19"/>
  <c r="U33" i="19" s="1"/>
  <c r="T33" i="19"/>
  <c r="R28" i="19"/>
  <c r="U28" i="19" s="1"/>
  <c r="T28" i="19"/>
  <c r="T19" i="19"/>
  <c r="R19" i="19"/>
  <c r="U19" i="19" s="1"/>
  <c r="R17" i="19"/>
  <c r="U17" i="19" s="1"/>
  <c r="T17" i="19"/>
  <c r="R12" i="19"/>
  <c r="U12" i="19" s="1"/>
  <c r="T12" i="19"/>
  <c r="R58" i="19"/>
  <c r="U58" i="19" s="1"/>
  <c r="R54" i="19"/>
  <c r="U54" i="19" s="1"/>
  <c r="R50" i="19"/>
  <c r="U50" i="19" s="1"/>
  <c r="R46" i="19"/>
  <c r="U46" i="19" s="1"/>
  <c r="R42" i="19"/>
  <c r="U42" i="19" s="1"/>
  <c r="R38" i="19"/>
  <c r="U38" i="19" s="1"/>
  <c r="R34" i="19"/>
  <c r="U34" i="19" s="1"/>
  <c r="R30" i="19"/>
  <c r="U30" i="19" s="1"/>
  <c r="R26" i="19"/>
  <c r="U26" i="19" s="1"/>
  <c r="R22" i="19"/>
  <c r="U22" i="19" s="1"/>
  <c r="R18" i="19"/>
  <c r="U18" i="19" s="1"/>
  <c r="R14" i="19"/>
  <c r="U14" i="19" s="1"/>
  <c r="R10" i="19"/>
  <c r="U10" i="19" s="1"/>
  <c r="T8" i="19"/>
  <c r="K46" i="36" l="1"/>
  <c r="K85" i="36"/>
  <c r="K103" i="36"/>
  <c r="K111" i="36"/>
  <c r="K119" i="36"/>
  <c r="K98" i="36"/>
  <c r="K114" i="36"/>
  <c r="K190" i="36"/>
  <c r="K184" i="36"/>
  <c r="K192" i="36"/>
  <c r="K206" i="36"/>
  <c r="K228" i="36"/>
  <c r="K244" i="36"/>
  <c r="K260" i="36"/>
  <c r="K238" i="36"/>
  <c r="K254" i="36"/>
  <c r="K270" i="36"/>
  <c r="K274" i="36"/>
  <c r="K288" i="36"/>
  <c r="K304" i="36"/>
  <c r="K50" i="36"/>
  <c r="K89" i="36"/>
  <c r="K81" i="36"/>
  <c r="K96" i="36"/>
  <c r="K102" i="36"/>
  <c r="K118" i="36"/>
  <c r="K158" i="36"/>
  <c r="K210" i="36"/>
  <c r="K224" i="36"/>
  <c r="K292" i="36"/>
  <c r="K308" i="36"/>
  <c r="K38" i="36"/>
  <c r="K35" i="36"/>
  <c r="K57" i="36"/>
  <c r="K99" i="36"/>
  <c r="K107" i="36"/>
  <c r="K115" i="36"/>
  <c r="K123" i="36"/>
  <c r="K94" i="36"/>
  <c r="K106" i="36"/>
  <c r="K122" i="36"/>
  <c r="K162" i="36"/>
  <c r="K166" i="36"/>
  <c r="K174" i="36"/>
  <c r="K182" i="36"/>
  <c r="K170" i="36"/>
  <c r="K176" i="36"/>
  <c r="K198" i="36"/>
  <c r="K214" i="36"/>
  <c r="K236" i="36"/>
  <c r="K252" i="36"/>
  <c r="K268" i="36"/>
  <c r="K230" i="36"/>
  <c r="K246" i="36"/>
  <c r="K262" i="36"/>
  <c r="K222" i="36"/>
  <c r="K278" i="36"/>
  <c r="K296" i="36"/>
  <c r="K312" i="36"/>
  <c r="K110" i="36"/>
  <c r="K126" i="36"/>
  <c r="K130" i="36"/>
  <c r="K138" i="36"/>
  <c r="K142" i="36"/>
  <c r="K146" i="36"/>
  <c r="K150" i="36"/>
  <c r="K154" i="36"/>
  <c r="K186" i="36"/>
  <c r="K180" i="36"/>
  <c r="K172" i="36"/>
  <c r="K202" i="36"/>
  <c r="K218" i="36"/>
  <c r="K240" i="36"/>
  <c r="K256" i="36"/>
  <c r="K234" i="36"/>
  <c r="K250" i="36"/>
  <c r="K266" i="36"/>
  <c r="K284" i="36"/>
  <c r="K300" i="36"/>
  <c r="K316" i="36"/>
  <c r="R65" i="19"/>
  <c r="U65" i="19" s="1"/>
  <c r="T65" i="19"/>
  <c r="R73" i="19"/>
  <c r="U73" i="19" s="1"/>
  <c r="T73" i="19"/>
  <c r="R81" i="19"/>
  <c r="U81" i="19" s="1"/>
  <c r="T81" i="19"/>
  <c r="R89" i="19"/>
  <c r="U89" i="19" s="1"/>
  <c r="T89" i="19"/>
  <c r="R97" i="19"/>
  <c r="U97" i="19" s="1"/>
  <c r="T97" i="19"/>
  <c r="T127" i="19"/>
  <c r="R127" i="19"/>
  <c r="U127" i="19" s="1"/>
  <c r="R156" i="19"/>
  <c r="U156" i="19" s="1"/>
  <c r="T156" i="19"/>
  <c r="T168" i="19"/>
  <c r="R168" i="19"/>
  <c r="U168" i="19" s="1"/>
  <c r="T252" i="19"/>
  <c r="R252" i="19"/>
  <c r="U252" i="19" s="1"/>
  <c r="R67" i="19"/>
  <c r="U67" i="19" s="1"/>
  <c r="T67" i="19"/>
  <c r="R75" i="19"/>
  <c r="U75" i="19" s="1"/>
  <c r="T75" i="19"/>
  <c r="R83" i="19"/>
  <c r="U83" i="19" s="1"/>
  <c r="T83" i="19"/>
  <c r="R91" i="19"/>
  <c r="U91" i="19" s="1"/>
  <c r="T91" i="19"/>
  <c r="R99" i="19"/>
  <c r="U99" i="19" s="1"/>
  <c r="T99" i="19"/>
  <c r="T123" i="19"/>
  <c r="R123" i="19"/>
  <c r="U123" i="19" s="1"/>
  <c r="R69" i="19"/>
  <c r="U69" i="19" s="1"/>
  <c r="T69" i="19"/>
  <c r="R77" i="19"/>
  <c r="U77" i="19" s="1"/>
  <c r="T77" i="19"/>
  <c r="R85" i="19"/>
  <c r="U85" i="19" s="1"/>
  <c r="T85" i="19"/>
  <c r="R93" i="19"/>
  <c r="U93" i="19" s="1"/>
  <c r="T93" i="19"/>
  <c r="T119" i="19"/>
  <c r="R119" i="19"/>
  <c r="U119" i="19" s="1"/>
  <c r="T172" i="19"/>
  <c r="R172" i="19"/>
  <c r="U172" i="19" s="1"/>
  <c r="R71" i="19"/>
  <c r="U71" i="19" s="1"/>
  <c r="T71" i="19"/>
  <c r="R79" i="19"/>
  <c r="U79" i="19" s="1"/>
  <c r="T79" i="19"/>
  <c r="R87" i="19"/>
  <c r="U87" i="19" s="1"/>
  <c r="T87" i="19"/>
  <c r="R95" i="19"/>
  <c r="U95" i="19" s="1"/>
  <c r="T95" i="19"/>
  <c r="R107" i="19"/>
  <c r="U107" i="19" s="1"/>
  <c r="T107" i="19"/>
  <c r="T103" i="19"/>
  <c r="R103" i="19"/>
  <c r="U103" i="19" s="1"/>
  <c r="T115" i="19"/>
  <c r="R115" i="19"/>
  <c r="U115" i="19" s="1"/>
  <c r="T131" i="19"/>
  <c r="R131" i="19"/>
  <c r="U131" i="19" s="1"/>
  <c r="R134" i="19"/>
  <c r="U134" i="19" s="1"/>
  <c r="T134" i="19"/>
  <c r="R152" i="19"/>
  <c r="U152" i="19" s="1"/>
  <c r="T152" i="19"/>
  <c r="T176" i="19"/>
  <c r="R176" i="19"/>
  <c r="U176" i="19" s="1"/>
  <c r="F59" i="48"/>
  <c r="E59" i="48"/>
  <c r="D59" i="48"/>
  <c r="F315" i="51"/>
  <c r="I315" i="51"/>
  <c r="C315" i="51" l="1"/>
  <c r="C59" i="48" l="1"/>
  <c r="C118" i="42" l="1"/>
  <c r="AM282" i="42" l="1"/>
  <c r="M282" i="42"/>
  <c r="AE212" i="42" l="1"/>
  <c r="Z212" i="42"/>
  <c r="U316" i="42" l="1"/>
  <c r="C316" i="42" l="1"/>
  <c r="B59" i="40" l="1"/>
  <c r="C3" i="13" l="1"/>
  <c r="AM8" i="42"/>
  <c r="AM9" i="42"/>
  <c r="AM10" i="42"/>
  <c r="AM11" i="42"/>
  <c r="AM12" i="42"/>
  <c r="AM13" i="42"/>
  <c r="AM14" i="42"/>
  <c r="AM15" i="42"/>
  <c r="AM16" i="42"/>
  <c r="AM17" i="42"/>
  <c r="AM18" i="42"/>
  <c r="AM19" i="42"/>
  <c r="AM20" i="42"/>
  <c r="AM21" i="42"/>
  <c r="AM22" i="42"/>
  <c r="AM23" i="42"/>
  <c r="AM24" i="42"/>
  <c r="AM25" i="42"/>
  <c r="AM26" i="42"/>
  <c r="AM27" i="42"/>
  <c r="AM28" i="42"/>
  <c r="AM29" i="42"/>
  <c r="AM30"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M66" i="42"/>
  <c r="AM67" i="42"/>
  <c r="AM68" i="42"/>
  <c r="AM69" i="42"/>
  <c r="AM70" i="42"/>
  <c r="AM71" i="42"/>
  <c r="AM72" i="42"/>
  <c r="AM73" i="42"/>
  <c r="AM74" i="42"/>
  <c r="AM75" i="42"/>
  <c r="AM76" i="42"/>
  <c r="AM77" i="42"/>
  <c r="AM78" i="42"/>
  <c r="AM79" i="42"/>
  <c r="AM80" i="42"/>
  <c r="AM81" i="42"/>
  <c r="AM82" i="42"/>
  <c r="AM83" i="42"/>
  <c r="AM84" i="42"/>
  <c r="AM85" i="42"/>
  <c r="AM86" i="42"/>
  <c r="AM87" i="42"/>
  <c r="AM88" i="42"/>
  <c r="AM89" i="42"/>
  <c r="AM90" i="42"/>
  <c r="AM91" i="42"/>
  <c r="AM92" i="42"/>
  <c r="AM93" i="42"/>
  <c r="AM94" i="42"/>
  <c r="AM95" i="42"/>
  <c r="AM96" i="42"/>
  <c r="AM97" i="42"/>
  <c r="AM98" i="42"/>
  <c r="AM99" i="42"/>
  <c r="AM100" i="42"/>
  <c r="AM101" i="42"/>
  <c r="AM102" i="42"/>
  <c r="AM103" i="42"/>
  <c r="AM104" i="42"/>
  <c r="AM105" i="42"/>
  <c r="AM106" i="42"/>
  <c r="AM107" i="42"/>
  <c r="AM108" i="42"/>
  <c r="AM109" i="42"/>
  <c r="AM110" i="42"/>
  <c r="AM111" i="42"/>
  <c r="AM112" i="42"/>
  <c r="AM113" i="42"/>
  <c r="AM114" i="42"/>
  <c r="AM115" i="42"/>
  <c r="AM116" i="42"/>
  <c r="AM117" i="42"/>
  <c r="AM118" i="42"/>
  <c r="AM119" i="42"/>
  <c r="AM120" i="42"/>
  <c r="AM121" i="42"/>
  <c r="AM122" i="42"/>
  <c r="AM123" i="42"/>
  <c r="AM124" i="42"/>
  <c r="AM125" i="42"/>
  <c r="AM126" i="42"/>
  <c r="AM127" i="42"/>
  <c r="AM128" i="42"/>
  <c r="AM129" i="42"/>
  <c r="AM130" i="42"/>
  <c r="AM131" i="42"/>
  <c r="AM132" i="42"/>
  <c r="AM133" i="42"/>
  <c r="AM134" i="42"/>
  <c r="AM135" i="42"/>
  <c r="AM136" i="42"/>
  <c r="AM137" i="42"/>
  <c r="AM138" i="42"/>
  <c r="AM139" i="42"/>
  <c r="AM140" i="42"/>
  <c r="AM141" i="42"/>
  <c r="AM142" i="42"/>
  <c r="AM143" i="42"/>
  <c r="AM144" i="42"/>
  <c r="AM145" i="42"/>
  <c r="AM146" i="42"/>
  <c r="AM147" i="42"/>
  <c r="AM148" i="42"/>
  <c r="AM149" i="42"/>
  <c r="AM150" i="42"/>
  <c r="AM151" i="42"/>
  <c r="AM152" i="42"/>
  <c r="AM153" i="42"/>
  <c r="AM154" i="42"/>
  <c r="AM155" i="42"/>
  <c r="AM156" i="42"/>
  <c r="AM157" i="42"/>
  <c r="AM158" i="42"/>
  <c r="AM159" i="42"/>
  <c r="AM160" i="42"/>
  <c r="AM161" i="42"/>
  <c r="AM162" i="42"/>
  <c r="AM163" i="42"/>
  <c r="AM164" i="42"/>
  <c r="AM165" i="42"/>
  <c r="AM166" i="42"/>
  <c r="AM167" i="42"/>
  <c r="AM168" i="42"/>
  <c r="AM169" i="42"/>
  <c r="AM170" i="42"/>
  <c r="AM171" i="42"/>
  <c r="AM172" i="42"/>
  <c r="AM173" i="42"/>
  <c r="AM174" i="42"/>
  <c r="AM175" i="42"/>
  <c r="AM176" i="42"/>
  <c r="AM177" i="42"/>
  <c r="AM178" i="42"/>
  <c r="AM179" i="42"/>
  <c r="AM180" i="42"/>
  <c r="AM181" i="42"/>
  <c r="AM182" i="42"/>
  <c r="AM183" i="42"/>
  <c r="AM184" i="42"/>
  <c r="AM185" i="42"/>
  <c r="AM186" i="42"/>
  <c r="AM187" i="42"/>
  <c r="AM188" i="42"/>
  <c r="AM189" i="42"/>
  <c r="AM190" i="42"/>
  <c r="AM191" i="42"/>
  <c r="AM192" i="42"/>
  <c r="AM193" i="42"/>
  <c r="AM194" i="42"/>
  <c r="AM195" i="42"/>
  <c r="AM196" i="42"/>
  <c r="AM197" i="42"/>
  <c r="AM198" i="42"/>
  <c r="AM199" i="42"/>
  <c r="AM200" i="42"/>
  <c r="AM201" i="42"/>
  <c r="AM202" i="42"/>
  <c r="AM203" i="42"/>
  <c r="AM204" i="42"/>
  <c r="AM205" i="42"/>
  <c r="AM206" i="42"/>
  <c r="AM207" i="42"/>
  <c r="AM208" i="42"/>
  <c r="AM209" i="42"/>
  <c r="AM210" i="42"/>
  <c r="AM211" i="42"/>
  <c r="AM212" i="42"/>
  <c r="AM213" i="42"/>
  <c r="AM214" i="42"/>
  <c r="AM215" i="42"/>
  <c r="AM216" i="42"/>
  <c r="AM217" i="42"/>
  <c r="AM218" i="42"/>
  <c r="AM219" i="42"/>
  <c r="AM220" i="42"/>
  <c r="AM221" i="42"/>
  <c r="AM222" i="42"/>
  <c r="AM223" i="42"/>
  <c r="AM224" i="42"/>
  <c r="AM225" i="42"/>
  <c r="AM226" i="42"/>
  <c r="AM227" i="42"/>
  <c r="AM228" i="42"/>
  <c r="AM229" i="42"/>
  <c r="AM230" i="42"/>
  <c r="AM231" i="42"/>
  <c r="AM232" i="42"/>
  <c r="AM233" i="42"/>
  <c r="AM234" i="42"/>
  <c r="AM235" i="42"/>
  <c r="AM236" i="42"/>
  <c r="AM237" i="42"/>
  <c r="AM238" i="42"/>
  <c r="AM239" i="42"/>
  <c r="AM240" i="42"/>
  <c r="AM241" i="42"/>
  <c r="AM242" i="42"/>
  <c r="AM243" i="42"/>
  <c r="AM244" i="42"/>
  <c r="AM245" i="42"/>
  <c r="AM246" i="42"/>
  <c r="AM247" i="42"/>
  <c r="AM248" i="42"/>
  <c r="AM249" i="42"/>
  <c r="AM250" i="42"/>
  <c r="AM251" i="42"/>
  <c r="AM252" i="42"/>
  <c r="AM253" i="42"/>
  <c r="AM254" i="42"/>
  <c r="AM255" i="42"/>
  <c r="AM256" i="42"/>
  <c r="AM257" i="42"/>
  <c r="AM258" i="42"/>
  <c r="AM259" i="42"/>
  <c r="AM260" i="42"/>
  <c r="AM261" i="42"/>
  <c r="AM262" i="42"/>
  <c r="AM263" i="42"/>
  <c r="AM264" i="42"/>
  <c r="AM265" i="42"/>
  <c r="AM266" i="42"/>
  <c r="AM267" i="42"/>
  <c r="AM268" i="42"/>
  <c r="AM269" i="42"/>
  <c r="AM270" i="42"/>
  <c r="AM271" i="42"/>
  <c r="AM272" i="42"/>
  <c r="AM273" i="42"/>
  <c r="AM274" i="42"/>
  <c r="AM275" i="42"/>
  <c r="AM276" i="42"/>
  <c r="AM277" i="42"/>
  <c r="AM278" i="42"/>
  <c r="AM279" i="42"/>
  <c r="AM280" i="42"/>
  <c r="AM281" i="42"/>
  <c r="AM283" i="42"/>
  <c r="AM284" i="42"/>
  <c r="AM285" i="42"/>
  <c r="AM286" i="42"/>
  <c r="AM287" i="42"/>
  <c r="AM288" i="42"/>
  <c r="AM289" i="42"/>
  <c r="AM290" i="42"/>
  <c r="AM291" i="42"/>
  <c r="AM292" i="42"/>
  <c r="AM293" i="42"/>
  <c r="AM294" i="42"/>
  <c r="AM295" i="42"/>
  <c r="AM296" i="42"/>
  <c r="AM297" i="42"/>
  <c r="AM298" i="42"/>
  <c r="AM299" i="42"/>
  <c r="AM300" i="42"/>
  <c r="AM301" i="42"/>
  <c r="AM302" i="42"/>
  <c r="AM303" i="42"/>
  <c r="AM304" i="42"/>
  <c r="AM305" i="42"/>
  <c r="AM306" i="42"/>
  <c r="AM307" i="42"/>
  <c r="AM308" i="42"/>
  <c r="AM309" i="42"/>
  <c r="AM310" i="42"/>
  <c r="AM311" i="42"/>
  <c r="AM312" i="42"/>
  <c r="AM313" i="42"/>
  <c r="AM314" i="42"/>
  <c r="AM315" i="42"/>
  <c r="AM7" i="42"/>
  <c r="AM316" i="42" l="1"/>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6" i="13"/>
  <c r="H316" i="42" l="1"/>
  <c r="X316" i="42" l="1"/>
  <c r="J7" i="19"/>
  <c r="H4" i="33"/>
  <c r="I4" i="33"/>
  <c r="J4" i="33"/>
  <c r="K4" i="33"/>
  <c r="H3" i="33"/>
  <c r="I3" i="33"/>
  <c r="J3" i="33"/>
  <c r="K3" i="33"/>
  <c r="C315" i="13" l="1"/>
  <c r="T170" i="13" l="1"/>
  <c r="T219" i="13"/>
  <c r="T244" i="13"/>
  <c r="M170" i="42" l="1"/>
  <c r="Y170" i="42" s="1"/>
  <c r="G5" i="37" l="1"/>
  <c r="S7" i="19"/>
  <c r="AN6" i="42" l="1"/>
  <c r="AO6" i="42"/>
  <c r="AP316" i="42" l="1"/>
  <c r="AQ316" i="42"/>
  <c r="AR316" i="42"/>
  <c r="A243" i="49" l="1"/>
  <c r="A244" i="49"/>
  <c r="A245" i="49"/>
  <c r="A246" i="49"/>
  <c r="A247" i="49"/>
  <c r="A244" i="13" l="1"/>
  <c r="B244" i="13"/>
  <c r="B244" i="49"/>
  <c r="B5" i="11" l="1"/>
  <c r="A5" i="11"/>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D314" i="25" l="1"/>
  <c r="D308" i="25"/>
  <c r="D306" i="25"/>
  <c r="D302" i="25"/>
  <c r="D300" i="25"/>
  <c r="D298" i="25"/>
  <c r="D294" i="25"/>
  <c r="D292" i="25"/>
  <c r="D290" i="25"/>
  <c r="D286" i="25"/>
  <c r="D284" i="25"/>
  <c r="D282" i="25"/>
  <c r="D278" i="25"/>
  <c r="D276" i="25"/>
  <c r="D274" i="25"/>
  <c r="D270" i="25"/>
  <c r="D268" i="25"/>
  <c r="D266" i="25"/>
  <c r="D262" i="25"/>
  <c r="D260" i="25"/>
  <c r="D258" i="25"/>
  <c r="D254" i="25"/>
  <c r="D252" i="25"/>
  <c r="D250" i="25"/>
  <c r="D246" i="25"/>
  <c r="D244" i="25"/>
  <c r="D242" i="25"/>
  <c r="D238" i="25"/>
  <c r="D236" i="25"/>
  <c r="D234" i="25"/>
  <c r="D230" i="25"/>
  <c r="D228" i="25"/>
  <c r="D226" i="25"/>
  <c r="D222" i="25"/>
  <c r="D220" i="25"/>
  <c r="D218" i="25"/>
  <c r="D214" i="25"/>
  <c r="D212" i="25"/>
  <c r="D210" i="25"/>
  <c r="D206" i="25"/>
  <c r="D204" i="25"/>
  <c r="D202" i="25"/>
  <c r="D198" i="25"/>
  <c r="D196" i="25"/>
  <c r="D194" i="25"/>
  <c r="D190" i="25"/>
  <c r="D188" i="25"/>
  <c r="D186" i="25"/>
  <c r="D182" i="25"/>
  <c r="D180" i="25"/>
  <c r="D178" i="25"/>
  <c r="D174" i="25"/>
  <c r="D172" i="25"/>
  <c r="D170" i="25"/>
  <c r="D166" i="25"/>
  <c r="D164" i="25"/>
  <c r="D162" i="25"/>
  <c r="D158" i="25"/>
  <c r="D156" i="25"/>
  <c r="D154" i="25"/>
  <c r="D150" i="25"/>
  <c r="D142" i="25"/>
  <c r="D140" i="25"/>
  <c r="D138" i="25"/>
  <c r="D132" i="25"/>
  <c r="D130" i="25"/>
  <c r="D126" i="25"/>
  <c r="D124" i="25"/>
  <c r="D116" i="25"/>
  <c r="D112" i="25"/>
  <c r="D106" i="25"/>
  <c r="D104" i="25"/>
  <c r="D100" i="25"/>
  <c r="D98" i="25"/>
  <c r="D96" i="25"/>
  <c r="D90" i="25"/>
  <c r="D84" i="25"/>
  <c r="D80" i="25"/>
  <c r="D74" i="25"/>
  <c r="D72" i="25"/>
  <c r="D68" i="25"/>
  <c r="D66" i="25"/>
  <c r="D64" i="25"/>
  <c r="D60" i="25"/>
  <c r="D52" i="25"/>
  <c r="D48" i="25"/>
  <c r="D42" i="25"/>
  <c r="D36" i="25"/>
  <c r="D34" i="25"/>
  <c r="D32" i="25"/>
  <c r="D28" i="25"/>
  <c r="D26" i="25"/>
  <c r="D20" i="25"/>
  <c r="D16" i="25"/>
  <c r="D10" i="25"/>
  <c r="D8" i="25"/>
  <c r="D299" i="25"/>
  <c r="D283" i="25"/>
  <c r="D267" i="25"/>
  <c r="D251" i="25"/>
  <c r="D243" i="25"/>
  <c r="D235" i="25"/>
  <c r="D219" i="25"/>
  <c r="D203" i="25"/>
  <c r="D195" i="25"/>
  <c r="D187" i="25"/>
  <c r="D171" i="25"/>
  <c r="D155" i="25"/>
  <c r="D139" i="25"/>
  <c r="D123" i="25"/>
  <c r="D103" i="25"/>
  <c r="D97" i="25"/>
  <c r="D71" i="25"/>
  <c r="D63" i="25"/>
  <c r="D59" i="25"/>
  <c r="D55" i="25"/>
  <c r="D51" i="25"/>
  <c r="D47" i="25"/>
  <c r="D43" i="25"/>
  <c r="D35" i="25"/>
  <c r="D31" i="25"/>
  <c r="D23" i="25"/>
  <c r="D19" i="25"/>
  <c r="D15" i="25"/>
  <c r="D11" i="25"/>
  <c r="A313" i="25"/>
  <c r="A307" i="25"/>
  <c r="A301" i="25"/>
  <c r="A297" i="25"/>
  <c r="A293" i="25"/>
  <c r="A289" i="25"/>
  <c r="A287" i="25"/>
  <c r="A283" i="25"/>
  <c r="A277" i="25"/>
  <c r="A273" i="25"/>
  <c r="A265" i="25"/>
  <c r="A261" i="25"/>
  <c r="A257" i="25"/>
  <c r="A253" i="25"/>
  <c r="A251" i="25"/>
  <c r="A245" i="25"/>
  <c r="A241" i="25"/>
  <c r="A237" i="25"/>
  <c r="A233" i="25"/>
  <c r="A229" i="25"/>
  <c r="A225" i="25"/>
  <c r="A221" i="25"/>
  <c r="A215" i="25"/>
  <c r="A211" i="25"/>
  <c r="A207" i="25"/>
  <c r="A203" i="25"/>
  <c r="A201" i="25"/>
  <c r="A197" i="25"/>
  <c r="A193" i="25"/>
  <c r="A191" i="25"/>
  <c r="A187" i="25"/>
  <c r="A183" i="25"/>
  <c r="A179" i="25"/>
  <c r="A175" i="25"/>
  <c r="A171" i="25"/>
  <c r="A167" i="25"/>
  <c r="A163" i="25"/>
  <c r="A157" i="25"/>
  <c r="A153" i="25"/>
  <c r="A149" i="25"/>
  <c r="A145" i="25"/>
  <c r="A141" i="25"/>
  <c r="A137" i="25"/>
  <c r="A133" i="25"/>
  <c r="A129" i="25"/>
  <c r="A125" i="25"/>
  <c r="A123" i="25"/>
  <c r="A119" i="25"/>
  <c r="A115" i="25"/>
  <c r="A111" i="25"/>
  <c r="A105" i="25"/>
  <c r="A101" i="25"/>
  <c r="A97" i="25"/>
  <c r="A93" i="25"/>
  <c r="A87" i="25"/>
  <c r="A83" i="25"/>
  <c r="A79" i="25"/>
  <c r="A75" i="25"/>
  <c r="A71" i="25"/>
  <c r="A69" i="25"/>
  <c r="A65" i="25"/>
  <c r="A61" i="25"/>
  <c r="A57" i="25"/>
  <c r="A53" i="25"/>
  <c r="A49" i="25"/>
  <c r="A43" i="25"/>
  <c r="A39" i="25"/>
  <c r="A35" i="25"/>
  <c r="A31" i="25"/>
  <c r="A27" i="25"/>
  <c r="A23" i="25"/>
  <c r="A19" i="25"/>
  <c r="A15" i="25"/>
  <c r="A11" i="25"/>
  <c r="B312" i="25"/>
  <c r="B308" i="25"/>
  <c r="B302" i="25"/>
  <c r="B298" i="25"/>
  <c r="B294" i="25"/>
  <c r="B292" i="25"/>
  <c r="B288" i="25"/>
  <c r="B282" i="25"/>
  <c r="B280" i="25"/>
  <c r="B276" i="25"/>
  <c r="B272" i="25"/>
  <c r="B268" i="25"/>
  <c r="B264" i="25"/>
  <c r="B260" i="25"/>
  <c r="B256" i="25"/>
  <c r="B252" i="25"/>
  <c r="B246" i="25"/>
  <c r="B242" i="25"/>
  <c r="B238" i="25"/>
  <c r="B234" i="25"/>
  <c r="B230" i="25"/>
  <c r="B226" i="25"/>
  <c r="B222" i="25"/>
  <c r="B218" i="25"/>
  <c r="B214" i="25"/>
  <c r="B212" i="25"/>
  <c r="B208" i="25"/>
  <c r="A312" i="25"/>
  <c r="A310" i="25"/>
  <c r="A306" i="25"/>
  <c r="A302" i="25"/>
  <c r="A300" i="25"/>
  <c r="A296" i="25"/>
  <c r="A294" i="25"/>
  <c r="A290" i="25"/>
  <c r="A288" i="25"/>
  <c r="A284" i="25"/>
  <c r="A282" i="25"/>
  <c r="A278" i="25"/>
  <c r="A276" i="25"/>
  <c r="A274" i="25"/>
  <c r="A270" i="25"/>
  <c r="A268" i="25"/>
  <c r="A264" i="25"/>
  <c r="A262" i="25"/>
  <c r="A258" i="25"/>
  <c r="A252" i="25"/>
  <c r="A248" i="25"/>
  <c r="A244" i="25"/>
  <c r="A242" i="25"/>
  <c r="A238" i="25"/>
  <c r="A232" i="25"/>
  <c r="A226" i="25"/>
  <c r="A222" i="25"/>
  <c r="A218" i="25"/>
  <c r="A214" i="25"/>
  <c r="A210" i="25"/>
  <c r="A206" i="25"/>
  <c r="A202" i="25"/>
  <c r="A200" i="25"/>
  <c r="A196" i="25"/>
  <c r="A190" i="25"/>
  <c r="A186" i="25"/>
  <c r="A182" i="25"/>
  <c r="A178" i="25"/>
  <c r="A174" i="25"/>
  <c r="A170" i="25"/>
  <c r="A166" i="25"/>
  <c r="A162" i="25"/>
  <c r="A158" i="25"/>
  <c r="A154" i="25"/>
  <c r="A150" i="25"/>
  <c r="A146" i="25"/>
  <c r="A144" i="25"/>
  <c r="A140" i="25"/>
  <c r="A136" i="25"/>
  <c r="A132" i="25"/>
  <c r="A128" i="25"/>
  <c r="A124" i="25"/>
  <c r="A120" i="25"/>
  <c r="A116" i="25"/>
  <c r="A112" i="25"/>
  <c r="A108" i="25"/>
  <c r="A104" i="25"/>
  <c r="A100" i="25"/>
  <c r="A96" i="25"/>
  <c r="A92" i="25"/>
  <c r="A88" i="25"/>
  <c r="A84" i="25"/>
  <c r="A80" i="25"/>
  <c r="A76" i="25"/>
  <c r="A72" i="25"/>
  <c r="A68" i="25"/>
  <c r="A64" i="25"/>
  <c r="A60" i="25"/>
  <c r="A56" i="25"/>
  <c r="A52" i="25"/>
  <c r="A50" i="25"/>
  <c r="A46" i="25"/>
  <c r="A44" i="25"/>
  <c r="A40" i="25"/>
  <c r="A36" i="25"/>
  <c r="A32" i="25"/>
  <c r="A30" i="25"/>
  <c r="A26" i="25"/>
  <c r="A24" i="25"/>
  <c r="A20" i="25"/>
  <c r="A18" i="25"/>
  <c r="A14" i="25"/>
  <c r="A12" i="25"/>
  <c r="A8" i="25"/>
  <c r="B313" i="25"/>
  <c r="B311" i="25"/>
  <c r="B309" i="25"/>
  <c r="B307" i="25"/>
  <c r="B305" i="25"/>
  <c r="B303" i="25"/>
  <c r="B301" i="25"/>
  <c r="B299" i="25"/>
  <c r="B297" i="25"/>
  <c r="B295" i="25"/>
  <c r="B293" i="25"/>
  <c r="B291" i="25"/>
  <c r="B289" i="25"/>
  <c r="B287" i="25"/>
  <c r="B285" i="25"/>
  <c r="B283" i="25"/>
  <c r="B281" i="25"/>
  <c r="B279" i="25"/>
  <c r="B277" i="25"/>
  <c r="B275" i="25"/>
  <c r="B273" i="25"/>
  <c r="B271" i="25"/>
  <c r="B269" i="25"/>
  <c r="B267" i="25"/>
  <c r="B265" i="25"/>
  <c r="B263" i="25"/>
  <c r="B261" i="25"/>
  <c r="B259" i="25"/>
  <c r="B257" i="25"/>
  <c r="B255" i="25"/>
  <c r="B253" i="25"/>
  <c r="B251" i="25"/>
  <c r="B249" i="25"/>
  <c r="B247" i="25"/>
  <c r="B245" i="25"/>
  <c r="B243" i="25"/>
  <c r="B241" i="25"/>
  <c r="B239" i="25"/>
  <c r="B237" i="25"/>
  <c r="B235" i="25"/>
  <c r="B233" i="25"/>
  <c r="B231" i="25"/>
  <c r="B229" i="25"/>
  <c r="B227" i="25"/>
  <c r="B225" i="25"/>
  <c r="B223" i="25"/>
  <c r="B221" i="25"/>
  <c r="B219" i="25"/>
  <c r="B217" i="25"/>
  <c r="B215" i="25"/>
  <c r="B213" i="25"/>
  <c r="B211" i="25"/>
  <c r="B209" i="25"/>
  <c r="B207" i="25"/>
  <c r="B205" i="25"/>
  <c r="B203" i="25"/>
  <c r="B201" i="25"/>
  <c r="B199" i="25"/>
  <c r="B197" i="25"/>
  <c r="B195" i="25"/>
  <c r="B193" i="25"/>
  <c r="B191" i="25"/>
  <c r="B189" i="25"/>
  <c r="B187" i="25"/>
  <c r="B185" i="25"/>
  <c r="B183" i="25"/>
  <c r="B181" i="25"/>
  <c r="B179" i="25"/>
  <c r="B177" i="25"/>
  <c r="B175" i="25"/>
  <c r="B173" i="25"/>
  <c r="B171" i="25"/>
  <c r="B169" i="25"/>
  <c r="B167" i="25"/>
  <c r="B165" i="25"/>
  <c r="B163" i="25"/>
  <c r="B161" i="25"/>
  <c r="B159" i="25"/>
  <c r="B157" i="25"/>
  <c r="B155" i="25"/>
  <c r="B153" i="25"/>
  <c r="B151" i="25"/>
  <c r="B149" i="25"/>
  <c r="B147" i="25"/>
  <c r="B145" i="25"/>
  <c r="B143" i="25"/>
  <c r="B141" i="25"/>
  <c r="B139" i="25"/>
  <c r="B137" i="25"/>
  <c r="B135" i="25"/>
  <c r="B133" i="25"/>
  <c r="B131" i="25"/>
  <c r="B129" i="25"/>
  <c r="B127" i="25"/>
  <c r="B125" i="25"/>
  <c r="B123" i="25"/>
  <c r="B121" i="25"/>
  <c r="B119" i="25"/>
  <c r="B117" i="25"/>
  <c r="B115" i="25"/>
  <c r="B113" i="25"/>
  <c r="B111" i="25"/>
  <c r="B109" i="25"/>
  <c r="B107" i="25"/>
  <c r="B105" i="25"/>
  <c r="B103" i="25"/>
  <c r="B101" i="25"/>
  <c r="B99" i="25"/>
  <c r="B97" i="25"/>
  <c r="B95" i="25"/>
  <c r="B93" i="25"/>
  <c r="B91" i="25"/>
  <c r="B89" i="25"/>
  <c r="B87" i="25"/>
  <c r="B85" i="25"/>
  <c r="B83" i="25"/>
  <c r="B81" i="25"/>
  <c r="B79" i="25"/>
  <c r="B77" i="25"/>
  <c r="B75" i="25"/>
  <c r="B73" i="25"/>
  <c r="B71" i="25"/>
  <c r="B69" i="25"/>
  <c r="B67" i="25"/>
  <c r="B65" i="25"/>
  <c r="B63" i="25"/>
  <c r="B61" i="25"/>
  <c r="B59" i="25"/>
  <c r="B57" i="25"/>
  <c r="B55" i="25"/>
  <c r="B53" i="25"/>
  <c r="B51" i="25"/>
  <c r="B49" i="25"/>
  <c r="B47" i="25"/>
  <c r="B45" i="25"/>
  <c r="B43" i="25"/>
  <c r="B41" i="25"/>
  <c r="B39" i="25"/>
  <c r="B37" i="25"/>
  <c r="B35" i="25"/>
  <c r="B33" i="25"/>
  <c r="B31" i="25"/>
  <c r="B29" i="25"/>
  <c r="B27" i="25"/>
  <c r="B25" i="25"/>
  <c r="B23" i="25"/>
  <c r="B21" i="25"/>
  <c r="B19" i="25"/>
  <c r="B17" i="25"/>
  <c r="B15" i="25"/>
  <c r="B13" i="25"/>
  <c r="B11" i="25"/>
  <c r="B9" i="25"/>
  <c r="B7" i="25"/>
  <c r="A269" i="25"/>
  <c r="A89" i="25"/>
  <c r="B206" i="25"/>
  <c r="B204" i="25"/>
  <c r="B202" i="25"/>
  <c r="B200" i="25"/>
  <c r="B198" i="25"/>
  <c r="B196" i="25"/>
  <c r="B194" i="25"/>
  <c r="B192" i="25"/>
  <c r="B190" i="25"/>
  <c r="B188" i="25"/>
  <c r="B186" i="25"/>
  <c r="B184" i="25"/>
  <c r="B182" i="25"/>
  <c r="B180" i="25"/>
  <c r="B178" i="25"/>
  <c r="B176" i="25"/>
  <c r="B174" i="25"/>
  <c r="B172" i="25"/>
  <c r="B170" i="25"/>
  <c r="B168" i="25"/>
  <c r="B166" i="25"/>
  <c r="B164" i="25"/>
  <c r="B162" i="25"/>
  <c r="B160" i="25"/>
  <c r="B158" i="25"/>
  <c r="B156" i="25"/>
  <c r="B154" i="25"/>
  <c r="B152" i="25"/>
  <c r="B150" i="25"/>
  <c r="B148" i="25"/>
  <c r="B146" i="25"/>
  <c r="B144" i="25"/>
  <c r="B142" i="25"/>
  <c r="B140" i="25"/>
  <c r="B138" i="25"/>
  <c r="B136" i="25"/>
  <c r="B134" i="25"/>
  <c r="B132" i="25"/>
  <c r="B130" i="25"/>
  <c r="B128" i="25"/>
  <c r="B126" i="25"/>
  <c r="B124" i="25"/>
  <c r="B122" i="25"/>
  <c r="B120" i="25"/>
  <c r="B118" i="25"/>
  <c r="B116" i="25"/>
  <c r="B114" i="25"/>
  <c r="B112" i="25"/>
  <c r="B110" i="25"/>
  <c r="B108" i="25"/>
  <c r="B106" i="25"/>
  <c r="B104" i="25"/>
  <c r="B102" i="25"/>
  <c r="B100" i="25"/>
  <c r="B98" i="25"/>
  <c r="B96" i="25"/>
  <c r="B94" i="25"/>
  <c r="B92" i="25"/>
  <c r="B90" i="25"/>
  <c r="B88" i="25"/>
  <c r="B86" i="25"/>
  <c r="B84" i="25"/>
  <c r="B82" i="25"/>
  <c r="B80" i="25"/>
  <c r="B78" i="25"/>
  <c r="B76" i="25"/>
  <c r="B74" i="25"/>
  <c r="B72" i="25"/>
  <c r="B70" i="25"/>
  <c r="B68" i="25"/>
  <c r="B66" i="25"/>
  <c r="B64" i="25"/>
  <c r="B62" i="25"/>
  <c r="B60" i="25"/>
  <c r="B58" i="25"/>
  <c r="B56" i="25"/>
  <c r="B54" i="25"/>
  <c r="B52" i="25"/>
  <c r="B50" i="25"/>
  <c r="B48" i="25"/>
  <c r="B46" i="25"/>
  <c r="B44" i="25"/>
  <c r="B42" i="25"/>
  <c r="B40" i="25"/>
  <c r="B38" i="25"/>
  <c r="B36" i="25"/>
  <c r="B34" i="25"/>
  <c r="B32" i="25"/>
  <c r="B30" i="25"/>
  <c r="B28" i="25"/>
  <c r="B26" i="25"/>
  <c r="B24" i="25"/>
  <c r="B22" i="25"/>
  <c r="B20" i="25"/>
  <c r="B18" i="25"/>
  <c r="B16" i="25"/>
  <c r="B14" i="25"/>
  <c r="B12" i="25"/>
  <c r="B10" i="25"/>
  <c r="B8" i="25"/>
  <c r="A311" i="25"/>
  <c r="A309" i="25"/>
  <c r="A305" i="25"/>
  <c r="A303" i="25"/>
  <c r="A299" i="25"/>
  <c r="A295" i="25"/>
  <c r="A291" i="25"/>
  <c r="A285" i="25"/>
  <c r="A281" i="25"/>
  <c r="A279" i="25"/>
  <c r="A275" i="25"/>
  <c r="A271" i="25"/>
  <c r="A267" i="25"/>
  <c r="A263" i="25"/>
  <c r="A259" i="25"/>
  <c r="A255" i="25"/>
  <c r="A249" i="25"/>
  <c r="A247" i="25"/>
  <c r="A243" i="25"/>
  <c r="A239" i="25"/>
  <c r="A235" i="25"/>
  <c r="A231" i="25"/>
  <c r="A227" i="25"/>
  <c r="A223" i="25"/>
  <c r="A219" i="25"/>
  <c r="A217" i="25"/>
  <c r="A213" i="25"/>
  <c r="A209" i="25"/>
  <c r="A205" i="25"/>
  <c r="A199" i="25"/>
  <c r="A195" i="25"/>
  <c r="A189" i="25"/>
  <c r="A185" i="25"/>
  <c r="A181" i="25"/>
  <c r="A177" i="25"/>
  <c r="A173" i="25"/>
  <c r="A169" i="25"/>
  <c r="A165" i="25"/>
  <c r="A161" i="25"/>
  <c r="A159" i="25"/>
  <c r="A155" i="25"/>
  <c r="A151" i="25"/>
  <c r="A147" i="25"/>
  <c r="A143" i="25"/>
  <c r="A139" i="25"/>
  <c r="A135" i="25"/>
  <c r="A131" i="25"/>
  <c r="A127" i="25"/>
  <c r="A121" i="25"/>
  <c r="A117" i="25"/>
  <c r="A113" i="25"/>
  <c r="A109" i="25"/>
  <c r="A107" i="25"/>
  <c r="A103" i="25"/>
  <c r="A99" i="25"/>
  <c r="A95" i="25"/>
  <c r="A91" i="25"/>
  <c r="A85" i="25"/>
  <c r="A81" i="25"/>
  <c r="A77" i="25"/>
  <c r="A73" i="25"/>
  <c r="A67" i="25"/>
  <c r="A63" i="25"/>
  <c r="A59" i="25"/>
  <c r="A55" i="25"/>
  <c r="A51" i="25"/>
  <c r="A47" i="25"/>
  <c r="A45" i="25"/>
  <c r="A41" i="25"/>
  <c r="A37" i="25"/>
  <c r="A33" i="25"/>
  <c r="A29" i="25"/>
  <c r="A25" i="25"/>
  <c r="A21" i="25"/>
  <c r="A17" i="25"/>
  <c r="A13" i="25"/>
  <c r="A9" i="25"/>
  <c r="A7" i="25"/>
  <c r="B314" i="25"/>
  <c r="B310" i="25"/>
  <c r="B306" i="25"/>
  <c r="B304" i="25"/>
  <c r="B300" i="25"/>
  <c r="B296" i="25"/>
  <c r="B290" i="25"/>
  <c r="B286" i="25"/>
  <c r="B284" i="25"/>
  <c r="B278" i="25"/>
  <c r="B274" i="25"/>
  <c r="B270" i="25"/>
  <c r="B266" i="25"/>
  <c r="B262" i="25"/>
  <c r="B258" i="25"/>
  <c r="B254" i="25"/>
  <c r="B250" i="25"/>
  <c r="B248" i="25"/>
  <c r="B244" i="25"/>
  <c r="B240" i="25"/>
  <c r="B236" i="25"/>
  <c r="B232" i="25"/>
  <c r="B228" i="25"/>
  <c r="B224" i="25"/>
  <c r="B220" i="25"/>
  <c r="B216" i="25"/>
  <c r="B210" i="25"/>
  <c r="A314" i="25"/>
  <c r="A308" i="25"/>
  <c r="A304" i="25"/>
  <c r="A298" i="25"/>
  <c r="A292" i="25"/>
  <c r="A286" i="25"/>
  <c r="A280" i="25"/>
  <c r="A272" i="25"/>
  <c r="A266" i="25"/>
  <c r="A260" i="25"/>
  <c r="A256" i="25"/>
  <c r="A254" i="25"/>
  <c r="A250" i="25"/>
  <c r="A246" i="25"/>
  <c r="A240" i="25"/>
  <c r="A236" i="25"/>
  <c r="A234" i="25"/>
  <c r="A230" i="25"/>
  <c r="A228" i="25"/>
  <c r="A224" i="25"/>
  <c r="A220" i="25"/>
  <c r="A216" i="25"/>
  <c r="A212" i="25"/>
  <c r="A208" i="25"/>
  <c r="A204" i="25"/>
  <c r="A198" i="25"/>
  <c r="A194" i="25"/>
  <c r="A192" i="25"/>
  <c r="A188" i="25"/>
  <c r="A184" i="25"/>
  <c r="A180" i="25"/>
  <c r="A176" i="25"/>
  <c r="A172" i="25"/>
  <c r="A168" i="25"/>
  <c r="A164" i="25"/>
  <c r="A160" i="25"/>
  <c r="A156" i="25"/>
  <c r="A152" i="25"/>
  <c r="A148" i="25"/>
  <c r="A142" i="25"/>
  <c r="A138" i="25"/>
  <c r="A134" i="25"/>
  <c r="A130" i="25"/>
  <c r="A126" i="25"/>
  <c r="A122" i="25"/>
  <c r="A118" i="25"/>
  <c r="A114" i="25"/>
  <c r="A110" i="25"/>
  <c r="A106" i="25"/>
  <c r="A102" i="25"/>
  <c r="A98" i="25"/>
  <c r="A94" i="25"/>
  <c r="A90" i="25"/>
  <c r="A86" i="25"/>
  <c r="A82" i="25"/>
  <c r="A78" i="25"/>
  <c r="A74" i="25"/>
  <c r="A70" i="25"/>
  <c r="A66" i="25"/>
  <c r="A62" i="25"/>
  <c r="A58" i="25"/>
  <c r="A54" i="25"/>
  <c r="A48" i="25"/>
  <c r="A42" i="25"/>
  <c r="A38" i="25"/>
  <c r="A34" i="25"/>
  <c r="A28" i="25"/>
  <c r="A22" i="25"/>
  <c r="A16" i="25"/>
  <c r="A10" i="25"/>
  <c r="D39" i="25"/>
  <c r="D27" i="25"/>
  <c r="D7" i="25"/>
  <c r="D307" i="25"/>
  <c r="D291" i="25"/>
  <c r="D275" i="25"/>
  <c r="D259" i="25"/>
  <c r="D227" i="25"/>
  <c r="D211" i="25"/>
  <c r="D179" i="25"/>
  <c r="D163" i="25"/>
  <c r="D147" i="25"/>
  <c r="D131" i="25"/>
  <c r="D91" i="25"/>
  <c r="D65" i="25"/>
  <c r="D33" i="25"/>
  <c r="D310" i="25"/>
  <c r="D148" i="25"/>
  <c r="D40" i="25"/>
  <c r="D92" i="25"/>
  <c r="D146" i="25"/>
  <c r="D134" i="25"/>
  <c r="D122" i="25"/>
  <c r="D58" i="25"/>
  <c r="D118" i="25"/>
  <c r="D114" i="25"/>
  <c r="D110" i="25"/>
  <c r="D102" i="25"/>
  <c r="D94" i="25"/>
  <c r="D86" i="25"/>
  <c r="D82" i="25"/>
  <c r="D78" i="25"/>
  <c r="D70" i="25"/>
  <c r="D62" i="25"/>
  <c r="D54" i="25"/>
  <c r="D50" i="25"/>
  <c r="D46" i="25"/>
  <c r="D38" i="25"/>
  <c r="D30" i="25"/>
  <c r="D22" i="25"/>
  <c r="D18" i="25"/>
  <c r="D14" i="25"/>
  <c r="D313" i="25"/>
  <c r="D309" i="25"/>
  <c r="D305" i="25"/>
  <c r="D301" i="25"/>
  <c r="D297" i="25"/>
  <c r="D293" i="25"/>
  <c r="D289" i="25"/>
  <c r="D285" i="25"/>
  <c r="D281" i="25"/>
  <c r="D277" i="25"/>
  <c r="D273" i="25"/>
  <c r="D269" i="25"/>
  <c r="D265" i="25"/>
  <c r="D261" i="25"/>
  <c r="D257" i="25"/>
  <c r="D253" i="25"/>
  <c r="D249" i="25"/>
  <c r="D245" i="25"/>
  <c r="D241" i="25"/>
  <c r="D237" i="25"/>
  <c r="D233" i="25"/>
  <c r="D229" i="25"/>
  <c r="D225" i="25"/>
  <c r="D221" i="25"/>
  <c r="D217" i="25"/>
  <c r="D213" i="25"/>
  <c r="D209" i="25"/>
  <c r="D205" i="25"/>
  <c r="D201" i="25"/>
  <c r="D197" i="25"/>
  <c r="D193" i="25"/>
  <c r="D189" i="25"/>
  <c r="D185" i="25"/>
  <c r="D181" i="25"/>
  <c r="D173" i="25"/>
  <c r="D169" i="25"/>
  <c r="D165" i="25"/>
  <c r="D161" i="25"/>
  <c r="D157" i="25"/>
  <c r="D153" i="25"/>
  <c r="D149" i="25"/>
  <c r="D145" i="25"/>
  <c r="D141" i="25"/>
  <c r="D137" i="25"/>
  <c r="D133" i="25"/>
  <c r="D129" i="25"/>
  <c r="D125" i="25"/>
  <c r="D121" i="25"/>
  <c r="D117" i="25"/>
  <c r="D113" i="25"/>
  <c r="D109" i="25"/>
  <c r="D105" i="25"/>
  <c r="D101" i="25"/>
  <c r="D93" i="25"/>
  <c r="D89" i="25"/>
  <c r="D85" i="25"/>
  <c r="D81" i="25"/>
  <c r="D77" i="25"/>
  <c r="D73" i="25"/>
  <c r="D69" i="25"/>
  <c r="D61" i="25"/>
  <c r="D57" i="25"/>
  <c r="D53" i="25"/>
  <c r="D49" i="25"/>
  <c r="D45" i="25"/>
  <c r="D41" i="25"/>
  <c r="D37" i="25"/>
  <c r="D29" i="25"/>
  <c r="D25" i="25"/>
  <c r="D21" i="25"/>
  <c r="D17" i="25"/>
  <c r="D13" i="25"/>
  <c r="D9" i="25"/>
  <c r="D312" i="25"/>
  <c r="D304" i="25"/>
  <c r="D296" i="25"/>
  <c r="D288" i="25"/>
  <c r="D280" i="25"/>
  <c r="D272" i="25"/>
  <c r="D264" i="25"/>
  <c r="D256" i="25"/>
  <c r="D248" i="25"/>
  <c r="D240" i="25"/>
  <c r="D232" i="25"/>
  <c r="D224" i="25"/>
  <c r="D216" i="25"/>
  <c r="D208" i="25"/>
  <c r="D200" i="25"/>
  <c r="D192" i="25"/>
  <c r="D184" i="25"/>
  <c r="D176" i="25"/>
  <c r="D168" i="25"/>
  <c r="D160" i="25"/>
  <c r="D152" i="25"/>
  <c r="D144" i="25"/>
  <c r="D136" i="25"/>
  <c r="D128" i="25"/>
  <c r="D120" i="25"/>
  <c r="D108" i="25"/>
  <c r="D88" i="25"/>
  <c r="D76" i="25"/>
  <c r="D56" i="25"/>
  <c r="D44" i="25"/>
  <c r="D24" i="25"/>
  <c r="D12" i="25"/>
  <c r="D311" i="25"/>
  <c r="D303" i="25"/>
  <c r="D295" i="25"/>
  <c r="D287" i="25"/>
  <c r="D279" i="25"/>
  <c r="D271" i="25"/>
  <c r="D263" i="25"/>
  <c r="D255" i="25"/>
  <c r="D247" i="25"/>
  <c r="D239" i="25"/>
  <c r="D231" i="25"/>
  <c r="D223" i="25"/>
  <c r="D215" i="25"/>
  <c r="D207" i="25"/>
  <c r="D199" i="25"/>
  <c r="D191" i="25"/>
  <c r="D183" i="25"/>
  <c r="D175" i="25"/>
  <c r="D167" i="25"/>
  <c r="D159" i="25"/>
  <c r="D151" i="25"/>
  <c r="D143" i="25"/>
  <c r="D135" i="25"/>
  <c r="D127" i="25"/>
  <c r="D119" i="25"/>
  <c r="D115" i="25"/>
  <c r="D111" i="25"/>
  <c r="D107" i="25"/>
  <c r="D99" i="25"/>
  <c r="D95" i="25"/>
  <c r="D87" i="25"/>
  <c r="D83" i="25"/>
  <c r="D79" i="25"/>
  <c r="D75" i="25"/>
  <c r="D67" i="25"/>
  <c r="D177" i="25"/>
  <c r="M245" i="42"/>
  <c r="Y245" i="42" s="1"/>
  <c r="Z7" i="19" l="1"/>
  <c r="X7" i="19"/>
  <c r="W7" i="19"/>
  <c r="V7" i="19"/>
  <c r="P7" i="19"/>
  <c r="N7" i="19"/>
  <c r="M7" i="19"/>
  <c r="L7" i="19"/>
  <c r="K7" i="19"/>
  <c r="I7" i="19"/>
  <c r="H7" i="19"/>
  <c r="M239" i="42"/>
  <c r="Y239" i="42" s="1"/>
  <c r="K244" i="13" l="1"/>
  <c r="K170" i="13"/>
  <c r="K219" i="13"/>
  <c r="M246" i="42" l="1"/>
  <c r="Y246" i="42" s="1"/>
  <c r="M220" i="42"/>
  <c r="Y220" i="42" s="1"/>
  <c r="M171" i="42"/>
  <c r="Y171" i="42" s="1"/>
  <c r="L170" i="13" l="1"/>
  <c r="M170" i="13" s="1"/>
  <c r="L219" i="13"/>
  <c r="M219" i="13" s="1"/>
  <c r="L244" i="13"/>
  <c r="M244" i="13" s="1"/>
  <c r="J219" i="13" l="1"/>
  <c r="A219" i="49"/>
  <c r="B219" i="49"/>
  <c r="A170" i="49"/>
  <c r="B170" i="49"/>
  <c r="A219" i="13"/>
  <c r="B219" i="13"/>
  <c r="A170" i="13"/>
  <c r="B170" i="13"/>
  <c r="E126" i="25" l="1"/>
  <c r="E113" i="25"/>
  <c r="E172" i="25"/>
  <c r="E211" i="25"/>
  <c r="E181" i="25"/>
  <c r="E196" i="25"/>
  <c r="E33" i="25"/>
  <c r="E64" i="25"/>
  <c r="E242" i="25"/>
  <c r="E301" i="25"/>
  <c r="E271" i="25"/>
  <c r="E311" i="25"/>
  <c r="E41" i="25"/>
  <c r="E130" i="25"/>
  <c r="E91" i="25"/>
  <c r="E218" i="25"/>
  <c r="E57" i="25"/>
  <c r="E60" i="25"/>
  <c r="E216" i="25"/>
  <c r="E169" i="25"/>
  <c r="E69" i="25"/>
  <c r="E240" i="25"/>
  <c r="E141" i="25"/>
  <c r="E285" i="25"/>
  <c r="E116" i="25"/>
  <c r="E254" i="25"/>
  <c r="E28" i="25"/>
  <c r="E154" i="25"/>
  <c r="E27" i="25"/>
  <c r="E234" i="25"/>
  <c r="E159" i="25"/>
  <c r="E187" i="25"/>
  <c r="E258" i="25"/>
  <c r="E131" i="25"/>
  <c r="E24" i="25"/>
  <c r="E85" i="25"/>
  <c r="E239" i="25"/>
  <c r="E29" i="25"/>
  <c r="E142" i="25"/>
  <c r="E37" i="25"/>
  <c r="E108" i="25"/>
  <c r="E100" i="25"/>
  <c r="E88" i="25"/>
  <c r="E273" i="25"/>
  <c r="E303" i="25"/>
  <c r="E223" i="25"/>
  <c r="E136" i="25"/>
  <c r="E36" i="25"/>
  <c r="E250" i="25"/>
  <c r="E77" i="25"/>
  <c r="E102" i="25"/>
  <c r="E276" i="25"/>
  <c r="E148" i="25"/>
  <c r="E111" i="25"/>
  <c r="E127" i="25"/>
  <c r="E81" i="25"/>
  <c r="E164" i="25"/>
  <c r="E205" i="25"/>
  <c r="E34" i="25"/>
  <c r="E298" i="25"/>
  <c r="E32" i="25"/>
  <c r="E210" i="25"/>
  <c r="E179" i="25"/>
  <c r="E290" i="25"/>
  <c r="E98" i="25"/>
  <c r="E35" i="25"/>
  <c r="E277" i="25"/>
  <c r="E265" i="25"/>
  <c r="E122" i="25"/>
  <c r="E15" i="25"/>
  <c r="E129" i="25"/>
  <c r="E123" i="25"/>
  <c r="E56" i="25"/>
  <c r="E192" i="25"/>
  <c r="E184" i="25"/>
  <c r="E233" i="25"/>
  <c r="E275" i="25"/>
  <c r="E294" i="25"/>
  <c r="E177" i="25"/>
  <c r="E115" i="25"/>
  <c r="E106" i="25"/>
  <c r="E44" i="25"/>
  <c r="E225" i="25"/>
  <c r="E281" i="25"/>
  <c r="E260" i="25"/>
  <c r="E92" i="25"/>
  <c r="E21" i="25"/>
  <c r="E59" i="25"/>
  <c r="E63" i="25"/>
  <c r="E236" i="25"/>
  <c r="E287" i="25"/>
  <c r="E135" i="25"/>
  <c r="E310" i="25"/>
  <c r="E209" i="25"/>
  <c r="E203" i="25"/>
  <c r="E19" i="25"/>
  <c r="E292" i="25"/>
  <c r="E259" i="25"/>
  <c r="E11" i="25"/>
  <c r="E20" i="25"/>
  <c r="E47" i="25"/>
  <c r="E73" i="25"/>
  <c r="E31" i="25"/>
  <c r="E22" i="25"/>
  <c r="E246" i="25"/>
  <c r="E308" i="25"/>
  <c r="E13" i="25"/>
  <c r="E297" i="25"/>
  <c r="E305" i="25"/>
  <c r="E104" i="25"/>
  <c r="E157" i="25"/>
  <c r="E208" i="25"/>
  <c r="E16" i="25"/>
  <c r="E151" i="25"/>
  <c r="E279" i="25"/>
  <c r="E61" i="25"/>
  <c r="E152" i="25"/>
  <c r="E183" i="25"/>
  <c r="E261" i="25"/>
  <c r="E257" i="25"/>
  <c r="E188" i="25"/>
  <c r="E243" i="25"/>
  <c r="E314" i="25"/>
  <c r="E162" i="25"/>
  <c r="E166" i="25"/>
  <c r="E150" i="25"/>
  <c r="E222" i="25"/>
  <c r="E302" i="25"/>
  <c r="E178" i="25"/>
  <c r="E174" i="25"/>
  <c r="E238" i="25"/>
  <c r="E214" i="25"/>
  <c r="E198" i="25"/>
  <c r="E62" i="25"/>
  <c r="E262" i="25"/>
  <c r="E134" i="25"/>
  <c r="E87" i="25"/>
  <c r="E245" i="25"/>
  <c r="E121" i="25"/>
  <c r="E241" i="25"/>
  <c r="E295" i="25"/>
  <c r="E110" i="25"/>
  <c r="E251" i="25"/>
  <c r="E71" i="25"/>
  <c r="E253" i="25"/>
  <c r="E14" i="25"/>
  <c r="E293" i="25"/>
  <c r="E118" i="25"/>
  <c r="E284" i="25"/>
  <c r="E76" i="25"/>
  <c r="E30" i="25"/>
  <c r="E161" i="25"/>
  <c r="E180" i="25"/>
  <c r="E307" i="25"/>
  <c r="E167" i="25"/>
  <c r="E199" i="25"/>
  <c r="E72" i="25"/>
  <c r="E272" i="25"/>
  <c r="E84" i="25"/>
  <c r="E46" i="25"/>
  <c r="E156" i="25"/>
  <c r="E95" i="25"/>
  <c r="E291" i="25"/>
  <c r="E65" i="25"/>
  <c r="E42" i="25"/>
  <c r="E255" i="25"/>
  <c r="E10" i="25"/>
  <c r="E175" i="25"/>
  <c r="E168" i="25"/>
  <c r="E282" i="25"/>
  <c r="E68" i="25"/>
  <c r="E171" i="25"/>
  <c r="E280" i="25"/>
  <c r="E120" i="25"/>
  <c r="E149" i="25"/>
  <c r="E300" i="25"/>
  <c r="E124" i="25"/>
  <c r="E249" i="25"/>
  <c r="E52" i="25"/>
  <c r="E89" i="25"/>
  <c r="E191" i="25"/>
  <c r="E38" i="25"/>
  <c r="E228" i="25"/>
  <c r="E96" i="25"/>
  <c r="E219" i="25"/>
  <c r="E99" i="25"/>
  <c r="E197" i="25"/>
  <c r="E201" i="25"/>
  <c r="E212" i="25"/>
  <c r="E146" i="25"/>
  <c r="E119" i="25"/>
  <c r="E299" i="25"/>
  <c r="E112" i="25"/>
  <c r="E200" i="25"/>
  <c r="E213" i="25"/>
  <c r="E227" i="25"/>
  <c r="E117" i="25"/>
  <c r="E313" i="25"/>
  <c r="E97" i="25"/>
  <c r="E204" i="25"/>
  <c r="E235" i="25"/>
  <c r="E268" i="25"/>
  <c r="E312" i="25"/>
  <c r="E143" i="25"/>
  <c r="E278" i="25"/>
  <c r="E9" i="25"/>
  <c r="E132" i="25"/>
  <c r="E252" i="25"/>
  <c r="E55" i="25"/>
  <c r="E194" i="25"/>
  <c r="E128" i="25"/>
  <c r="E17" i="25"/>
  <c r="E25" i="25"/>
  <c r="E51" i="25"/>
  <c r="E12" i="25"/>
  <c r="E296" i="25"/>
  <c r="E229" i="25"/>
  <c r="E189" i="25"/>
  <c r="E8" i="25"/>
  <c r="E206" i="25"/>
  <c r="E86" i="25"/>
  <c r="E45" i="25"/>
  <c r="E40" i="25"/>
  <c r="E114" i="25"/>
  <c r="E237" i="25"/>
  <c r="E270" i="25"/>
  <c r="E220" i="25"/>
  <c r="E83" i="25"/>
  <c r="E226" i="25"/>
  <c r="E26" i="25"/>
  <c r="E137" i="25"/>
  <c r="E283" i="25"/>
  <c r="E147" i="25"/>
  <c r="E193" i="25"/>
  <c r="E217" i="25"/>
  <c r="E269" i="25"/>
  <c r="E75" i="25"/>
  <c r="E50" i="25"/>
  <c r="E224" i="25"/>
  <c r="E231" i="25"/>
  <c r="E94" i="25"/>
  <c r="E49" i="25"/>
  <c r="E140" i="25"/>
  <c r="E306" i="25"/>
  <c r="E125" i="25"/>
  <c r="E160" i="25"/>
  <c r="E93" i="25"/>
  <c r="E256" i="25"/>
  <c r="E232" i="25"/>
  <c r="E163" i="25"/>
  <c r="E247" i="25"/>
  <c r="E266" i="25"/>
  <c r="E43" i="25"/>
  <c r="E53" i="25"/>
  <c r="E107" i="25"/>
  <c r="E109" i="25"/>
  <c r="E274" i="25"/>
  <c r="E264" i="25"/>
  <c r="E79" i="25"/>
  <c r="E173" i="25"/>
  <c r="E144" i="25"/>
  <c r="E145" i="25"/>
  <c r="E304" i="25"/>
  <c r="E101" i="25"/>
  <c r="E39" i="25"/>
  <c r="E67" i="25"/>
  <c r="E165" i="25"/>
  <c r="E215" i="25"/>
  <c r="E185" i="25"/>
  <c r="E207" i="25"/>
  <c r="E267" i="25"/>
  <c r="E248" i="25"/>
  <c r="E176" i="25"/>
  <c r="E286" i="25"/>
  <c r="E195" i="25"/>
  <c r="E263" i="25"/>
  <c r="E23" i="25"/>
  <c r="E80" i="25"/>
  <c r="E153" i="25"/>
  <c r="E48" i="25"/>
  <c r="E78" i="25"/>
  <c r="E309" i="25"/>
  <c r="E133" i="25"/>
  <c r="E54" i="25"/>
  <c r="E103" i="25"/>
  <c r="E105" i="25"/>
  <c r="E155" i="25"/>
  <c r="E139" i="25"/>
  <c r="E7" i="25"/>
  <c r="E288" i="25"/>
  <c r="E221" i="25"/>
  <c r="E90" i="25"/>
  <c r="E190" i="25"/>
  <c r="E70" i="25"/>
  <c r="E82" i="25"/>
  <c r="E186" i="25"/>
  <c r="E202" i="25"/>
  <c r="E66" i="25"/>
  <c r="E74" i="25"/>
  <c r="E230" i="25"/>
  <c r="E58" i="25"/>
  <c r="E158" i="25"/>
  <c r="E18" i="25"/>
  <c r="E138" i="25"/>
  <c r="E182" i="25"/>
  <c r="E289" i="25"/>
  <c r="J244" i="13"/>
  <c r="J170" i="13"/>
  <c r="M4" i="11"/>
  <c r="I4" i="11"/>
  <c r="H268" i="11" l="1"/>
  <c r="I268" i="11" s="1"/>
  <c r="L268" i="11"/>
  <c r="M268" i="11" s="1"/>
  <c r="H311" i="11"/>
  <c r="I311" i="11" s="1"/>
  <c r="L311" i="11"/>
  <c r="M311" i="11" s="1"/>
  <c r="L111" i="11"/>
  <c r="M111" i="11" s="1"/>
  <c r="H111" i="11"/>
  <c r="I111" i="11" s="1"/>
  <c r="E244" i="25"/>
  <c r="L240" i="11"/>
  <c r="M240" i="11" s="1"/>
  <c r="H240" i="11"/>
  <c r="I240" i="11" s="1"/>
  <c r="L221" i="11"/>
  <c r="M221" i="11" s="1"/>
  <c r="H221" i="11"/>
  <c r="I221" i="11" s="1"/>
  <c r="L220" i="11"/>
  <c r="M220" i="11" s="1"/>
  <c r="H220" i="11"/>
  <c r="I220" i="11" s="1"/>
  <c r="L132" i="11"/>
  <c r="M132" i="11" s="1"/>
  <c r="H132" i="11"/>
  <c r="I132" i="11" s="1"/>
  <c r="L262" i="11"/>
  <c r="M262" i="11" s="1"/>
  <c r="H262" i="11"/>
  <c r="I262" i="11" s="1"/>
  <c r="H214" i="11"/>
  <c r="I214" i="11" s="1"/>
  <c r="L214" i="11"/>
  <c r="M214" i="11" s="1"/>
  <c r="L231" i="11"/>
  <c r="M231" i="11" s="1"/>
  <c r="H231" i="11"/>
  <c r="I231" i="11" s="1"/>
  <c r="H159" i="11"/>
  <c r="I159" i="11" s="1"/>
  <c r="L159" i="11"/>
  <c r="M159" i="11" s="1"/>
  <c r="L205" i="11"/>
  <c r="M205" i="11" s="1"/>
  <c r="H205" i="11"/>
  <c r="I205" i="11" s="1"/>
  <c r="H228" i="11"/>
  <c r="I228" i="11" s="1"/>
  <c r="L228" i="11"/>
  <c r="M228" i="11" s="1"/>
  <c r="L131" i="11"/>
  <c r="M131" i="11" s="1"/>
  <c r="H131" i="11"/>
  <c r="I131" i="11" s="1"/>
  <c r="L312" i="11"/>
  <c r="M312" i="11" s="1"/>
  <c r="H312" i="11"/>
  <c r="I312" i="11" s="1"/>
  <c r="H123" i="11"/>
  <c r="I123" i="11" s="1"/>
  <c r="L123" i="11"/>
  <c r="M123" i="11" s="1"/>
  <c r="L294" i="11"/>
  <c r="M294" i="11" s="1"/>
  <c r="H294" i="11"/>
  <c r="I294" i="11" s="1"/>
  <c r="H133" i="11"/>
  <c r="I133" i="11" s="1"/>
  <c r="L133" i="11"/>
  <c r="M133" i="11" s="1"/>
  <c r="L197" i="11"/>
  <c r="M197" i="11" s="1"/>
  <c r="H197" i="11"/>
  <c r="I197" i="11" s="1"/>
  <c r="L301" i="11"/>
  <c r="M301" i="11" s="1"/>
  <c r="H301" i="11"/>
  <c r="I301" i="11" s="1"/>
  <c r="H278" i="11"/>
  <c r="I278" i="11" s="1"/>
  <c r="L278" i="11"/>
  <c r="M278" i="11" s="1"/>
  <c r="L304" i="11"/>
  <c r="M304" i="11" s="1"/>
  <c r="H304" i="11"/>
  <c r="I304" i="11" s="1"/>
  <c r="L114" i="11"/>
  <c r="M114" i="11" s="1"/>
  <c r="H114" i="11"/>
  <c r="I114" i="11" s="1"/>
  <c r="L274" i="11"/>
  <c r="M274" i="11" s="1"/>
  <c r="H274" i="11"/>
  <c r="I274" i="11" s="1"/>
  <c r="L191" i="11"/>
  <c r="M191" i="11" s="1"/>
  <c r="H191" i="11"/>
  <c r="I191" i="11" s="1"/>
  <c r="L122" i="11"/>
  <c r="M122" i="11" s="1"/>
  <c r="H122" i="11"/>
  <c r="I122" i="11" s="1"/>
  <c r="L217" i="11"/>
  <c r="M217" i="11" s="1"/>
  <c r="H217" i="11"/>
  <c r="I217" i="11" s="1"/>
  <c r="L270" i="11"/>
  <c r="M270" i="11" s="1"/>
  <c r="H270" i="11"/>
  <c r="I270" i="11" s="1"/>
  <c r="L180" i="11"/>
  <c r="M180" i="11" s="1"/>
  <c r="H180" i="11"/>
  <c r="I180" i="11" s="1"/>
  <c r="L164" i="11"/>
  <c r="M164" i="11" s="1"/>
  <c r="H164" i="11"/>
  <c r="I164" i="11" s="1"/>
  <c r="L265" i="11"/>
  <c r="M265" i="11" s="1"/>
  <c r="H265" i="11"/>
  <c r="I265" i="11" s="1"/>
  <c r="L298" i="11"/>
  <c r="M298" i="11" s="1"/>
  <c r="H298" i="11"/>
  <c r="I298" i="11" s="1"/>
  <c r="L151" i="11"/>
  <c r="M151" i="11" s="1"/>
  <c r="H151" i="11"/>
  <c r="I151" i="11" s="1"/>
  <c r="L309" i="11"/>
  <c r="M309" i="11" s="1"/>
  <c r="H309" i="11"/>
  <c r="I309" i="11" s="1"/>
  <c r="L176" i="11"/>
  <c r="M176" i="11" s="1"/>
  <c r="H176" i="11"/>
  <c r="I176" i="11" s="1"/>
  <c r="L135" i="11"/>
  <c r="M135" i="11" s="1"/>
  <c r="H135" i="11"/>
  <c r="I135" i="11" s="1"/>
  <c r="L130" i="11"/>
  <c r="M130" i="11" s="1"/>
  <c r="H130" i="11"/>
  <c r="I130" i="11" s="1"/>
  <c r="H229" i="11"/>
  <c r="I229" i="11" s="1"/>
  <c r="L229" i="11"/>
  <c r="M229" i="11" s="1"/>
  <c r="H77" i="11"/>
  <c r="I77" i="11" s="1"/>
  <c r="L77" i="11"/>
  <c r="M77" i="11" s="1"/>
  <c r="H152" i="11"/>
  <c r="I152" i="11" s="1"/>
  <c r="L152" i="11"/>
  <c r="M152" i="11" s="1"/>
  <c r="L106" i="11"/>
  <c r="M106" i="11" s="1"/>
  <c r="H106" i="11"/>
  <c r="I106" i="11" s="1"/>
  <c r="L162" i="11"/>
  <c r="M162" i="11" s="1"/>
  <c r="H162" i="11"/>
  <c r="I162" i="11" s="1"/>
  <c r="L136" i="11"/>
  <c r="M136" i="11" s="1"/>
  <c r="H136" i="11"/>
  <c r="I136" i="11" s="1"/>
  <c r="L96" i="11"/>
  <c r="M96" i="11" s="1"/>
  <c r="H96" i="11"/>
  <c r="I96" i="11" s="1"/>
  <c r="H118" i="11"/>
  <c r="I118" i="11" s="1"/>
  <c r="L118" i="11"/>
  <c r="M118" i="11" s="1"/>
  <c r="H145" i="11"/>
  <c r="I145" i="11" s="1"/>
  <c r="L145" i="11"/>
  <c r="M145" i="11" s="1"/>
  <c r="L200" i="11"/>
  <c r="M200" i="11" s="1"/>
  <c r="H200" i="11"/>
  <c r="I200" i="11" s="1"/>
  <c r="L98" i="11"/>
  <c r="M98" i="11" s="1"/>
  <c r="H98" i="11"/>
  <c r="I98" i="11" s="1"/>
  <c r="L88" i="11"/>
  <c r="M88" i="11" s="1"/>
  <c r="H88" i="11"/>
  <c r="I88" i="11" s="1"/>
  <c r="L170" i="11"/>
  <c r="M170" i="11" s="1"/>
  <c r="H170" i="11"/>
  <c r="I170" i="11" s="1"/>
  <c r="L160" i="11"/>
  <c r="M160" i="11" s="1"/>
  <c r="H160" i="11"/>
  <c r="I160" i="11" s="1"/>
  <c r="H283" i="11"/>
  <c r="I283" i="11" s="1"/>
  <c r="L283" i="11"/>
  <c r="M283" i="11" s="1"/>
  <c r="L109" i="11"/>
  <c r="M109" i="11" s="1"/>
  <c r="H109" i="11"/>
  <c r="I109" i="11" s="1"/>
  <c r="L244" i="11"/>
  <c r="M244" i="11" s="1"/>
  <c r="H244" i="11"/>
  <c r="I244" i="11" s="1"/>
  <c r="H237" i="11"/>
  <c r="I237" i="11" s="1"/>
  <c r="L237" i="11"/>
  <c r="M237" i="11" s="1"/>
  <c r="H173" i="11"/>
  <c r="I173" i="11" s="1"/>
  <c r="L173" i="11"/>
  <c r="M173" i="11" s="1"/>
  <c r="H235" i="11"/>
  <c r="I235" i="11" s="1"/>
  <c r="L235" i="11"/>
  <c r="M235" i="11" s="1"/>
  <c r="H183" i="11"/>
  <c r="I183" i="11" s="1"/>
  <c r="L183" i="11"/>
  <c r="M183" i="11" s="1"/>
  <c r="L276" i="11"/>
  <c r="M276" i="11" s="1"/>
  <c r="H276" i="11"/>
  <c r="I276" i="11" s="1"/>
  <c r="L80" i="11"/>
  <c r="M80" i="11" s="1"/>
  <c r="H80" i="11"/>
  <c r="I80" i="11" s="1"/>
  <c r="H147" i="11"/>
  <c r="I147" i="11" s="1"/>
  <c r="L147" i="11"/>
  <c r="M147" i="11" s="1"/>
  <c r="L284" i="11"/>
  <c r="M284" i="11" s="1"/>
  <c r="H284" i="11"/>
  <c r="I284" i="11" s="1"/>
  <c r="H215" i="11"/>
  <c r="I215" i="11" s="1"/>
  <c r="L215" i="11"/>
  <c r="M215" i="11" s="1"/>
  <c r="L142" i="11"/>
  <c r="M142" i="11" s="1"/>
  <c r="H142" i="11"/>
  <c r="I142" i="11" s="1"/>
  <c r="L289" i="11"/>
  <c r="M289" i="11" s="1"/>
  <c r="H289" i="11"/>
  <c r="I289" i="11" s="1"/>
  <c r="L300" i="11"/>
  <c r="M300" i="11" s="1"/>
  <c r="H300" i="11"/>
  <c r="I300" i="11" s="1"/>
  <c r="L201" i="11"/>
  <c r="M201" i="11" s="1"/>
  <c r="H201" i="11"/>
  <c r="I201" i="11" s="1"/>
  <c r="H89" i="11"/>
  <c r="I89" i="11" s="1"/>
  <c r="L89" i="11"/>
  <c r="M89" i="11" s="1"/>
  <c r="L154" i="11"/>
  <c r="M154" i="11" s="1"/>
  <c r="H154" i="11"/>
  <c r="I154" i="11" s="1"/>
  <c r="L102" i="11"/>
  <c r="M102" i="11" s="1"/>
  <c r="H102" i="11"/>
  <c r="I102" i="11" s="1"/>
  <c r="L92" i="11"/>
  <c r="M92" i="11" s="1"/>
  <c r="H92" i="11"/>
  <c r="I92" i="11" s="1"/>
  <c r="L223" i="11"/>
  <c r="M223" i="11" s="1"/>
  <c r="H223" i="11"/>
  <c r="I223" i="11" s="1"/>
  <c r="L146" i="11"/>
  <c r="M146" i="11" s="1"/>
  <c r="H146" i="11"/>
  <c r="I146" i="11" s="1"/>
  <c r="L82" i="11"/>
  <c r="M82" i="11" s="1"/>
  <c r="H82" i="11"/>
  <c r="I82" i="11" s="1"/>
  <c r="L236" i="11"/>
  <c r="M236" i="11" s="1"/>
  <c r="H236" i="11"/>
  <c r="I236" i="11" s="1"/>
  <c r="L193" i="11"/>
  <c r="M193" i="11" s="1"/>
  <c r="H193" i="11"/>
  <c r="I193" i="11" s="1"/>
  <c r="L277" i="11"/>
  <c r="M277" i="11" s="1"/>
  <c r="H277" i="11"/>
  <c r="I277" i="11" s="1"/>
  <c r="L226" i="11"/>
  <c r="M226" i="11" s="1"/>
  <c r="H226" i="11"/>
  <c r="I226" i="11" s="1"/>
  <c r="L227" i="11"/>
  <c r="M227" i="11" s="1"/>
  <c r="H227" i="11"/>
  <c r="I227" i="11" s="1"/>
  <c r="L190" i="11"/>
  <c r="M190" i="11" s="1"/>
  <c r="H190" i="11"/>
  <c r="I190" i="11" s="1"/>
  <c r="L148" i="11"/>
  <c r="M148" i="11" s="1"/>
  <c r="H148" i="11"/>
  <c r="I148" i="11" s="1"/>
  <c r="L281" i="11"/>
  <c r="M281" i="11" s="1"/>
  <c r="H281" i="11"/>
  <c r="I281" i="11" s="1"/>
  <c r="H174" i="11"/>
  <c r="I174" i="11" s="1"/>
  <c r="L174" i="11"/>
  <c r="M174" i="11" s="1"/>
  <c r="H290" i="11"/>
  <c r="I290" i="11" s="1"/>
  <c r="L290" i="11"/>
  <c r="M290" i="11" s="1"/>
  <c r="L179" i="11"/>
  <c r="M179" i="11" s="1"/>
  <c r="H179" i="11"/>
  <c r="I179" i="11" s="1"/>
  <c r="L86" i="11"/>
  <c r="M86" i="11" s="1"/>
  <c r="H86" i="11"/>
  <c r="I86" i="11" s="1"/>
  <c r="L313" i="11"/>
  <c r="M313" i="11" s="1"/>
  <c r="H313" i="11"/>
  <c r="I313" i="11" s="1"/>
  <c r="L256" i="11"/>
  <c r="M256" i="11" s="1"/>
  <c r="H256" i="11"/>
  <c r="I256" i="11" s="1"/>
  <c r="L245" i="11"/>
  <c r="M245" i="11" s="1"/>
  <c r="H245" i="11"/>
  <c r="I245" i="11" s="1"/>
  <c r="L208" i="11"/>
  <c r="M208" i="11" s="1"/>
  <c r="H208" i="11"/>
  <c r="I208" i="11" s="1"/>
  <c r="L91" i="11"/>
  <c r="M91" i="11" s="1"/>
  <c r="H91" i="11"/>
  <c r="I91" i="11" s="1"/>
  <c r="L259" i="11"/>
  <c r="M259" i="11" s="1"/>
  <c r="H259" i="11"/>
  <c r="I259" i="11" s="1"/>
  <c r="L224" i="11"/>
  <c r="M224" i="11" s="1"/>
  <c r="H224" i="11"/>
  <c r="I224" i="11" s="1"/>
  <c r="H105" i="11"/>
  <c r="I105" i="11" s="1"/>
  <c r="L105" i="11"/>
  <c r="M105" i="11" s="1"/>
  <c r="L293" i="11"/>
  <c r="M293" i="11" s="1"/>
  <c r="H293" i="11"/>
  <c r="I293" i="11" s="1"/>
  <c r="H110" i="11"/>
  <c r="I110" i="11" s="1"/>
  <c r="L110" i="11"/>
  <c r="M110" i="11" s="1"/>
  <c r="L249" i="11"/>
  <c r="M249" i="11" s="1"/>
  <c r="H249" i="11"/>
  <c r="I249" i="11" s="1"/>
  <c r="L222" i="11"/>
  <c r="M222" i="11" s="1"/>
  <c r="H222" i="11"/>
  <c r="I222" i="11" s="1"/>
  <c r="L186" i="11"/>
  <c r="M186" i="11" s="1"/>
  <c r="H186" i="11"/>
  <c r="I186" i="11" s="1"/>
  <c r="L233" i="11"/>
  <c r="M233" i="11" s="1"/>
  <c r="H233" i="11"/>
  <c r="I233" i="11" s="1"/>
  <c r="L115" i="11"/>
  <c r="M115" i="11" s="1"/>
  <c r="H115" i="11"/>
  <c r="I115" i="11" s="1"/>
  <c r="H129" i="11"/>
  <c r="I129" i="11" s="1"/>
  <c r="L129" i="11"/>
  <c r="M129" i="11" s="1"/>
  <c r="L241" i="11"/>
  <c r="M241" i="11" s="1"/>
  <c r="H241" i="11"/>
  <c r="I241" i="11" s="1"/>
  <c r="L171" i="11"/>
  <c r="M171" i="11" s="1"/>
  <c r="H171" i="11"/>
  <c r="I171" i="11" s="1"/>
  <c r="L255" i="11"/>
  <c r="M255" i="11" s="1"/>
  <c r="H255" i="11"/>
  <c r="I255" i="11" s="1"/>
  <c r="H213" i="11"/>
  <c r="I213" i="11" s="1"/>
  <c r="L213" i="11"/>
  <c r="M213" i="11" s="1"/>
  <c r="L207" i="11"/>
  <c r="M207" i="11" s="1"/>
  <c r="H207" i="11"/>
  <c r="I207" i="11" s="1"/>
  <c r="L126" i="11"/>
  <c r="M126" i="11" s="1"/>
  <c r="H126" i="11"/>
  <c r="I126" i="11" s="1"/>
  <c r="L288" i="11"/>
  <c r="M288" i="11" s="1"/>
  <c r="H288" i="11"/>
  <c r="I288" i="11" s="1"/>
  <c r="L81" i="11"/>
  <c r="M81" i="11" s="1"/>
  <c r="H81" i="11"/>
  <c r="I81" i="11" s="1"/>
  <c r="L287" i="11"/>
  <c r="M287" i="11" s="1"/>
  <c r="H287" i="11"/>
  <c r="I287" i="11" s="1"/>
  <c r="L172" i="11"/>
  <c r="M172" i="11" s="1"/>
  <c r="H172" i="11"/>
  <c r="I172" i="11" s="1"/>
  <c r="L305" i="11"/>
  <c r="M305" i="11" s="1"/>
  <c r="H305" i="11"/>
  <c r="I305" i="11" s="1"/>
  <c r="H230" i="11"/>
  <c r="I230" i="11" s="1"/>
  <c r="L230" i="11"/>
  <c r="M230" i="11" s="1"/>
  <c r="L192" i="11"/>
  <c r="M192" i="11" s="1"/>
  <c r="H192" i="11"/>
  <c r="I192" i="11" s="1"/>
  <c r="H188" i="11"/>
  <c r="I188" i="11" s="1"/>
  <c r="L188" i="11"/>
  <c r="M188" i="11" s="1"/>
  <c r="L267" i="11"/>
  <c r="M267" i="11" s="1"/>
  <c r="H267" i="11"/>
  <c r="I267" i="11" s="1"/>
  <c r="L211" i="11"/>
  <c r="M211" i="11" s="1"/>
  <c r="H211" i="11"/>
  <c r="I211" i="11" s="1"/>
  <c r="H248" i="11"/>
  <c r="I248" i="11" s="1"/>
  <c r="L248" i="11"/>
  <c r="M248" i="11" s="1"/>
  <c r="L279" i="11"/>
  <c r="M279" i="11" s="1"/>
  <c r="H279" i="11"/>
  <c r="I279" i="11" s="1"/>
  <c r="L117" i="11"/>
  <c r="M117" i="11" s="1"/>
  <c r="H117" i="11"/>
  <c r="I117" i="11" s="1"/>
  <c r="H252" i="11"/>
  <c r="I252" i="11" s="1"/>
  <c r="L252" i="11"/>
  <c r="M252" i="11" s="1"/>
  <c r="L120" i="11"/>
  <c r="M120" i="11" s="1"/>
  <c r="H120" i="11"/>
  <c r="I120" i="11" s="1"/>
  <c r="H177" i="11"/>
  <c r="I177" i="11" s="1"/>
  <c r="L177" i="11"/>
  <c r="M177" i="11" s="1"/>
  <c r="H161" i="11"/>
  <c r="I161" i="11" s="1"/>
  <c r="L161" i="11"/>
  <c r="M161" i="11" s="1"/>
  <c r="L291" i="11"/>
  <c r="M291" i="11" s="1"/>
  <c r="H291" i="11"/>
  <c r="I291" i="11" s="1"/>
  <c r="H134" i="11"/>
  <c r="I134" i="11" s="1"/>
  <c r="L134" i="11"/>
  <c r="M134" i="11" s="1"/>
  <c r="H286" i="11"/>
  <c r="I286" i="11" s="1"/>
  <c r="L286" i="11"/>
  <c r="M286" i="11" s="1"/>
  <c r="L232" i="11"/>
  <c r="M232" i="11" s="1"/>
  <c r="H232" i="11"/>
  <c r="I232" i="11" s="1"/>
  <c r="H209" i="11"/>
  <c r="I209" i="11" s="1"/>
  <c r="L209" i="11"/>
  <c r="M209" i="11" s="1"/>
  <c r="L163" i="11"/>
  <c r="M163" i="11" s="1"/>
  <c r="H163" i="11"/>
  <c r="I163" i="11" s="1"/>
  <c r="H87" i="11"/>
  <c r="I87" i="11" s="1"/>
  <c r="L87" i="11"/>
  <c r="M87" i="11" s="1"/>
  <c r="L239" i="11"/>
  <c r="M239" i="11" s="1"/>
  <c r="H239" i="11"/>
  <c r="I239" i="11" s="1"/>
  <c r="H195" i="11"/>
  <c r="I195" i="11" s="1"/>
  <c r="L195" i="11"/>
  <c r="M195" i="11" s="1"/>
  <c r="L210" i="11"/>
  <c r="M210" i="11" s="1"/>
  <c r="H210" i="11"/>
  <c r="I210" i="11" s="1"/>
  <c r="L125" i="11"/>
  <c r="M125" i="11" s="1"/>
  <c r="H125" i="11"/>
  <c r="I125" i="11" s="1"/>
  <c r="L185" i="11"/>
  <c r="M185" i="11" s="1"/>
  <c r="H185" i="11"/>
  <c r="I185" i="11" s="1"/>
  <c r="L175" i="11"/>
  <c r="M175" i="11" s="1"/>
  <c r="H175" i="11"/>
  <c r="I175" i="11" s="1"/>
  <c r="H99" i="11"/>
  <c r="I99" i="11" s="1"/>
  <c r="L99" i="11"/>
  <c r="M99" i="11" s="1"/>
  <c r="L308" i="11"/>
  <c r="M308" i="11" s="1"/>
  <c r="H308" i="11"/>
  <c r="I308" i="11" s="1"/>
  <c r="H285" i="11"/>
  <c r="I285" i="11" s="1"/>
  <c r="L285" i="11"/>
  <c r="M285" i="11" s="1"/>
  <c r="L266" i="11"/>
  <c r="M266" i="11" s="1"/>
  <c r="H266" i="11"/>
  <c r="I266" i="11" s="1"/>
  <c r="L184" i="11"/>
  <c r="M184" i="11" s="1"/>
  <c r="H184" i="11"/>
  <c r="I184" i="11" s="1"/>
  <c r="L303" i="11"/>
  <c r="M303" i="11" s="1"/>
  <c r="H303" i="11"/>
  <c r="I303" i="11" s="1"/>
  <c r="L143" i="11"/>
  <c r="M143" i="11" s="1"/>
  <c r="H143" i="11"/>
  <c r="I143" i="11" s="1"/>
  <c r="L78" i="11"/>
  <c r="M78" i="11" s="1"/>
  <c r="H78" i="11"/>
  <c r="I78" i="11" s="1"/>
  <c r="L263" i="11"/>
  <c r="M263" i="11" s="1"/>
  <c r="H263" i="11"/>
  <c r="I263" i="11" s="1"/>
  <c r="L282" i="11"/>
  <c r="M282" i="11" s="1"/>
  <c r="H282" i="11"/>
  <c r="I282" i="11" s="1"/>
  <c r="L269" i="11"/>
  <c r="M269" i="11" s="1"/>
  <c r="H269" i="11"/>
  <c r="I269" i="11" s="1"/>
  <c r="L113" i="11"/>
  <c r="M113" i="11" s="1"/>
  <c r="H113" i="11"/>
  <c r="I113" i="11" s="1"/>
  <c r="L85" i="11"/>
  <c r="M85" i="11" s="1"/>
  <c r="H85" i="11"/>
  <c r="I85" i="11" s="1"/>
  <c r="L295" i="11"/>
  <c r="M295" i="11" s="1"/>
  <c r="H295" i="11"/>
  <c r="I295" i="11" s="1"/>
  <c r="L251" i="11"/>
  <c r="M251" i="11" s="1"/>
  <c r="H251" i="11"/>
  <c r="I251" i="11" s="1"/>
  <c r="H203" i="11"/>
  <c r="I203" i="11" s="1"/>
  <c r="L203" i="11"/>
  <c r="M203" i="11" s="1"/>
  <c r="L199" i="11"/>
  <c r="M199" i="11" s="1"/>
  <c r="H199" i="11"/>
  <c r="I199" i="11" s="1"/>
  <c r="L299" i="11"/>
  <c r="M299" i="11" s="1"/>
  <c r="H299" i="11"/>
  <c r="I299" i="11" s="1"/>
  <c r="L167" i="11"/>
  <c r="M167" i="11" s="1"/>
  <c r="H167" i="11"/>
  <c r="I167" i="11" s="1"/>
  <c r="H254" i="11"/>
  <c r="I254" i="11" s="1"/>
  <c r="L254" i="11"/>
  <c r="M254" i="11" s="1"/>
  <c r="H271" i="11"/>
  <c r="I271" i="11" s="1"/>
  <c r="L271" i="11"/>
  <c r="M271" i="11" s="1"/>
  <c r="L166" i="11"/>
  <c r="M166" i="11" s="1"/>
  <c r="H166" i="11"/>
  <c r="I166" i="11" s="1"/>
  <c r="H292" i="11"/>
  <c r="I292" i="11" s="1"/>
  <c r="L292" i="11"/>
  <c r="M292" i="11" s="1"/>
  <c r="L250" i="11"/>
  <c r="M250" i="11" s="1"/>
  <c r="H250" i="11"/>
  <c r="I250" i="11" s="1"/>
  <c r="L261" i="11"/>
  <c r="M261" i="11" s="1"/>
  <c r="H261" i="11"/>
  <c r="I261" i="11" s="1"/>
  <c r="L182" i="11"/>
  <c r="M182" i="11" s="1"/>
  <c r="H182" i="11"/>
  <c r="I182" i="11" s="1"/>
  <c r="L296" i="11"/>
  <c r="M296" i="11" s="1"/>
  <c r="H296" i="11"/>
  <c r="I296" i="11" s="1"/>
  <c r="L202" i="11"/>
  <c r="M202" i="11" s="1"/>
  <c r="H202" i="11"/>
  <c r="I202" i="11" s="1"/>
  <c r="L264" i="11"/>
  <c r="M264" i="11" s="1"/>
  <c r="H264" i="11"/>
  <c r="I264" i="11" s="1"/>
  <c r="L297" i="11"/>
  <c r="M297" i="11" s="1"/>
  <c r="H297" i="11"/>
  <c r="I297" i="11" s="1"/>
  <c r="L101" i="11"/>
  <c r="M101" i="11" s="1"/>
  <c r="H101" i="11"/>
  <c r="I101" i="11" s="1"/>
  <c r="L272" i="11"/>
  <c r="M272" i="11" s="1"/>
  <c r="H272" i="11"/>
  <c r="I272" i="11" s="1"/>
  <c r="L107" i="11"/>
  <c r="M107" i="11" s="1"/>
  <c r="H107" i="11"/>
  <c r="I107" i="11" s="1"/>
  <c r="H153" i="11"/>
  <c r="I153" i="11" s="1"/>
  <c r="L153" i="11"/>
  <c r="M153" i="11" s="1"/>
  <c r="H140" i="11"/>
  <c r="I140" i="11" s="1"/>
  <c r="L140" i="11"/>
  <c r="M140" i="11" s="1"/>
  <c r="L181" i="11"/>
  <c r="M181" i="11" s="1"/>
  <c r="H181" i="11"/>
  <c r="I181" i="11" s="1"/>
  <c r="L196" i="11"/>
  <c r="M196" i="11" s="1"/>
  <c r="H196" i="11"/>
  <c r="I196" i="11" s="1"/>
  <c r="H137" i="11"/>
  <c r="I137" i="11" s="1"/>
  <c r="L137" i="11"/>
  <c r="M137" i="11" s="1"/>
  <c r="L138" i="11"/>
  <c r="M138" i="11" s="1"/>
  <c r="H138" i="11"/>
  <c r="I138" i="11" s="1"/>
  <c r="L104" i="11"/>
  <c r="M104" i="11" s="1"/>
  <c r="H104" i="11"/>
  <c r="I104" i="11" s="1"/>
  <c r="H79" i="11"/>
  <c r="I79" i="11" s="1"/>
  <c r="L79" i="11"/>
  <c r="M79" i="11" s="1"/>
  <c r="L206" i="11"/>
  <c r="M206" i="11" s="1"/>
  <c r="H206" i="11"/>
  <c r="I206" i="11" s="1"/>
  <c r="H108" i="11"/>
  <c r="I108" i="11" s="1"/>
  <c r="L108" i="11"/>
  <c r="M108" i="11" s="1"/>
  <c r="L124" i="11"/>
  <c r="M124" i="11" s="1"/>
  <c r="H124" i="11"/>
  <c r="I124" i="11" s="1"/>
  <c r="H139" i="11"/>
  <c r="I139" i="11" s="1"/>
  <c r="L139" i="11"/>
  <c r="M139" i="11" s="1"/>
  <c r="H225" i="11"/>
  <c r="I225" i="11" s="1"/>
  <c r="L225" i="11"/>
  <c r="M225" i="11" s="1"/>
  <c r="L219" i="11"/>
  <c r="M219" i="11" s="1"/>
  <c r="H219" i="11"/>
  <c r="I219" i="11" s="1"/>
  <c r="L116" i="11"/>
  <c r="M116" i="11" s="1"/>
  <c r="H116" i="11"/>
  <c r="I116" i="11" s="1"/>
  <c r="L83" i="11"/>
  <c r="M83" i="11" s="1"/>
  <c r="H83" i="11"/>
  <c r="I83" i="11" s="1"/>
  <c r="L149" i="11"/>
  <c r="M149" i="11" s="1"/>
  <c r="H149" i="11"/>
  <c r="I149" i="11" s="1"/>
  <c r="L187" i="11"/>
  <c r="M187" i="11" s="1"/>
  <c r="H187" i="11"/>
  <c r="I187" i="11" s="1"/>
  <c r="L260" i="11"/>
  <c r="M260" i="11" s="1"/>
  <c r="H260" i="11"/>
  <c r="I260" i="11" s="1"/>
  <c r="L103" i="11"/>
  <c r="M103" i="11" s="1"/>
  <c r="H103" i="11"/>
  <c r="I103" i="11" s="1"/>
  <c r="H280" i="11"/>
  <c r="I280" i="11" s="1"/>
  <c r="L280" i="11"/>
  <c r="M280" i="11" s="1"/>
  <c r="L128" i="11"/>
  <c r="M128" i="11" s="1"/>
  <c r="H128" i="11"/>
  <c r="I128" i="11" s="1"/>
  <c r="L204" i="11"/>
  <c r="M204" i="11" s="1"/>
  <c r="H204" i="11"/>
  <c r="I204" i="11" s="1"/>
  <c r="H275" i="11"/>
  <c r="I275" i="11" s="1"/>
  <c r="L275" i="11"/>
  <c r="M275" i="11" s="1"/>
  <c r="L141" i="11"/>
  <c r="M141" i="11" s="1"/>
  <c r="H141" i="11"/>
  <c r="I141" i="11" s="1"/>
  <c r="L84" i="11"/>
  <c r="M84" i="11" s="1"/>
  <c r="H84" i="11"/>
  <c r="I84" i="11" s="1"/>
  <c r="L158" i="11"/>
  <c r="M158" i="11" s="1"/>
  <c r="H158" i="11"/>
  <c r="I158" i="11" s="1"/>
  <c r="L253" i="11"/>
  <c r="M253" i="11" s="1"/>
  <c r="H253" i="11"/>
  <c r="I253" i="11" s="1"/>
  <c r="L168" i="11"/>
  <c r="M168" i="11" s="1"/>
  <c r="H168" i="11"/>
  <c r="I168" i="11" s="1"/>
  <c r="L310" i="11"/>
  <c r="M310" i="11" s="1"/>
  <c r="H310" i="11"/>
  <c r="I310" i="11" s="1"/>
  <c r="L121" i="11"/>
  <c r="M121" i="11" s="1"/>
  <c r="H121" i="11"/>
  <c r="I121" i="11" s="1"/>
  <c r="L302" i="11"/>
  <c r="M302" i="11" s="1"/>
  <c r="H302" i="11"/>
  <c r="I302" i="11" s="1"/>
  <c r="E170" i="25"/>
  <c r="L157" i="11"/>
  <c r="M157" i="11" s="1"/>
  <c r="H157" i="11"/>
  <c r="I157" i="11" s="1"/>
  <c r="L189" i="11"/>
  <c r="M189" i="11" s="1"/>
  <c r="H189" i="11"/>
  <c r="I189" i="11" s="1"/>
  <c r="L194" i="11"/>
  <c r="M194" i="11" s="1"/>
  <c r="H194" i="11"/>
  <c r="I194" i="11" s="1"/>
  <c r="L247" i="11"/>
  <c r="M247" i="11" s="1"/>
  <c r="H247" i="11"/>
  <c r="I247" i="11" s="1"/>
  <c r="L100" i="11"/>
  <c r="M100" i="11" s="1"/>
  <c r="H100" i="11"/>
  <c r="I100" i="11" s="1"/>
  <c r="L144" i="11"/>
  <c r="M144" i="11" s="1"/>
  <c r="H144" i="11"/>
  <c r="I144" i="11" s="1"/>
  <c r="L273" i="11"/>
  <c r="M273" i="11" s="1"/>
  <c r="H273" i="11"/>
  <c r="I273" i="11" s="1"/>
  <c r="H246" i="11"/>
  <c r="I246" i="11" s="1"/>
  <c r="L246" i="11"/>
  <c r="M246" i="11" s="1"/>
  <c r="H93" i="11"/>
  <c r="I93" i="11" s="1"/>
  <c r="L93" i="11"/>
  <c r="M93" i="11" s="1"/>
  <c r="H216" i="11"/>
  <c r="I216" i="11" s="1"/>
  <c r="L216" i="11"/>
  <c r="M216" i="11" s="1"/>
  <c r="L127" i="11"/>
  <c r="M127" i="11" s="1"/>
  <c r="H127" i="11"/>
  <c r="I127" i="11" s="1"/>
  <c r="L234" i="11"/>
  <c r="M234" i="11" s="1"/>
  <c r="H234" i="11"/>
  <c r="I234" i="11" s="1"/>
  <c r="L212" i="11"/>
  <c r="M212" i="11" s="1"/>
  <c r="H212" i="11"/>
  <c r="I212" i="11" s="1"/>
  <c r="L218" i="11"/>
  <c r="M218" i="11" s="1"/>
  <c r="H218" i="11"/>
  <c r="I218" i="11" s="1"/>
  <c r="H95" i="11"/>
  <c r="I95" i="11" s="1"/>
  <c r="L95" i="11"/>
  <c r="M95" i="11" s="1"/>
  <c r="H119" i="11"/>
  <c r="I119" i="11" s="1"/>
  <c r="L119" i="11"/>
  <c r="M119" i="11" s="1"/>
  <c r="L94" i="11"/>
  <c r="M94" i="11" s="1"/>
  <c r="H94" i="11"/>
  <c r="I94" i="11" s="1"/>
  <c r="H155" i="11"/>
  <c r="I155" i="11" s="1"/>
  <c r="L155" i="11"/>
  <c r="M155" i="11" s="1"/>
  <c r="H198" i="11"/>
  <c r="I198" i="11" s="1"/>
  <c r="L198" i="11"/>
  <c r="M198" i="11" s="1"/>
  <c r="L306" i="11"/>
  <c r="M306" i="11" s="1"/>
  <c r="H306" i="11"/>
  <c r="I306" i="11" s="1"/>
  <c r="L165" i="11"/>
  <c r="M165" i="11" s="1"/>
  <c r="H165" i="11"/>
  <c r="I165" i="11" s="1"/>
  <c r="L242" i="11"/>
  <c r="M242" i="11" s="1"/>
  <c r="H242" i="11"/>
  <c r="I242" i="11" s="1"/>
  <c r="H150" i="11"/>
  <c r="I150" i="11" s="1"/>
  <c r="L150" i="11"/>
  <c r="M150" i="11" s="1"/>
  <c r="L156" i="11"/>
  <c r="M156" i="11" s="1"/>
  <c r="H156" i="11"/>
  <c r="I156" i="11" s="1"/>
  <c r="L307" i="11"/>
  <c r="M307" i="11" s="1"/>
  <c r="H307" i="11"/>
  <c r="I307" i="11" s="1"/>
  <c r="L258" i="11"/>
  <c r="M258" i="11" s="1"/>
  <c r="H258" i="11"/>
  <c r="I258" i="11" s="1"/>
  <c r="L97" i="11"/>
  <c r="M97" i="11" s="1"/>
  <c r="H97" i="11"/>
  <c r="I97" i="11" s="1"/>
  <c r="L178" i="11"/>
  <c r="M178" i="11" s="1"/>
  <c r="H178" i="11"/>
  <c r="I178" i="11" s="1"/>
  <c r="L238" i="11"/>
  <c r="M238" i="11" s="1"/>
  <c r="H238" i="11"/>
  <c r="I238" i="11" s="1"/>
  <c r="L257" i="11"/>
  <c r="M257" i="11" s="1"/>
  <c r="H257" i="11"/>
  <c r="I257" i="11" s="1"/>
  <c r="L90" i="11"/>
  <c r="M90" i="11" s="1"/>
  <c r="H90" i="11"/>
  <c r="I90" i="11" s="1"/>
  <c r="L112" i="11"/>
  <c r="M112" i="11" s="1"/>
  <c r="H112" i="11"/>
  <c r="I112" i="11" s="1"/>
  <c r="M8" i="42"/>
  <c r="Y8" i="42" s="1"/>
  <c r="M9" i="42"/>
  <c r="Y9" i="42" s="1"/>
  <c r="M10" i="42"/>
  <c r="Y10" i="42" s="1"/>
  <c r="M11" i="42"/>
  <c r="Y11" i="42" s="1"/>
  <c r="M12" i="42"/>
  <c r="Y12" i="42" s="1"/>
  <c r="M13" i="42"/>
  <c r="Y13" i="42" s="1"/>
  <c r="M14" i="42"/>
  <c r="Y14" i="42" s="1"/>
  <c r="M15" i="42"/>
  <c r="Y15" i="42" s="1"/>
  <c r="M16" i="42"/>
  <c r="Y16" i="42" s="1"/>
  <c r="M17" i="42"/>
  <c r="Y17" i="42" s="1"/>
  <c r="M18" i="42"/>
  <c r="Y18" i="42" s="1"/>
  <c r="M19" i="42"/>
  <c r="Y19" i="42" s="1"/>
  <c r="M20" i="42"/>
  <c r="Y20" i="42" s="1"/>
  <c r="M21" i="42"/>
  <c r="Y21" i="42" s="1"/>
  <c r="M22" i="42"/>
  <c r="Y22" i="42" s="1"/>
  <c r="M23" i="42"/>
  <c r="Y23" i="42" s="1"/>
  <c r="M24" i="42"/>
  <c r="Y24" i="42" s="1"/>
  <c r="M25" i="42"/>
  <c r="Y25" i="42" s="1"/>
  <c r="M26" i="42"/>
  <c r="Y26" i="42" s="1"/>
  <c r="M27" i="42"/>
  <c r="Y27" i="42" s="1"/>
  <c r="M28" i="42"/>
  <c r="Y28" i="42" s="1"/>
  <c r="M29" i="42"/>
  <c r="Y29" i="42" s="1"/>
  <c r="M30" i="42"/>
  <c r="Y30" i="42" s="1"/>
  <c r="M31" i="42"/>
  <c r="Y31" i="42" s="1"/>
  <c r="M32" i="42"/>
  <c r="Y32" i="42" s="1"/>
  <c r="M33" i="42"/>
  <c r="Y33" i="42" s="1"/>
  <c r="M34" i="42"/>
  <c r="Y34" i="42" s="1"/>
  <c r="M35" i="42"/>
  <c r="Y35" i="42" s="1"/>
  <c r="M36" i="42"/>
  <c r="Y36" i="42" s="1"/>
  <c r="M37" i="42"/>
  <c r="Y37" i="42" s="1"/>
  <c r="M38" i="42"/>
  <c r="Y38" i="42" s="1"/>
  <c r="M39" i="42"/>
  <c r="Y39" i="42" s="1"/>
  <c r="M40" i="42"/>
  <c r="Y40" i="42" s="1"/>
  <c r="M41" i="42"/>
  <c r="Y41" i="42" s="1"/>
  <c r="M42" i="42"/>
  <c r="Y42" i="42" s="1"/>
  <c r="M43" i="42"/>
  <c r="Y43" i="42" s="1"/>
  <c r="M44" i="42"/>
  <c r="Y44" i="42" s="1"/>
  <c r="M45" i="42"/>
  <c r="Y45" i="42" s="1"/>
  <c r="M46" i="42"/>
  <c r="Y46" i="42" s="1"/>
  <c r="M47" i="42"/>
  <c r="Y47" i="42" s="1"/>
  <c r="M48" i="42"/>
  <c r="Y48" i="42" s="1"/>
  <c r="M49" i="42"/>
  <c r="Y49" i="42" s="1"/>
  <c r="M50" i="42"/>
  <c r="Y50" i="42" s="1"/>
  <c r="M51" i="42"/>
  <c r="Y51" i="42" s="1"/>
  <c r="M52" i="42"/>
  <c r="Y52" i="42" s="1"/>
  <c r="M53" i="42"/>
  <c r="Y53" i="42" s="1"/>
  <c r="M54" i="42"/>
  <c r="Y54" i="42" s="1"/>
  <c r="M55" i="42"/>
  <c r="Y55" i="42" s="1"/>
  <c r="M56" i="42"/>
  <c r="Y56" i="42" s="1"/>
  <c r="M57" i="42"/>
  <c r="Y57" i="42" s="1"/>
  <c r="M58" i="42"/>
  <c r="Y58" i="42" s="1"/>
  <c r="M59" i="42"/>
  <c r="Y59" i="42" s="1"/>
  <c r="M60" i="42"/>
  <c r="Y60" i="42" s="1"/>
  <c r="M61" i="42"/>
  <c r="Y61" i="42" s="1"/>
  <c r="M62" i="42"/>
  <c r="Y62" i="42" s="1"/>
  <c r="M63" i="42"/>
  <c r="Y63" i="42" s="1"/>
  <c r="M64" i="42"/>
  <c r="Y64" i="42" s="1"/>
  <c r="M65" i="42"/>
  <c r="Y65" i="42" s="1"/>
  <c r="M66" i="42"/>
  <c r="Y66" i="42" s="1"/>
  <c r="M67" i="42"/>
  <c r="Y67" i="42" s="1"/>
  <c r="M69" i="42"/>
  <c r="Y69" i="42" s="1"/>
  <c r="M70" i="42"/>
  <c r="Y70" i="42" s="1"/>
  <c r="M71" i="42"/>
  <c r="Y71" i="42" s="1"/>
  <c r="M72" i="42"/>
  <c r="Y72" i="42" s="1"/>
  <c r="M73" i="42"/>
  <c r="Y73" i="42" s="1"/>
  <c r="M74" i="42"/>
  <c r="Y74" i="42" s="1"/>
  <c r="M75" i="42"/>
  <c r="Y75" i="42" s="1"/>
  <c r="M76" i="42"/>
  <c r="Y76" i="42" s="1"/>
  <c r="M77" i="42"/>
  <c r="Y77" i="42" s="1"/>
  <c r="M78" i="42"/>
  <c r="Y78" i="42" s="1"/>
  <c r="M79" i="42"/>
  <c r="Y79" i="42" s="1"/>
  <c r="M80" i="42"/>
  <c r="Y80" i="42" s="1"/>
  <c r="M81" i="42"/>
  <c r="Y81" i="42" s="1"/>
  <c r="M82" i="42"/>
  <c r="Y82" i="42" s="1"/>
  <c r="M83" i="42"/>
  <c r="Y83" i="42" s="1"/>
  <c r="M84" i="42"/>
  <c r="Y84" i="42" s="1"/>
  <c r="M85" i="42"/>
  <c r="Y85" i="42" s="1"/>
  <c r="M86" i="42"/>
  <c r="Y86" i="42" s="1"/>
  <c r="M87" i="42"/>
  <c r="Y87" i="42" s="1"/>
  <c r="M88" i="42"/>
  <c r="Y88" i="42" s="1"/>
  <c r="M89" i="42"/>
  <c r="Y89" i="42" s="1"/>
  <c r="M90" i="42"/>
  <c r="Y90" i="42" s="1"/>
  <c r="M91" i="42"/>
  <c r="Y91" i="42" s="1"/>
  <c r="M92" i="42"/>
  <c r="Y92" i="42" s="1"/>
  <c r="M93" i="42"/>
  <c r="Y93" i="42" s="1"/>
  <c r="M94" i="42"/>
  <c r="Y94" i="42" s="1"/>
  <c r="M95" i="42"/>
  <c r="Y95" i="42" s="1"/>
  <c r="M96" i="42"/>
  <c r="Y96" i="42" s="1"/>
  <c r="M97" i="42"/>
  <c r="Y97" i="42" s="1"/>
  <c r="M98" i="42"/>
  <c r="Y98" i="42" s="1"/>
  <c r="M99" i="42"/>
  <c r="Y99" i="42" s="1"/>
  <c r="M100" i="42"/>
  <c r="Y100" i="42" s="1"/>
  <c r="M101" i="42"/>
  <c r="Y101" i="42" s="1"/>
  <c r="M102" i="42"/>
  <c r="Y102" i="42" s="1"/>
  <c r="M103" i="42"/>
  <c r="Y103" i="42" s="1"/>
  <c r="M104" i="42"/>
  <c r="Y104" i="42" s="1"/>
  <c r="M105" i="42"/>
  <c r="Y105" i="42" s="1"/>
  <c r="M106" i="42"/>
  <c r="Y106" i="42" s="1"/>
  <c r="M107" i="42"/>
  <c r="Y107" i="42" s="1"/>
  <c r="M108" i="42"/>
  <c r="Y108" i="42" s="1"/>
  <c r="M109" i="42"/>
  <c r="Y109" i="42" s="1"/>
  <c r="M110" i="42"/>
  <c r="Y110" i="42" s="1"/>
  <c r="M111" i="42"/>
  <c r="Y111" i="42" s="1"/>
  <c r="M112" i="42"/>
  <c r="Y112" i="42" s="1"/>
  <c r="M113" i="42"/>
  <c r="Y113" i="42" s="1"/>
  <c r="M114" i="42"/>
  <c r="Y114" i="42" s="1"/>
  <c r="M115" i="42"/>
  <c r="Y115" i="42" s="1"/>
  <c r="M116" i="42"/>
  <c r="Y116" i="42" s="1"/>
  <c r="M117" i="42"/>
  <c r="Y117" i="42" s="1"/>
  <c r="M118" i="42"/>
  <c r="Y118" i="42" s="1"/>
  <c r="M119" i="42"/>
  <c r="Y119" i="42" s="1"/>
  <c r="M120" i="42"/>
  <c r="Y120" i="42" s="1"/>
  <c r="M121" i="42"/>
  <c r="Y121" i="42" s="1"/>
  <c r="M122" i="42"/>
  <c r="Y122" i="42" s="1"/>
  <c r="M123" i="42"/>
  <c r="Y123" i="42" s="1"/>
  <c r="M124" i="42"/>
  <c r="Y124" i="42" s="1"/>
  <c r="M125" i="42"/>
  <c r="Y125" i="42" s="1"/>
  <c r="M126" i="42"/>
  <c r="Y126" i="42" s="1"/>
  <c r="M127" i="42"/>
  <c r="Y127" i="42" s="1"/>
  <c r="M128" i="42"/>
  <c r="Y128" i="42" s="1"/>
  <c r="M129" i="42"/>
  <c r="Y129" i="42" s="1"/>
  <c r="M130" i="42"/>
  <c r="Y130" i="42" s="1"/>
  <c r="M131" i="42"/>
  <c r="Y131" i="42" s="1"/>
  <c r="M132" i="42"/>
  <c r="Y132" i="42" s="1"/>
  <c r="M133" i="42"/>
  <c r="Y133" i="42" s="1"/>
  <c r="M134" i="42"/>
  <c r="Y134" i="42" s="1"/>
  <c r="M135" i="42"/>
  <c r="Y135" i="42" s="1"/>
  <c r="M137" i="42"/>
  <c r="Y137" i="42" s="1"/>
  <c r="M138" i="42"/>
  <c r="Y138" i="42" s="1"/>
  <c r="M139" i="42"/>
  <c r="Y139" i="42" s="1"/>
  <c r="M140" i="42"/>
  <c r="Y140" i="42" s="1"/>
  <c r="M141" i="42"/>
  <c r="Y141" i="42" s="1"/>
  <c r="M142" i="42"/>
  <c r="Y142" i="42" s="1"/>
  <c r="M143" i="42"/>
  <c r="Y143" i="42" s="1"/>
  <c r="M144" i="42"/>
  <c r="Y144" i="42" s="1"/>
  <c r="M145" i="42"/>
  <c r="Y145" i="42" s="1"/>
  <c r="M146" i="42"/>
  <c r="Y146" i="42" s="1"/>
  <c r="M147" i="42"/>
  <c r="Y147" i="42" s="1"/>
  <c r="M148" i="42"/>
  <c r="Y148" i="42" s="1"/>
  <c r="M149" i="42"/>
  <c r="Y149" i="42" s="1"/>
  <c r="M150" i="42"/>
  <c r="Y150" i="42" s="1"/>
  <c r="M151" i="42"/>
  <c r="Y151" i="42" s="1"/>
  <c r="M152" i="42"/>
  <c r="Y152" i="42" s="1"/>
  <c r="M153" i="42"/>
  <c r="Y153" i="42" s="1"/>
  <c r="M154" i="42"/>
  <c r="Y154" i="42" s="1"/>
  <c r="M155" i="42"/>
  <c r="Y155" i="42" s="1"/>
  <c r="M156" i="42"/>
  <c r="Y156" i="42" s="1"/>
  <c r="M157" i="42"/>
  <c r="Y157" i="42" s="1"/>
  <c r="M158" i="42"/>
  <c r="Y158" i="42" s="1"/>
  <c r="M159" i="42"/>
  <c r="Y159" i="42" s="1"/>
  <c r="M160" i="42"/>
  <c r="Y160" i="42" s="1"/>
  <c r="M161" i="42"/>
  <c r="Y161" i="42" s="1"/>
  <c r="M162" i="42"/>
  <c r="Y162" i="42" s="1"/>
  <c r="M163" i="42"/>
  <c r="Y163" i="42" s="1"/>
  <c r="M164" i="42"/>
  <c r="Y164" i="42" s="1"/>
  <c r="M165" i="42"/>
  <c r="Y165" i="42" s="1"/>
  <c r="M166" i="42"/>
  <c r="Y166" i="42" s="1"/>
  <c r="M167" i="42"/>
  <c r="Y167" i="42" s="1"/>
  <c r="M168" i="42"/>
  <c r="Y168" i="42" s="1"/>
  <c r="M169" i="42"/>
  <c r="Y169" i="42" s="1"/>
  <c r="M172" i="42"/>
  <c r="Y172" i="42" s="1"/>
  <c r="M173" i="42"/>
  <c r="Y173" i="42" s="1"/>
  <c r="M174" i="42"/>
  <c r="Y174" i="42" s="1"/>
  <c r="M175" i="42"/>
  <c r="Y175" i="42" s="1"/>
  <c r="M176" i="42"/>
  <c r="Y176" i="42" s="1"/>
  <c r="M177" i="42"/>
  <c r="Y177" i="42" s="1"/>
  <c r="M178" i="42"/>
  <c r="Y178" i="42" s="1"/>
  <c r="M179" i="42"/>
  <c r="Y179" i="42" s="1"/>
  <c r="M180" i="42"/>
  <c r="Y180" i="42" s="1"/>
  <c r="M181" i="42"/>
  <c r="Y181" i="42" s="1"/>
  <c r="M182" i="42"/>
  <c r="Y182" i="42" s="1"/>
  <c r="M183" i="42"/>
  <c r="Y183" i="42" s="1"/>
  <c r="M184" i="42"/>
  <c r="Y184" i="42" s="1"/>
  <c r="M185" i="42"/>
  <c r="Y185" i="42" s="1"/>
  <c r="M186" i="42"/>
  <c r="Y186" i="42" s="1"/>
  <c r="M187" i="42"/>
  <c r="Y187" i="42" s="1"/>
  <c r="M188" i="42"/>
  <c r="Y188" i="42" s="1"/>
  <c r="M189" i="42"/>
  <c r="Y189" i="42" s="1"/>
  <c r="M190" i="42"/>
  <c r="Y190" i="42" s="1"/>
  <c r="M191" i="42"/>
  <c r="Y191" i="42" s="1"/>
  <c r="M192" i="42"/>
  <c r="Y192" i="42" s="1"/>
  <c r="M193" i="42"/>
  <c r="Y193" i="42" s="1"/>
  <c r="M194" i="42"/>
  <c r="Y194" i="42" s="1"/>
  <c r="M195" i="42"/>
  <c r="Y195" i="42" s="1"/>
  <c r="M196" i="42"/>
  <c r="Y196" i="42" s="1"/>
  <c r="M197" i="42"/>
  <c r="Y197" i="42" s="1"/>
  <c r="M198" i="42"/>
  <c r="Y198" i="42" s="1"/>
  <c r="M199" i="42"/>
  <c r="Y199" i="42" s="1"/>
  <c r="M200" i="42"/>
  <c r="Y200" i="42" s="1"/>
  <c r="M201" i="42"/>
  <c r="Y201" i="42" s="1"/>
  <c r="M202" i="42"/>
  <c r="Y202" i="42" s="1"/>
  <c r="M203" i="42"/>
  <c r="Y203" i="42" s="1"/>
  <c r="M204" i="42"/>
  <c r="Y204" i="42" s="1"/>
  <c r="M205" i="42"/>
  <c r="Y205" i="42" s="1"/>
  <c r="M206" i="42"/>
  <c r="Y206" i="42" s="1"/>
  <c r="M207" i="42"/>
  <c r="Y207" i="42" s="1"/>
  <c r="M208" i="42"/>
  <c r="Y208" i="42" s="1"/>
  <c r="M209" i="42"/>
  <c r="Y209" i="42" s="1"/>
  <c r="M210" i="42"/>
  <c r="Y210" i="42" s="1"/>
  <c r="M211" i="42"/>
  <c r="Y211" i="42" s="1"/>
  <c r="M212" i="42"/>
  <c r="Y212" i="42" s="1"/>
  <c r="M213" i="42"/>
  <c r="Y213" i="42" s="1"/>
  <c r="M214" i="42"/>
  <c r="Y214" i="42" s="1"/>
  <c r="M215" i="42"/>
  <c r="Y215" i="42" s="1"/>
  <c r="M216" i="42"/>
  <c r="Y216" i="42" s="1"/>
  <c r="M217" i="42"/>
  <c r="Y217" i="42" s="1"/>
  <c r="M218" i="42"/>
  <c r="Y218" i="42" s="1"/>
  <c r="M219" i="42"/>
  <c r="Y219" i="42" s="1"/>
  <c r="M221" i="42"/>
  <c r="Y221" i="42" s="1"/>
  <c r="M222" i="42"/>
  <c r="Y222" i="42" s="1"/>
  <c r="M223" i="42"/>
  <c r="Y223" i="42" s="1"/>
  <c r="M224" i="42"/>
  <c r="Y224" i="42" s="1"/>
  <c r="M225" i="42"/>
  <c r="Y225" i="42" s="1"/>
  <c r="M226" i="42"/>
  <c r="Y226" i="42" s="1"/>
  <c r="M227" i="42"/>
  <c r="Y227" i="42" s="1"/>
  <c r="M228" i="42"/>
  <c r="Y228" i="42" s="1"/>
  <c r="M229" i="42"/>
  <c r="Y229" i="42" s="1"/>
  <c r="M230" i="42"/>
  <c r="Y230" i="42" s="1"/>
  <c r="M231" i="42"/>
  <c r="Y231" i="42" s="1"/>
  <c r="M232" i="42"/>
  <c r="Y232" i="42" s="1"/>
  <c r="M233" i="42"/>
  <c r="Y233" i="42" s="1"/>
  <c r="M234" i="42"/>
  <c r="Y234" i="42" s="1"/>
  <c r="M235" i="42"/>
  <c r="Y235" i="42" s="1"/>
  <c r="M236" i="42"/>
  <c r="Y236" i="42" s="1"/>
  <c r="M237" i="42"/>
  <c r="Y237" i="42" s="1"/>
  <c r="M238" i="42"/>
  <c r="Y238" i="42" s="1"/>
  <c r="M240" i="42"/>
  <c r="Y240" i="42" s="1"/>
  <c r="M241" i="42"/>
  <c r="Y241" i="42" s="1"/>
  <c r="M242" i="42"/>
  <c r="Y242" i="42" s="1"/>
  <c r="M243" i="42"/>
  <c r="Y243" i="42" s="1"/>
  <c r="M244" i="42"/>
  <c r="Y244" i="42" s="1"/>
  <c r="M247" i="42"/>
  <c r="Y247" i="42" s="1"/>
  <c r="M248" i="42"/>
  <c r="Y248" i="42" s="1"/>
  <c r="M249" i="42"/>
  <c r="Y249" i="42" s="1"/>
  <c r="M250" i="42"/>
  <c r="Y250" i="42" s="1"/>
  <c r="M251" i="42"/>
  <c r="Y251" i="42" s="1"/>
  <c r="M252" i="42"/>
  <c r="Y252" i="42" s="1"/>
  <c r="M253" i="42"/>
  <c r="Y253" i="42" s="1"/>
  <c r="M254" i="42"/>
  <c r="Y254" i="42" s="1"/>
  <c r="M255" i="42"/>
  <c r="Y255" i="42" s="1"/>
  <c r="M256" i="42"/>
  <c r="Y256" i="42" s="1"/>
  <c r="M257" i="42"/>
  <c r="Y257" i="42" s="1"/>
  <c r="M258" i="42"/>
  <c r="Y258" i="42" s="1"/>
  <c r="M259" i="42"/>
  <c r="Y259" i="42" s="1"/>
  <c r="M260" i="42"/>
  <c r="Y260" i="42" s="1"/>
  <c r="M261" i="42"/>
  <c r="Y261" i="42" s="1"/>
  <c r="M263" i="42"/>
  <c r="Y263" i="42" s="1"/>
  <c r="M264" i="42"/>
  <c r="Y264" i="42" s="1"/>
  <c r="M265" i="42"/>
  <c r="Y265" i="42" s="1"/>
  <c r="M266" i="42"/>
  <c r="Y266" i="42" s="1"/>
  <c r="M267" i="42"/>
  <c r="Y267" i="42" s="1"/>
  <c r="M268" i="42"/>
  <c r="Y268" i="42" s="1"/>
  <c r="M269" i="42"/>
  <c r="Y269" i="42" s="1"/>
  <c r="M270" i="42"/>
  <c r="Y270" i="42" s="1"/>
  <c r="M271" i="42"/>
  <c r="Y271" i="42" s="1"/>
  <c r="M272" i="42"/>
  <c r="Y272" i="42" s="1"/>
  <c r="M273" i="42"/>
  <c r="Y273" i="42" s="1"/>
  <c r="M275" i="42"/>
  <c r="Y275" i="42" s="1"/>
  <c r="M276" i="42"/>
  <c r="Y276" i="42" s="1"/>
  <c r="M277" i="42"/>
  <c r="Y277" i="42" s="1"/>
  <c r="M278" i="42"/>
  <c r="Y278" i="42" s="1"/>
  <c r="M279" i="42"/>
  <c r="Y279" i="42" s="1"/>
  <c r="M280" i="42"/>
  <c r="Y280" i="42" s="1"/>
  <c r="M281" i="42"/>
  <c r="Y281" i="42" s="1"/>
  <c r="Y282" i="42"/>
  <c r="M283" i="42"/>
  <c r="Y283" i="42" s="1"/>
  <c r="M284" i="42"/>
  <c r="Y284" i="42" s="1"/>
  <c r="M285" i="42"/>
  <c r="Y285" i="42" s="1"/>
  <c r="M286" i="42"/>
  <c r="Y286" i="42" s="1"/>
  <c r="M287" i="42"/>
  <c r="Y287" i="42" s="1"/>
  <c r="M288" i="42"/>
  <c r="Y288" i="42" s="1"/>
  <c r="M289" i="42"/>
  <c r="Y289" i="42" s="1"/>
  <c r="M290" i="42"/>
  <c r="Y290" i="42" s="1"/>
  <c r="M291" i="42"/>
  <c r="Y291" i="42" s="1"/>
  <c r="M292" i="42"/>
  <c r="Y292" i="42" s="1"/>
  <c r="M293" i="42"/>
  <c r="Y293" i="42" s="1"/>
  <c r="M294" i="42"/>
  <c r="Y294" i="42" s="1"/>
  <c r="M295" i="42"/>
  <c r="Y295" i="42" s="1"/>
  <c r="M296" i="42"/>
  <c r="Y296" i="42" s="1"/>
  <c r="M297" i="42"/>
  <c r="Y297" i="42" s="1"/>
  <c r="M298" i="42"/>
  <c r="Y298" i="42" s="1"/>
  <c r="M299" i="42"/>
  <c r="Y299" i="42" s="1"/>
  <c r="M300" i="42"/>
  <c r="Y300" i="42" s="1"/>
  <c r="M301" i="42"/>
  <c r="Y301" i="42" s="1"/>
  <c r="M302" i="42"/>
  <c r="Y302" i="42" s="1"/>
  <c r="M303" i="42"/>
  <c r="Y303" i="42" s="1"/>
  <c r="M304" i="42"/>
  <c r="Y304" i="42" s="1"/>
  <c r="M305" i="42"/>
  <c r="Y305" i="42" s="1"/>
  <c r="M306" i="42"/>
  <c r="Y306" i="42" s="1"/>
  <c r="M307" i="42"/>
  <c r="Y307" i="42" s="1"/>
  <c r="M308" i="42"/>
  <c r="Y308" i="42" s="1"/>
  <c r="M309" i="42"/>
  <c r="Y309" i="42" s="1"/>
  <c r="M310" i="42"/>
  <c r="Y310" i="42" s="1"/>
  <c r="M311" i="42"/>
  <c r="Y311" i="42" s="1"/>
  <c r="M312" i="42"/>
  <c r="Y312" i="42" s="1"/>
  <c r="M313" i="42"/>
  <c r="Y313" i="42" s="1"/>
  <c r="M314" i="42"/>
  <c r="Y314" i="42" s="1"/>
  <c r="M315" i="42"/>
  <c r="Y315" i="42" s="1"/>
  <c r="L169" i="11" l="1"/>
  <c r="M169" i="11" s="1"/>
  <c r="H169" i="11"/>
  <c r="I169" i="11" s="1"/>
  <c r="L243" i="11"/>
  <c r="M243" i="11" s="1"/>
  <c r="H243" i="11"/>
  <c r="I243" i="11" s="1"/>
  <c r="M136" i="42"/>
  <c r="Y136" i="42" s="1"/>
  <c r="B6" i="48" l="1"/>
  <c r="B29" i="40" l="1"/>
  <c r="M7" i="42" l="1"/>
  <c r="Y7" i="42" s="1"/>
  <c r="M262" i="42" l="1"/>
  <c r="Y262" i="42" s="1"/>
  <c r="M68" i="42" l="1"/>
  <c r="Y68" i="42" s="1"/>
  <c r="M274" i="42" l="1"/>
  <c r="Y274" i="42" s="1"/>
  <c r="I5" i="13" l="1"/>
  <c r="Q7" i="19" l="1"/>
  <c r="AA6" i="19"/>
  <c r="S6" i="19"/>
  <c r="B61" i="40" l="1"/>
  <c r="K6" i="49" l="1"/>
  <c r="I5" i="49"/>
  <c r="A2" i="49"/>
  <c r="C315"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B243" i="49"/>
  <c r="B245" i="49"/>
  <c r="B246"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B6" i="49"/>
  <c r="A6" i="49"/>
  <c r="I26" i="49" l="1"/>
  <c r="I34" i="49"/>
  <c r="I38" i="49"/>
  <c r="I42" i="49"/>
  <c r="I46" i="49"/>
  <c r="I113" i="49"/>
  <c r="I121" i="49"/>
  <c r="I122" i="49"/>
  <c r="I123" i="49"/>
  <c r="I134" i="49"/>
  <c r="I135" i="49"/>
  <c r="I136" i="49"/>
  <c r="I141" i="49"/>
  <c r="I146" i="49"/>
  <c r="I153" i="49"/>
  <c r="I161" i="49"/>
  <c r="I165" i="49"/>
  <c r="I169" i="49"/>
  <c r="I173" i="49"/>
  <c r="I177" i="49"/>
  <c r="I181" i="49"/>
  <c r="I185" i="49"/>
  <c r="I189" i="49"/>
  <c r="I194" i="49"/>
  <c r="I198" i="49"/>
  <c r="I202" i="49"/>
  <c r="I203" i="49"/>
  <c r="I204" i="49"/>
  <c r="I208" i="49"/>
  <c r="I230" i="49"/>
  <c r="I234" i="49"/>
  <c r="I238" i="49"/>
  <c r="I254" i="49"/>
  <c r="I258" i="49"/>
  <c r="I7" i="49"/>
  <c r="I8" i="49"/>
  <c r="I12" i="49"/>
  <c r="I17" i="49"/>
  <c r="I21" i="49"/>
  <c r="I25" i="49"/>
  <c r="I29" i="49"/>
  <c r="I33" i="49"/>
  <c r="I37" i="49"/>
  <c r="I41" i="49"/>
  <c r="I45" i="49"/>
  <c r="I49" i="49"/>
  <c r="I91" i="49"/>
  <c r="I95" i="49"/>
  <c r="I99" i="49"/>
  <c r="I103" i="49"/>
  <c r="I107" i="49"/>
  <c r="I111" i="49"/>
  <c r="I117" i="49"/>
  <c r="I118" i="49"/>
  <c r="I140" i="49"/>
  <c r="I144" i="49"/>
  <c r="I145" i="49"/>
  <c r="I149" i="49"/>
  <c r="I150" i="49"/>
  <c r="I151" i="49"/>
  <c r="I152" i="49"/>
  <c r="I160" i="49"/>
  <c r="I164" i="49"/>
  <c r="I168" i="49"/>
  <c r="I172" i="49"/>
  <c r="I176" i="49"/>
  <c r="I193" i="49"/>
  <c r="I197" i="49"/>
  <c r="I201" i="49"/>
  <c r="I207" i="49"/>
  <c r="I211" i="49"/>
  <c r="I215" i="49"/>
  <c r="I219" i="49"/>
  <c r="I223" i="49"/>
  <c r="I229" i="49"/>
  <c r="I237" i="49"/>
  <c r="I241" i="49"/>
  <c r="I245" i="49"/>
  <c r="I249" i="49"/>
  <c r="I11" i="49"/>
  <c r="I16" i="49"/>
  <c r="I131" i="49"/>
  <c r="I132" i="49"/>
  <c r="I236" i="49"/>
  <c r="I31" i="49"/>
  <c r="I89" i="49"/>
  <c r="I93" i="49"/>
  <c r="I105" i="49"/>
  <c r="I109" i="49"/>
  <c r="I114" i="49"/>
  <c r="I115" i="49"/>
  <c r="I235" i="49"/>
  <c r="I239" i="49"/>
  <c r="I243" i="49"/>
  <c r="I255" i="49"/>
  <c r="I225" i="49"/>
  <c r="I179" i="49"/>
  <c r="I163" i="49"/>
  <c r="I139" i="49"/>
  <c r="I10" i="49"/>
  <c r="I246" i="49"/>
  <c r="I232" i="49"/>
  <c r="I217" i="49"/>
  <c r="I200" i="49"/>
  <c r="I148" i="49"/>
  <c r="I116" i="49"/>
  <c r="I43" i="49"/>
  <c r="I23" i="49"/>
  <c r="I190" i="49"/>
  <c r="I182" i="49"/>
  <c r="I170" i="49"/>
  <c r="I142" i="49"/>
  <c r="I13" i="49"/>
  <c r="I251" i="49"/>
  <c r="I227" i="49"/>
  <c r="I218" i="49"/>
  <c r="I210" i="49"/>
  <c r="I158" i="49"/>
  <c r="I130" i="49"/>
  <c r="I110" i="49"/>
  <c r="I102" i="49"/>
  <c r="I94" i="49"/>
  <c r="I48" i="49"/>
  <c r="I32" i="49"/>
  <c r="I22" i="49"/>
  <c r="I307" i="49"/>
  <c r="I288" i="49"/>
  <c r="I84" i="49"/>
  <c r="I76" i="49"/>
  <c r="I68" i="49"/>
  <c r="I60" i="49"/>
  <c r="I52" i="49"/>
  <c r="I308" i="49"/>
  <c r="I295" i="49"/>
  <c r="I279" i="49"/>
  <c r="I269" i="49"/>
  <c r="I261" i="49"/>
  <c r="I289" i="49"/>
  <c r="I87" i="49"/>
  <c r="I79" i="49"/>
  <c r="I71" i="49"/>
  <c r="I63" i="49"/>
  <c r="I55" i="49"/>
  <c r="I311" i="49"/>
  <c r="I301" i="49"/>
  <c r="I292" i="49"/>
  <c r="I277" i="49"/>
  <c r="I268" i="49"/>
  <c r="I260" i="49"/>
  <c r="I191" i="49"/>
  <c r="I175" i="49"/>
  <c r="I159" i="49"/>
  <c r="I127" i="49"/>
  <c r="I252" i="49"/>
  <c r="I244" i="49"/>
  <c r="I228" i="49"/>
  <c r="I213" i="49"/>
  <c r="I196" i="49"/>
  <c r="I137" i="49"/>
  <c r="I101" i="49"/>
  <c r="I39" i="49"/>
  <c r="I19" i="49"/>
  <c r="I188" i="49"/>
  <c r="I180" i="49"/>
  <c r="I166" i="49"/>
  <c r="I138" i="49"/>
  <c r="I9" i="49"/>
  <c r="I247" i="49"/>
  <c r="I224" i="49"/>
  <c r="I216" i="49"/>
  <c r="I206" i="49"/>
  <c r="I155" i="49"/>
  <c r="I126" i="49"/>
  <c r="I108" i="49"/>
  <c r="I100" i="49"/>
  <c r="I92" i="49"/>
  <c r="I44" i="49"/>
  <c r="I30" i="49"/>
  <c r="I20" i="49"/>
  <c r="I304" i="49"/>
  <c r="I282" i="49"/>
  <c r="I82" i="49"/>
  <c r="I74" i="49"/>
  <c r="I66" i="49"/>
  <c r="I58" i="49"/>
  <c r="I50" i="49"/>
  <c r="I302" i="49"/>
  <c r="I293" i="49"/>
  <c r="I275" i="49"/>
  <c r="I267" i="49"/>
  <c r="I259" i="49"/>
  <c r="I284" i="49"/>
  <c r="I85" i="49"/>
  <c r="I77" i="49"/>
  <c r="I69" i="49"/>
  <c r="I61" i="49"/>
  <c r="I53" i="49"/>
  <c r="I309" i="49"/>
  <c r="I299" i="49"/>
  <c r="I287" i="49"/>
  <c r="I274" i="49"/>
  <c r="I266" i="49"/>
  <c r="I187" i="49"/>
  <c r="I171" i="49"/>
  <c r="I156" i="49"/>
  <c r="I124" i="49"/>
  <c r="I250" i="49"/>
  <c r="I242" i="49"/>
  <c r="I226" i="49"/>
  <c r="I209" i="49"/>
  <c r="I192" i="49"/>
  <c r="I128" i="49"/>
  <c r="I97" i="49"/>
  <c r="I35" i="49"/>
  <c r="I15" i="49"/>
  <c r="I186" i="49"/>
  <c r="I178" i="49"/>
  <c r="I162" i="49"/>
  <c r="I129" i="49"/>
  <c r="I257" i="49"/>
  <c r="I233" i="49"/>
  <c r="I222" i="49"/>
  <c r="I214" i="49"/>
  <c r="I199" i="49"/>
  <c r="I147" i="49"/>
  <c r="I120" i="49"/>
  <c r="I106" i="49"/>
  <c r="I98" i="49"/>
  <c r="I90" i="49"/>
  <c r="I40" i="49"/>
  <c r="I28" i="49"/>
  <c r="I18" i="49"/>
  <c r="I297" i="49"/>
  <c r="I278" i="49"/>
  <c r="I80" i="49"/>
  <c r="I72" i="49"/>
  <c r="I64" i="49"/>
  <c r="I56" i="49"/>
  <c r="I312" i="49"/>
  <c r="I300" i="49"/>
  <c r="I286" i="49"/>
  <c r="I273" i="49"/>
  <c r="I265" i="49"/>
  <c r="I305" i="49"/>
  <c r="I280" i="49"/>
  <c r="I83" i="49"/>
  <c r="I75" i="49"/>
  <c r="I67" i="49"/>
  <c r="I59" i="49"/>
  <c r="I51" i="49"/>
  <c r="I306" i="49"/>
  <c r="I296" i="49"/>
  <c r="I285" i="49"/>
  <c r="I272" i="49"/>
  <c r="I264" i="49"/>
  <c r="I183" i="49"/>
  <c r="I167" i="49"/>
  <c r="I143" i="49"/>
  <c r="I14" i="49"/>
  <c r="I248" i="49"/>
  <c r="I240" i="49"/>
  <c r="I221" i="49"/>
  <c r="I205" i="49"/>
  <c r="I157" i="49"/>
  <c r="I125" i="49"/>
  <c r="I47" i="49"/>
  <c r="I27" i="49"/>
  <c r="I256" i="49"/>
  <c r="I184" i="49"/>
  <c r="I174" i="49"/>
  <c r="I154" i="49"/>
  <c r="I119" i="49"/>
  <c r="I253" i="49"/>
  <c r="I231" i="49"/>
  <c r="I220" i="49"/>
  <c r="I212" i="49"/>
  <c r="I195" i="49"/>
  <c r="I133" i="49"/>
  <c r="I112" i="49"/>
  <c r="I104" i="49"/>
  <c r="I96" i="49"/>
  <c r="I88" i="49"/>
  <c r="I36" i="49"/>
  <c r="I24" i="49"/>
  <c r="I314" i="49"/>
  <c r="I290" i="49"/>
  <c r="I86" i="49"/>
  <c r="I78" i="49"/>
  <c r="I70" i="49"/>
  <c r="I62" i="49"/>
  <c r="I54" i="49"/>
  <c r="I310" i="49"/>
  <c r="I298" i="49"/>
  <c r="I283" i="49"/>
  <c r="I271" i="49"/>
  <c r="I263" i="49"/>
  <c r="I291" i="49"/>
  <c r="I276" i="49"/>
  <c r="I81" i="49"/>
  <c r="I73" i="49"/>
  <c r="I65" i="49"/>
  <c r="I57" i="49"/>
  <c r="I313" i="49"/>
  <c r="I303" i="49"/>
  <c r="I294" i="49"/>
  <c r="I281" i="49"/>
  <c r="I270" i="49"/>
  <c r="I262" i="49"/>
  <c r="B315" i="49"/>
  <c r="B7" i="48"/>
  <c r="B8" i="48" l="1"/>
  <c r="B9" i="48"/>
  <c r="F8" i="48"/>
  <c r="C8" i="34"/>
  <c r="U6" i="19" l="1"/>
  <c r="C29" i="40" l="1"/>
  <c r="A2" i="25"/>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6" i="13"/>
  <c r="A6" i="13"/>
  <c r="B5" i="39"/>
  <c r="A5" i="39"/>
  <c r="B5" i="12"/>
  <c r="A5" i="12"/>
  <c r="K314" i="11"/>
  <c r="F314" i="11"/>
  <c r="E314" i="11"/>
  <c r="D314" i="11"/>
  <c r="D16" i="34"/>
  <c r="B16" i="34"/>
  <c r="A16" i="34"/>
  <c r="C5" i="37"/>
  <c r="B5" i="37"/>
  <c r="A5" i="37"/>
  <c r="C8" i="36"/>
  <c r="B8" i="36"/>
  <c r="A8" i="36"/>
  <c r="C11" i="9"/>
  <c r="C320" i="9" s="1"/>
  <c r="B11" i="9"/>
  <c r="A11" i="9"/>
  <c r="D325" i="34" l="1"/>
  <c r="B314" i="37"/>
  <c r="C314" i="37"/>
  <c r="C317" i="36"/>
  <c r="B317" i="36"/>
  <c r="B314" i="12"/>
  <c r="B314" i="39"/>
  <c r="B315" i="13"/>
  <c r="B325" i="34"/>
  <c r="B320" i="9"/>
  <c r="T183" i="13" l="1"/>
  <c r="T155" i="13"/>
  <c r="T224" i="13"/>
  <c r="T33" i="13"/>
  <c r="T97" i="13"/>
  <c r="T23"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8" i="13"/>
  <c r="T28" i="13"/>
  <c r="T30" i="13"/>
  <c r="T32"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29"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8" i="13"/>
  <c r="T12" i="13"/>
  <c r="T20" i="13"/>
  <c r="T26"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19" i="13"/>
  <c r="T17" i="13"/>
  <c r="T25"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G315" i="13"/>
  <c r="T16" i="13"/>
  <c r="T22"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9" i="13"/>
  <c r="T13" i="13"/>
  <c r="T21" i="13"/>
  <c r="T65" i="13"/>
  <c r="T69" i="13"/>
  <c r="T77" i="13"/>
  <c r="T11" i="13"/>
  <c r="T15" i="13"/>
  <c r="T27" i="13"/>
  <c r="T31"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T10" i="13"/>
  <c r="T14" i="13"/>
  <c r="T24" i="13"/>
  <c r="T34" i="13"/>
  <c r="T68" i="13"/>
  <c r="T72" i="13"/>
  <c r="T76" i="13"/>
  <c r="T86" i="13"/>
  <c r="T94" i="13"/>
  <c r="T114" i="13"/>
  <c r="T122" i="13"/>
  <c r="T130" i="13"/>
  <c r="T171" i="13"/>
  <c r="T199" i="13"/>
  <c r="T215" i="13"/>
  <c r="T220" i="13"/>
  <c r="T240" i="13"/>
  <c r="T245" i="13"/>
  <c r="T253" i="13"/>
  <c r="T305" i="13"/>
  <c r="T313" i="13"/>
  <c r="G3" i="33"/>
  <c r="G4" i="33"/>
  <c r="H315" i="13" l="1"/>
  <c r="K6" i="13"/>
  <c r="C4" i="32"/>
  <c r="B5" i="33"/>
  <c r="A5" i="33"/>
  <c r="B5" i="32"/>
  <c r="A5" i="32"/>
  <c r="B7" i="19"/>
  <c r="A7" i="19"/>
  <c r="A2" i="19"/>
  <c r="A2" i="42"/>
  <c r="O7" i="19"/>
  <c r="R316" i="42"/>
  <c r="Q316" i="42"/>
  <c r="P316" i="42"/>
  <c r="O316" i="42"/>
  <c r="N316" i="42"/>
  <c r="J316" i="42"/>
  <c r="K316" i="42"/>
  <c r="L316" i="42"/>
  <c r="I316" i="42"/>
  <c r="F316" i="42"/>
  <c r="G316" i="42"/>
  <c r="E316" i="42"/>
  <c r="D316" i="42"/>
  <c r="B316" i="42"/>
  <c r="B314" i="32" l="1"/>
  <c r="B316" i="19"/>
  <c r="B314" i="33"/>
  <c r="E4" i="37" l="1"/>
  <c r="E7" i="36"/>
  <c r="D29" i="40"/>
  <c r="F7" i="36" s="1"/>
  <c r="E29" i="40"/>
  <c r="G7" i="36" s="1"/>
  <c r="F29" i="40"/>
  <c r="H7" i="36" s="1"/>
  <c r="G29" i="40"/>
  <c r="I7" i="36" s="1"/>
  <c r="H29" i="40"/>
  <c r="J7" i="36" s="1"/>
  <c r="D7" i="36"/>
  <c r="C4" i="9" l="1"/>
  <c r="N316" i="19"/>
  <c r="C7" i="19"/>
  <c r="D7" i="19"/>
  <c r="E7" i="19"/>
  <c r="F7" i="19"/>
  <c r="D4" i="32"/>
  <c r="AA7" i="19"/>
  <c r="D6" i="49" s="1"/>
  <c r="K14" i="13"/>
  <c r="K88" i="13"/>
  <c r="E4" i="36"/>
  <c r="G4" i="36"/>
  <c r="I4" i="36"/>
  <c r="H4" i="36"/>
  <c r="G5" i="36"/>
  <c r="C6" i="34"/>
  <c r="D4" i="36"/>
  <c r="D5" i="36"/>
  <c r="E5" i="36"/>
  <c r="F4" i="36"/>
  <c r="F5" i="36"/>
  <c r="H5" i="36"/>
  <c r="J4" i="36"/>
  <c r="I5" i="36"/>
  <c r="I4" i="39"/>
  <c r="K8" i="13"/>
  <c r="K9" i="13"/>
  <c r="K10" i="13"/>
  <c r="K11" i="13"/>
  <c r="K12" i="13"/>
  <c r="K13"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A6" i="25"/>
  <c r="B6" i="25"/>
  <c r="AO316" i="42" l="1"/>
  <c r="K7" i="13"/>
  <c r="K315" i="13"/>
  <c r="G314" i="11"/>
  <c r="C6" i="25"/>
  <c r="E6" i="49"/>
  <c r="D315" i="49"/>
  <c r="D6" i="25"/>
  <c r="D5"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1" i="13"/>
  <c r="M31" i="13" s="1"/>
  <c r="L27" i="13"/>
  <c r="M27" i="13" s="1"/>
  <c r="L23" i="13"/>
  <c r="M23" i="13" s="1"/>
  <c r="L19" i="13"/>
  <c r="M19" i="13" s="1"/>
  <c r="L118" i="13"/>
  <c r="M118" i="13" s="1"/>
  <c r="L86" i="13"/>
  <c r="M86" i="13" s="1"/>
  <c r="B314" i="11"/>
  <c r="L135" i="13"/>
  <c r="M135" i="13" s="1"/>
  <c r="L59" i="13"/>
  <c r="M59" i="13" s="1"/>
  <c r="L51" i="13"/>
  <c r="M51" i="13" s="1"/>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Y7" i="19"/>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8" i="13"/>
  <c r="M28" i="13" s="1"/>
  <c r="L16" i="13"/>
  <c r="M16"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4" i="13"/>
  <c r="M24"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3" i="13"/>
  <c r="M13" i="13" s="1"/>
  <c r="L20" i="13"/>
  <c r="M20" i="13" s="1"/>
  <c r="L72" i="13"/>
  <c r="M72" i="13" s="1"/>
  <c r="L64" i="13"/>
  <c r="M64" i="13" s="1"/>
  <c r="L52" i="13"/>
  <c r="M52" i="13" s="1"/>
  <c r="K316" i="19"/>
  <c r="E316" i="19"/>
  <c r="L12" i="13"/>
  <c r="M12" i="13" s="1"/>
  <c r="L40" i="13"/>
  <c r="M40" i="13" s="1"/>
  <c r="L32" i="13"/>
  <c r="M32" i="13" s="1"/>
  <c r="L38" i="13"/>
  <c r="M38" i="13" s="1"/>
  <c r="F316" i="19"/>
  <c r="M316" i="19"/>
  <c r="P316" i="19"/>
  <c r="V316" i="19"/>
  <c r="C316" i="19"/>
  <c r="L270" i="13"/>
  <c r="M270" i="13" s="1"/>
  <c r="J316" i="19"/>
  <c r="D5" i="32"/>
  <c r="D314" i="32" s="1"/>
  <c r="Z316"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H316" i="19"/>
  <c r="I316" i="19"/>
  <c r="L206" i="13"/>
  <c r="M206" i="13" s="1"/>
  <c r="L85" i="13"/>
  <c r="M85" i="13" s="1"/>
  <c r="AA316"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16" i="19"/>
  <c r="L316" i="19"/>
  <c r="L201" i="13"/>
  <c r="M201" i="13" s="1"/>
  <c r="L213" i="13"/>
  <c r="M213" i="13" s="1"/>
  <c r="L93" i="13"/>
  <c r="M93" i="13" s="1"/>
  <c r="L141" i="13"/>
  <c r="M141" i="13" s="1"/>
  <c r="L77" i="13"/>
  <c r="M77" i="13" s="1"/>
  <c r="L74" i="13"/>
  <c r="M74" i="13" s="1"/>
  <c r="L14" i="13"/>
  <c r="M14" i="13" s="1"/>
  <c r="L306" i="13"/>
  <c r="M306" i="13" s="1"/>
  <c r="L295" i="13"/>
  <c r="M295" i="13" s="1"/>
  <c r="L279" i="13"/>
  <c r="M279" i="13" s="1"/>
  <c r="L251" i="13"/>
  <c r="M251" i="13" s="1"/>
  <c r="L236" i="13"/>
  <c r="M236" i="13" s="1"/>
  <c r="L214" i="13"/>
  <c r="M214" i="13" s="1"/>
  <c r="L210" i="13"/>
  <c r="M210" i="13" s="1"/>
  <c r="L190" i="13"/>
  <c r="M190" i="13" s="1"/>
  <c r="L117" i="13"/>
  <c r="M117" i="13" s="1"/>
  <c r="W316" i="19"/>
  <c r="X316" i="19"/>
  <c r="L313" i="13"/>
  <c r="M313" i="13" s="1"/>
  <c r="L305" i="13"/>
  <c r="M305" i="13" s="1"/>
  <c r="L297" i="13"/>
  <c r="M297" i="13" s="1"/>
  <c r="L290" i="13"/>
  <c r="M290" i="13" s="1"/>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59" i="13"/>
  <c r="M259" i="13" s="1"/>
  <c r="L167" i="13"/>
  <c r="M167" i="13" s="1"/>
  <c r="L80" i="13"/>
  <c r="M80" i="13" s="1"/>
  <c r="L17" i="13"/>
  <c r="M17" i="13" s="1"/>
  <c r="L140" i="13"/>
  <c r="M140" i="13" s="1"/>
  <c r="L159" i="13"/>
  <c r="M159" i="13" s="1"/>
  <c r="L174" i="13"/>
  <c r="M174" i="13" s="1"/>
  <c r="L147" i="13"/>
  <c r="M147" i="13" s="1"/>
  <c r="G7" i="19"/>
  <c r="R7" i="19" s="1"/>
  <c r="B315" i="25"/>
  <c r="L6" i="13"/>
  <c r="M6" i="13" s="1"/>
  <c r="D8" i="36"/>
  <c r="J8" i="36"/>
  <c r="M316" i="42"/>
  <c r="I8" i="36"/>
  <c r="F8" i="36"/>
  <c r="H8" i="36"/>
  <c r="E8" i="36"/>
  <c r="G8" i="36"/>
  <c r="M7" i="13" l="1"/>
  <c r="Y316" i="42"/>
  <c r="E15" i="48"/>
  <c r="T7" i="19"/>
  <c r="H6" i="49" s="1"/>
  <c r="I6" i="49" s="1"/>
  <c r="C5" i="32"/>
  <c r="C314" i="32" s="1"/>
  <c r="H314" i="32" s="1"/>
  <c r="Y316" i="19"/>
  <c r="O316" i="19"/>
  <c r="K8" i="36"/>
  <c r="I317" i="36"/>
  <c r="E317" i="36"/>
  <c r="J317" i="36"/>
  <c r="H317" i="36"/>
  <c r="F317" i="36"/>
  <c r="D317" i="36"/>
  <c r="G316" i="19"/>
  <c r="G317" i="36"/>
  <c r="K317" i="36" l="1"/>
  <c r="E5" i="32"/>
  <c r="E314" i="32" s="1"/>
  <c r="I315" i="49"/>
  <c r="E14" i="48"/>
  <c r="F15" i="48" s="1"/>
  <c r="H5" i="32"/>
  <c r="D11" i="9" s="1"/>
  <c r="D320" i="9" s="1"/>
  <c r="U7" i="19"/>
  <c r="G6" i="49" s="1"/>
  <c r="F6" i="49"/>
  <c r="F16" i="34"/>
  <c r="F28" i="48"/>
  <c r="J233" i="13"/>
  <c r="J218" i="13"/>
  <c r="J194" i="13"/>
  <c r="J197" i="13"/>
  <c r="J27" i="13"/>
  <c r="J34" i="13"/>
  <c r="J298" i="13"/>
  <c r="J215" i="13"/>
  <c r="J26" i="13"/>
  <c r="J7" i="13"/>
  <c r="J246" i="13"/>
  <c r="J54" i="13"/>
  <c r="J271" i="13"/>
  <c r="J111" i="13"/>
  <c r="J303" i="13"/>
  <c r="J10" i="13"/>
  <c r="J141" i="13"/>
  <c r="J217" i="13"/>
  <c r="J167" i="13"/>
  <c r="J24" i="13"/>
  <c r="J131" i="13"/>
  <c r="J116" i="13"/>
  <c r="J236" i="13"/>
  <c r="J262" i="13"/>
  <c r="J255" i="13"/>
  <c r="J277" i="13"/>
  <c r="J120" i="13"/>
  <c r="J272" i="13"/>
  <c r="J210" i="13"/>
  <c r="J300" i="13"/>
  <c r="J121" i="13"/>
  <c r="J173" i="13"/>
  <c r="J110" i="13"/>
  <c r="J285" i="13"/>
  <c r="J53" i="13"/>
  <c r="J45" i="13"/>
  <c r="H315" i="49"/>
  <c r="T316" i="19"/>
  <c r="C5" i="9"/>
  <c r="D315" i="25"/>
  <c r="D314" i="33"/>
  <c r="R316" i="19"/>
  <c r="J7" i="49" l="1"/>
  <c r="L7" i="49" s="1"/>
  <c r="J8" i="49"/>
  <c r="J9" i="49"/>
  <c r="J10" i="49"/>
  <c r="J11" i="49"/>
  <c r="J12" i="49"/>
  <c r="J13" i="49"/>
  <c r="J14" i="49"/>
  <c r="L14" i="49" s="1"/>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6" i="49"/>
  <c r="J107" i="49"/>
  <c r="J108" i="49"/>
  <c r="J109" i="49"/>
  <c r="J110" i="49"/>
  <c r="J111" i="49"/>
  <c r="J112" i="49"/>
  <c r="L112" i="49" s="1"/>
  <c r="J113" i="49"/>
  <c r="J114" i="49"/>
  <c r="L114" i="49" s="1"/>
  <c r="J115" i="49"/>
  <c r="J116" i="49"/>
  <c r="J117" i="49"/>
  <c r="L117" i="49" s="1"/>
  <c r="J118" i="49"/>
  <c r="J119" i="49"/>
  <c r="L119" i="49" s="1"/>
  <c r="J120" i="49"/>
  <c r="L120" i="49" s="1"/>
  <c r="J121" i="49"/>
  <c r="L121" i="49" s="1"/>
  <c r="J122" i="49"/>
  <c r="L122" i="49" s="1"/>
  <c r="J123" i="49"/>
  <c r="J124" i="49"/>
  <c r="L124" i="49" s="1"/>
  <c r="J125" i="49"/>
  <c r="J126" i="49"/>
  <c r="L126" i="49" s="1"/>
  <c r="J127" i="49"/>
  <c r="L127" i="49" s="1"/>
  <c r="J128" i="49"/>
  <c r="L128" i="49" s="1"/>
  <c r="J129" i="49"/>
  <c r="L129" i="49" s="1"/>
  <c r="J130" i="49"/>
  <c r="L130" i="49" s="1"/>
  <c r="J131" i="49"/>
  <c r="L131" i="49" s="1"/>
  <c r="J135" i="49"/>
  <c r="L135" i="49" s="1"/>
  <c r="J139" i="49"/>
  <c r="J143" i="49"/>
  <c r="J134" i="49"/>
  <c r="L134" i="49" s="1"/>
  <c r="J138" i="49"/>
  <c r="J142" i="49"/>
  <c r="J146" i="49"/>
  <c r="J147" i="49"/>
  <c r="J148" i="49"/>
  <c r="J149" i="49"/>
  <c r="L149" i="49" s="1"/>
  <c r="J150" i="49"/>
  <c r="L150" i="49" s="1"/>
  <c r="J151" i="49"/>
  <c r="L151" i="49" s="1"/>
  <c r="J152" i="49"/>
  <c r="J153" i="49"/>
  <c r="J154" i="49"/>
  <c r="L154" i="49" s="1"/>
  <c r="J155" i="49"/>
  <c r="L155" i="49" s="1"/>
  <c r="J156" i="49"/>
  <c r="L156" i="49" s="1"/>
  <c r="J157" i="49"/>
  <c r="J158" i="49"/>
  <c r="L158" i="49" s="1"/>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33" i="49"/>
  <c r="J137" i="49"/>
  <c r="L137" i="49" s="1"/>
  <c r="J141" i="49"/>
  <c r="J145" i="49"/>
  <c r="J132" i="49"/>
  <c r="J136" i="49"/>
  <c r="J140" i="49"/>
  <c r="J144" i="49"/>
  <c r="L144" i="49" s="1"/>
  <c r="J182" i="49"/>
  <c r="J183" i="49"/>
  <c r="J184" i="49"/>
  <c r="J185" i="49"/>
  <c r="J186" i="49"/>
  <c r="J187" i="49"/>
  <c r="J188" i="49"/>
  <c r="J189" i="49"/>
  <c r="J190" i="49"/>
  <c r="J191" i="49"/>
  <c r="L191" i="49" s="1"/>
  <c r="J192" i="49"/>
  <c r="J193" i="49"/>
  <c r="J194" i="49"/>
  <c r="J195" i="49"/>
  <c r="J196" i="49"/>
  <c r="J197" i="49"/>
  <c r="J198" i="49"/>
  <c r="J199" i="49"/>
  <c r="J200" i="49"/>
  <c r="J201" i="49"/>
  <c r="J202" i="49"/>
  <c r="L202" i="49" s="1"/>
  <c r="J203" i="49"/>
  <c r="L203" i="49" s="1"/>
  <c r="J204" i="49"/>
  <c r="J205" i="49"/>
  <c r="J206" i="49"/>
  <c r="J207" i="49"/>
  <c r="J208" i="49"/>
  <c r="J209" i="49"/>
  <c r="J210" i="49"/>
  <c r="J211" i="49"/>
  <c r="J212" i="49"/>
  <c r="J213" i="49"/>
  <c r="J214" i="49"/>
  <c r="J215" i="49"/>
  <c r="J216" i="49"/>
  <c r="J217" i="49"/>
  <c r="J218" i="49"/>
  <c r="J219" i="49"/>
  <c r="J220" i="49"/>
  <c r="J221" i="49"/>
  <c r="J222" i="49"/>
  <c r="J223" i="49"/>
  <c r="J224" i="49"/>
  <c r="L224" i="49" s="1"/>
  <c r="J225" i="49"/>
  <c r="L225" i="49" s="1"/>
  <c r="J226" i="49"/>
  <c r="J227" i="49"/>
  <c r="J228" i="49"/>
  <c r="J229" i="49"/>
  <c r="J230" i="49"/>
  <c r="J231" i="49"/>
  <c r="J232" i="49"/>
  <c r="J233" i="49"/>
  <c r="J234" i="49"/>
  <c r="J235" i="49"/>
  <c r="J236" i="49"/>
  <c r="J237" i="49"/>
  <c r="J238" i="49"/>
  <c r="J239" i="49"/>
  <c r="J240" i="49"/>
  <c r="J241" i="49"/>
  <c r="J242" i="49"/>
  <c r="J243" i="49"/>
  <c r="J244" i="49"/>
  <c r="J245" i="49"/>
  <c r="J246" i="49"/>
  <c r="J247" i="49"/>
  <c r="J248" i="49"/>
  <c r="J249" i="49"/>
  <c r="J250" i="49"/>
  <c r="J251" i="49"/>
  <c r="J252" i="49"/>
  <c r="J253" i="49"/>
  <c r="J254" i="49"/>
  <c r="J255" i="49"/>
  <c r="J256" i="49"/>
  <c r="J257" i="49"/>
  <c r="J258" i="49"/>
  <c r="J259" i="49"/>
  <c r="J262" i="49"/>
  <c r="J263" i="49"/>
  <c r="J269" i="49"/>
  <c r="J271" i="49"/>
  <c r="J276" i="49"/>
  <c r="L276" i="49" s="1"/>
  <c r="J277" i="49"/>
  <c r="L277" i="49" s="1"/>
  <c r="J280" i="49"/>
  <c r="L280" i="49" s="1"/>
  <c r="J281" i="49"/>
  <c r="L281" i="49" s="1"/>
  <c r="J284" i="49"/>
  <c r="L284" i="49" s="1"/>
  <c r="J287" i="49"/>
  <c r="L287" i="49" s="1"/>
  <c r="J292" i="49"/>
  <c r="J298" i="49"/>
  <c r="J303" i="49"/>
  <c r="L303" i="49" s="1"/>
  <c r="J306" i="49"/>
  <c r="L306" i="49" s="1"/>
  <c r="J308" i="49"/>
  <c r="J311" i="49"/>
  <c r="J314" i="49"/>
  <c r="J260" i="49"/>
  <c r="J261" i="49"/>
  <c r="J264" i="49"/>
  <c r="J265" i="49"/>
  <c r="J266" i="49"/>
  <c r="J267" i="49"/>
  <c r="J268" i="49"/>
  <c r="J270" i="49"/>
  <c r="J272" i="49"/>
  <c r="J273" i="49"/>
  <c r="J274" i="49"/>
  <c r="J275" i="49"/>
  <c r="L275" i="49" s="1"/>
  <c r="J278" i="49"/>
  <c r="L278" i="49" s="1"/>
  <c r="J279" i="49"/>
  <c r="L279" i="49" s="1"/>
  <c r="J282" i="49"/>
  <c r="L282" i="49" s="1"/>
  <c r="J283" i="49"/>
  <c r="L283" i="49" s="1"/>
  <c r="J285" i="49"/>
  <c r="J286" i="49"/>
  <c r="J288" i="49"/>
  <c r="J289" i="49"/>
  <c r="J290" i="49"/>
  <c r="J291" i="49"/>
  <c r="L291" i="49" s="1"/>
  <c r="J293" i="49"/>
  <c r="J294" i="49"/>
  <c r="J295" i="49"/>
  <c r="J296" i="49"/>
  <c r="L296" i="49" s="1"/>
  <c r="J297" i="49"/>
  <c r="L297" i="49" s="1"/>
  <c r="J299" i="49"/>
  <c r="J300" i="49"/>
  <c r="J301" i="49"/>
  <c r="J302" i="49"/>
  <c r="J304" i="49"/>
  <c r="J305" i="49"/>
  <c r="L305" i="49" s="1"/>
  <c r="J307" i="49"/>
  <c r="L307" i="49" s="1"/>
  <c r="J309" i="49"/>
  <c r="J310" i="49"/>
  <c r="J312" i="49"/>
  <c r="J313" i="49"/>
  <c r="L313" i="49" s="1"/>
  <c r="J6" i="49"/>
  <c r="L6" i="49" s="1"/>
  <c r="F325" i="34"/>
  <c r="J128" i="13"/>
  <c r="J46" i="13"/>
  <c r="J199" i="13"/>
  <c r="J112" i="13"/>
  <c r="J124" i="13"/>
  <c r="J158" i="13"/>
  <c r="J275" i="13"/>
  <c r="J9" i="13"/>
  <c r="J65" i="13"/>
  <c r="J228" i="13"/>
  <c r="J208" i="13"/>
  <c r="J50" i="13"/>
  <c r="J145" i="13"/>
  <c r="J297" i="13"/>
  <c r="C5" i="39"/>
  <c r="J36" i="13"/>
  <c r="J42" i="13"/>
  <c r="J89" i="13"/>
  <c r="J73" i="13"/>
  <c r="J140" i="13"/>
  <c r="J209" i="13"/>
  <c r="J291" i="13"/>
  <c r="J160" i="13"/>
  <c r="J153" i="13"/>
  <c r="J247" i="13"/>
  <c r="J155" i="13"/>
  <c r="J184" i="13"/>
  <c r="J221" i="13"/>
  <c r="J198" i="13"/>
  <c r="J278" i="13"/>
  <c r="J312" i="13"/>
  <c r="J49" i="13"/>
  <c r="J273" i="13"/>
  <c r="J92" i="13"/>
  <c r="J180" i="13"/>
  <c r="J113" i="13"/>
  <c r="J203" i="13"/>
  <c r="J267" i="13"/>
  <c r="J260" i="13"/>
  <c r="J146" i="13"/>
  <c r="J188" i="13"/>
  <c r="J61" i="13"/>
  <c r="J290" i="13"/>
  <c r="J214" i="13"/>
  <c r="J25" i="13"/>
  <c r="J252" i="13"/>
  <c r="J185" i="13"/>
  <c r="J308" i="13"/>
  <c r="J177" i="13"/>
  <c r="J98" i="13"/>
  <c r="J192" i="13"/>
  <c r="J281" i="13"/>
  <c r="J136" i="13"/>
  <c r="J205" i="13"/>
  <c r="J294" i="13"/>
  <c r="J202" i="13"/>
  <c r="J287" i="13"/>
  <c r="J33" i="13"/>
  <c r="J295" i="13"/>
  <c r="J265" i="13"/>
  <c r="J66" i="13"/>
  <c r="J229" i="13"/>
  <c r="J142" i="13"/>
  <c r="J138" i="13"/>
  <c r="J18" i="13"/>
  <c r="J93" i="13"/>
  <c r="J97" i="13"/>
  <c r="J57" i="13"/>
  <c r="J279" i="13"/>
  <c r="J74" i="13"/>
  <c r="J261" i="13"/>
  <c r="J253" i="13"/>
  <c r="J100" i="13"/>
  <c r="J258" i="13"/>
  <c r="J268" i="13"/>
  <c r="J78" i="13"/>
  <c r="J135" i="13"/>
  <c r="J284" i="13"/>
  <c r="J129" i="13"/>
  <c r="J251" i="13"/>
  <c r="J115" i="13"/>
  <c r="J62" i="13"/>
  <c r="J274" i="13"/>
  <c r="J105" i="13"/>
  <c r="J234" i="13"/>
  <c r="J40" i="13"/>
  <c r="J152" i="13"/>
  <c r="J118" i="13"/>
  <c r="J69" i="13"/>
  <c r="J96" i="13"/>
  <c r="J70" i="13"/>
  <c r="J282" i="13"/>
  <c r="J310" i="13"/>
  <c r="J159" i="13"/>
  <c r="C5" i="12"/>
  <c r="F5" i="32"/>
  <c r="J6" i="13"/>
  <c r="J305" i="13"/>
  <c r="J302" i="13"/>
  <c r="C5" i="33"/>
  <c r="C314" i="33" s="1"/>
  <c r="B60" i="40" s="1"/>
  <c r="J254" i="13"/>
  <c r="J222" i="13"/>
  <c r="J94" i="13"/>
  <c r="J44" i="13"/>
  <c r="J29" i="13"/>
  <c r="J41" i="13"/>
  <c r="J76" i="13"/>
  <c r="J86" i="13"/>
  <c r="J102" i="13"/>
  <c r="J108" i="13"/>
  <c r="J134" i="13"/>
  <c r="J212" i="13"/>
  <c r="J174" i="13"/>
  <c r="J245" i="13"/>
  <c r="J17" i="13"/>
  <c r="J250" i="13"/>
  <c r="J64" i="13"/>
  <c r="J181" i="13"/>
  <c r="J211" i="13"/>
  <c r="J99" i="13"/>
  <c r="J238" i="13"/>
  <c r="J216" i="13"/>
  <c r="J213" i="13"/>
  <c r="J132" i="13"/>
  <c r="J311" i="13"/>
  <c r="J161" i="13"/>
  <c r="J149" i="13"/>
  <c r="J304" i="13"/>
  <c r="J241" i="13"/>
  <c r="J187" i="13"/>
  <c r="J313" i="13"/>
  <c r="J263" i="13"/>
  <c r="J169" i="13"/>
  <c r="J20" i="13"/>
  <c r="J103" i="13"/>
  <c r="J71" i="13"/>
  <c r="J193" i="13"/>
  <c r="J190" i="13"/>
  <c r="J309" i="13"/>
  <c r="J117" i="13"/>
  <c r="J306" i="13"/>
  <c r="J166" i="13"/>
  <c r="J307" i="13"/>
  <c r="J293" i="13"/>
  <c r="J133" i="13"/>
  <c r="J147" i="13"/>
  <c r="J220" i="13"/>
  <c r="J87" i="13"/>
  <c r="J109" i="13"/>
  <c r="J225" i="13"/>
  <c r="J186" i="13"/>
  <c r="J151" i="13"/>
  <c r="J243" i="13"/>
  <c r="J8" i="13"/>
  <c r="J148" i="13"/>
  <c r="J30" i="13"/>
  <c r="J171" i="13"/>
  <c r="J257" i="13"/>
  <c r="J137" i="13"/>
  <c r="J104" i="13"/>
  <c r="J88" i="13"/>
  <c r="J224" i="13"/>
  <c r="J200" i="13"/>
  <c r="J286" i="13"/>
  <c r="J144" i="13"/>
  <c r="J182" i="13"/>
  <c r="J168" i="13"/>
  <c r="J63" i="13"/>
  <c r="J12" i="13"/>
  <c r="J154" i="13"/>
  <c r="J122" i="13"/>
  <c r="J264" i="13"/>
  <c r="J269" i="13"/>
  <c r="J58" i="13"/>
  <c r="J301" i="13"/>
  <c r="J227" i="13"/>
  <c r="J314" i="13"/>
  <c r="J242" i="13"/>
  <c r="J237" i="13"/>
  <c r="J82" i="13"/>
  <c r="J21" i="13"/>
  <c r="J232" i="13"/>
  <c r="J256" i="13"/>
  <c r="J156" i="13"/>
  <c r="J37" i="13"/>
  <c r="J162" i="13"/>
  <c r="J249" i="13"/>
  <c r="J22" i="13"/>
  <c r="J178" i="13"/>
  <c r="J179" i="13"/>
  <c r="J292" i="13"/>
  <c r="J189" i="13"/>
  <c r="J81" i="13"/>
  <c r="J204" i="13"/>
  <c r="J38" i="13"/>
  <c r="J201" i="13"/>
  <c r="J270" i="13"/>
  <c r="J283" i="13"/>
  <c r="J101" i="13"/>
  <c r="J55" i="13"/>
  <c r="J43" i="13"/>
  <c r="J23" i="13"/>
  <c r="F315" i="49"/>
  <c r="J196" i="13"/>
  <c r="J289" i="13"/>
  <c r="J16" i="13"/>
  <c r="J239" i="13"/>
  <c r="J67" i="13"/>
  <c r="J51" i="13"/>
  <c r="J143" i="13"/>
  <c r="J230" i="13"/>
  <c r="J207" i="13"/>
  <c r="J32" i="13"/>
  <c r="J90" i="13"/>
  <c r="J13" i="13"/>
  <c r="J266" i="13"/>
  <c r="J125" i="13"/>
  <c r="J52" i="13"/>
  <c r="U316" i="19"/>
  <c r="J11" i="13"/>
  <c r="J56" i="13"/>
  <c r="J35" i="13"/>
  <c r="J60" i="13"/>
  <c r="J183" i="13"/>
  <c r="J106" i="13"/>
  <c r="J299" i="13"/>
  <c r="J123" i="13"/>
  <c r="J84" i="13"/>
  <c r="J91" i="13"/>
  <c r="J79" i="13"/>
  <c r="J150" i="13"/>
  <c r="J15" i="13"/>
  <c r="J31" i="13"/>
  <c r="J114" i="13"/>
  <c r="J28" i="13"/>
  <c r="J163" i="13"/>
  <c r="J157" i="13"/>
  <c r="J176" i="13"/>
  <c r="J276" i="13"/>
  <c r="J126" i="13"/>
  <c r="J85" i="13"/>
  <c r="J95" i="13"/>
  <c r="J68" i="13"/>
  <c r="J75" i="13"/>
  <c r="J191" i="13"/>
  <c r="J14" i="13"/>
  <c r="J119" i="13"/>
  <c r="J223" i="13"/>
  <c r="J48" i="13"/>
  <c r="J280" i="13"/>
  <c r="J59" i="13"/>
  <c r="J130" i="13"/>
  <c r="J77" i="13"/>
  <c r="J47" i="13"/>
  <c r="J226" i="13"/>
  <c r="J39" i="13"/>
  <c r="J127" i="13"/>
  <c r="J206" i="13"/>
  <c r="J288" i="13"/>
  <c r="J248" i="13"/>
  <c r="J240" i="13"/>
  <c r="J80" i="13"/>
  <c r="J139" i="13"/>
  <c r="J107" i="13"/>
  <c r="J83" i="13"/>
  <c r="J296" i="13"/>
  <c r="J259" i="13"/>
  <c r="J19" i="13"/>
  <c r="J164" i="13"/>
  <c r="J165" i="13"/>
  <c r="J175" i="13"/>
  <c r="J235" i="13"/>
  <c r="J195" i="13"/>
  <c r="J231" i="13"/>
  <c r="J72" i="13"/>
  <c r="J172" i="13"/>
  <c r="K304" i="49" l="1"/>
  <c r="L304" i="49" s="1"/>
  <c r="K294" i="49"/>
  <c r="L294" i="49" s="1"/>
  <c r="K265" i="49"/>
  <c r="L265" i="49" s="1"/>
  <c r="K248" i="49"/>
  <c r="L248" i="49" s="1"/>
  <c r="K309" i="49"/>
  <c r="L309" i="49" s="1"/>
  <c r="K302" i="49"/>
  <c r="L302" i="49" s="1"/>
  <c r="K264" i="49"/>
  <c r="L264" i="49" s="1"/>
  <c r="K255" i="49"/>
  <c r="L255" i="49" s="1"/>
  <c r="K247" i="49"/>
  <c r="L247" i="49" s="1"/>
  <c r="K235" i="49"/>
  <c r="L235" i="49" s="1"/>
  <c r="K227" i="49"/>
  <c r="L227" i="49" s="1"/>
  <c r="K219" i="49"/>
  <c r="L219" i="49" s="1"/>
  <c r="K207" i="49"/>
  <c r="L207" i="49" s="1"/>
  <c r="K183" i="49"/>
  <c r="L183" i="49" s="1"/>
  <c r="K136" i="49"/>
  <c r="L136" i="49" s="1"/>
  <c r="K171" i="49"/>
  <c r="L171" i="49" s="1"/>
  <c r="K163" i="49"/>
  <c r="L163" i="49" s="1"/>
  <c r="K159" i="49"/>
  <c r="L159" i="49" s="1"/>
  <c r="K147" i="49"/>
  <c r="L147" i="49" s="1"/>
  <c r="K91" i="49"/>
  <c r="L91" i="49" s="1"/>
  <c r="K301" i="49"/>
  <c r="L301" i="49" s="1"/>
  <c r="K286" i="49"/>
  <c r="L286" i="49" s="1"/>
  <c r="K273" i="49"/>
  <c r="L273" i="49" s="1"/>
  <c r="K267" i="49"/>
  <c r="L267" i="49" s="1"/>
  <c r="K261" i="49"/>
  <c r="L261" i="49" s="1"/>
  <c r="K308" i="49"/>
  <c r="L308" i="49" s="1"/>
  <c r="K292" i="49"/>
  <c r="L292" i="49" s="1"/>
  <c r="K269" i="49"/>
  <c r="L269" i="49" s="1"/>
  <c r="K258" i="49"/>
  <c r="L258" i="49" s="1"/>
  <c r="K254" i="49"/>
  <c r="L254" i="49" s="1"/>
  <c r="K250" i="49"/>
  <c r="L250" i="49" s="1"/>
  <c r="K246" i="49"/>
  <c r="L246" i="49" s="1"/>
  <c r="K242" i="49"/>
  <c r="L242" i="49" s="1"/>
  <c r="K238" i="49"/>
  <c r="L238" i="49" s="1"/>
  <c r="K234" i="49"/>
  <c r="L234" i="49" s="1"/>
  <c r="K230" i="49"/>
  <c r="L230" i="49" s="1"/>
  <c r="K226" i="49"/>
  <c r="L226" i="49" s="1"/>
  <c r="K222" i="49"/>
  <c r="L222" i="49" s="1"/>
  <c r="K218" i="49"/>
  <c r="L218" i="49" s="1"/>
  <c r="K214" i="49"/>
  <c r="L214" i="49" s="1"/>
  <c r="K210" i="49"/>
  <c r="L210" i="49" s="1"/>
  <c r="K206" i="49"/>
  <c r="L206" i="49" s="1"/>
  <c r="K198" i="49"/>
  <c r="L198" i="49" s="1"/>
  <c r="K194" i="49"/>
  <c r="L194" i="49" s="1"/>
  <c r="K190" i="49"/>
  <c r="L190" i="49" s="1"/>
  <c r="K186" i="49"/>
  <c r="L186" i="49" s="1"/>
  <c r="K182" i="49"/>
  <c r="L182" i="49" s="1"/>
  <c r="K132" i="49"/>
  <c r="L132" i="49" s="1"/>
  <c r="K133" i="49"/>
  <c r="L133" i="49" s="1"/>
  <c r="K178" i="49"/>
  <c r="L178" i="49" s="1"/>
  <c r="K174" i="49"/>
  <c r="L174" i="49" s="1"/>
  <c r="K170" i="49"/>
  <c r="L170" i="49" s="1"/>
  <c r="K166" i="49"/>
  <c r="L166" i="49" s="1"/>
  <c r="K162" i="49"/>
  <c r="L162" i="49" s="1"/>
  <c r="K146" i="49"/>
  <c r="L146" i="49" s="1"/>
  <c r="K143" i="49"/>
  <c r="L143" i="49" s="1"/>
  <c r="K118" i="49"/>
  <c r="L118" i="49" s="1"/>
  <c r="K110" i="49"/>
  <c r="L110" i="49" s="1"/>
  <c r="K106" i="49"/>
  <c r="L106" i="49" s="1"/>
  <c r="K102" i="49"/>
  <c r="L102" i="49"/>
  <c r="K98" i="49"/>
  <c r="L98" i="49" s="1"/>
  <c r="K94" i="49"/>
  <c r="L94" i="49" s="1"/>
  <c r="K90" i="49"/>
  <c r="L90" i="49" s="1"/>
  <c r="K86" i="49"/>
  <c r="L86" i="49" s="1"/>
  <c r="K82" i="49"/>
  <c r="L82" i="49" s="1"/>
  <c r="K78" i="49"/>
  <c r="L78" i="49" s="1"/>
  <c r="K74" i="49"/>
  <c r="L74" i="49" s="1"/>
  <c r="K70" i="49"/>
  <c r="L70" i="49" s="1"/>
  <c r="K66" i="49"/>
  <c r="L66" i="49" s="1"/>
  <c r="K62" i="49"/>
  <c r="L62" i="49" s="1"/>
  <c r="K58" i="49"/>
  <c r="L58" i="49" s="1"/>
  <c r="K54" i="49"/>
  <c r="L54" i="49" s="1"/>
  <c r="K50" i="49"/>
  <c r="L50" i="49" s="1"/>
  <c r="K46" i="49"/>
  <c r="L46" i="49" s="1"/>
  <c r="K42" i="49"/>
  <c r="L42" i="49" s="1"/>
  <c r="K38" i="49"/>
  <c r="L38" i="49" s="1"/>
  <c r="K34" i="49"/>
  <c r="L34" i="49" s="1"/>
  <c r="K30" i="49"/>
  <c r="L30" i="49" s="1"/>
  <c r="K26" i="49"/>
  <c r="L26" i="49" s="1"/>
  <c r="K22" i="49"/>
  <c r="L22" i="49" s="1"/>
  <c r="K18" i="49"/>
  <c r="L18" i="49" s="1"/>
  <c r="K10" i="49"/>
  <c r="L10" i="49" s="1"/>
  <c r="K288" i="49"/>
  <c r="L288" i="49" s="1"/>
  <c r="K274" i="49"/>
  <c r="L274" i="49" s="1"/>
  <c r="K268" i="49"/>
  <c r="L268" i="49" s="1"/>
  <c r="K298" i="49"/>
  <c r="L298" i="49" s="1"/>
  <c r="K271" i="49"/>
  <c r="L271" i="49" s="1"/>
  <c r="K251" i="49"/>
  <c r="L251" i="49" s="1"/>
  <c r="K243" i="49"/>
  <c r="L243" i="49" s="1"/>
  <c r="K231" i="49"/>
  <c r="L231" i="49" s="1"/>
  <c r="K223" i="49"/>
  <c r="L223" i="49" s="1"/>
  <c r="K211" i="49"/>
  <c r="L211" i="49" s="1"/>
  <c r="K199" i="49"/>
  <c r="L199" i="49" s="1"/>
  <c r="K187" i="49"/>
  <c r="L187" i="49" s="1"/>
  <c r="K175" i="49"/>
  <c r="L175" i="49" s="1"/>
  <c r="K167" i="49"/>
  <c r="L167" i="49" s="1"/>
  <c r="K123" i="49"/>
  <c r="L123" i="49" s="1"/>
  <c r="K95" i="49"/>
  <c r="L95" i="49" s="1"/>
  <c r="K312" i="49"/>
  <c r="L312" i="49" s="1"/>
  <c r="K300" i="49"/>
  <c r="L300" i="49" s="1"/>
  <c r="K295" i="49"/>
  <c r="L295" i="49" s="1"/>
  <c r="K290" i="49"/>
  <c r="L290" i="49" s="1"/>
  <c r="K285" i="49"/>
  <c r="L285" i="49" s="1"/>
  <c r="K272" i="49"/>
  <c r="L272" i="49" s="1"/>
  <c r="K266" i="49"/>
  <c r="L266" i="49" s="1"/>
  <c r="K260" i="49"/>
  <c r="L260" i="49" s="1"/>
  <c r="K263" i="49"/>
  <c r="L263" i="49" s="1"/>
  <c r="K257" i="49"/>
  <c r="L257" i="49" s="1"/>
  <c r="K253" i="49"/>
  <c r="L253" i="49" s="1"/>
  <c r="K249" i="49"/>
  <c r="L249" i="49" s="1"/>
  <c r="K245" i="49"/>
  <c r="L245" i="49" s="1"/>
  <c r="K241" i="49"/>
  <c r="L241" i="49" s="1"/>
  <c r="K237" i="49"/>
  <c r="L237" i="49" s="1"/>
  <c r="K233" i="49"/>
  <c r="L233" i="49" s="1"/>
  <c r="K229" i="49"/>
  <c r="L229" i="49" s="1"/>
  <c r="K221" i="49"/>
  <c r="L221" i="49" s="1"/>
  <c r="K217" i="49"/>
  <c r="L217" i="49" s="1"/>
  <c r="K213" i="49"/>
  <c r="L213" i="49" s="1"/>
  <c r="K209" i="49"/>
  <c r="L209" i="49" s="1"/>
  <c r="K205" i="49"/>
  <c r="L205" i="49" s="1"/>
  <c r="K201" i="49"/>
  <c r="L201" i="49" s="1"/>
  <c r="K197" i="49"/>
  <c r="L197" i="49" s="1"/>
  <c r="K193" i="49"/>
  <c r="L193" i="49" s="1"/>
  <c r="K189" i="49"/>
  <c r="L189" i="49" s="1"/>
  <c r="K185" i="49"/>
  <c r="L185" i="49" s="1"/>
  <c r="K145" i="49"/>
  <c r="L145" i="49" s="1"/>
  <c r="K181" i="49"/>
  <c r="L181" i="49" s="1"/>
  <c r="K177" i="49"/>
  <c r="L177" i="49" s="1"/>
  <c r="K173" i="49"/>
  <c r="L173" i="49" s="1"/>
  <c r="K169" i="49"/>
  <c r="L169" i="49" s="1"/>
  <c r="K165" i="49"/>
  <c r="L165" i="49" s="1"/>
  <c r="K161" i="49"/>
  <c r="L161" i="49" s="1"/>
  <c r="K157" i="49"/>
  <c r="L157" i="49" s="1"/>
  <c r="K153" i="49"/>
  <c r="L153" i="49" s="1"/>
  <c r="K142" i="49"/>
  <c r="L142" i="49" s="1"/>
  <c r="K139" i="49"/>
  <c r="L139" i="49" s="1"/>
  <c r="K125" i="49"/>
  <c r="L125" i="49" s="1"/>
  <c r="K113" i="49"/>
  <c r="L113" i="49" s="1"/>
  <c r="K109" i="49"/>
  <c r="L109" i="49" s="1"/>
  <c r="K105" i="49"/>
  <c r="L105" i="49" s="1"/>
  <c r="K101" i="49"/>
  <c r="L101" i="49" s="1"/>
  <c r="K97" i="49"/>
  <c r="L97" i="49" s="1"/>
  <c r="K93" i="49"/>
  <c r="L93" i="49" s="1"/>
  <c r="K89" i="49"/>
  <c r="L89" i="49" s="1"/>
  <c r="K85" i="49"/>
  <c r="L85" i="49" s="1"/>
  <c r="K81" i="49"/>
  <c r="L81" i="49" s="1"/>
  <c r="K77" i="49"/>
  <c r="L77" i="49" s="1"/>
  <c r="K73" i="49"/>
  <c r="L73" i="49" s="1"/>
  <c r="K69" i="49"/>
  <c r="L69" i="49" s="1"/>
  <c r="K65" i="49"/>
  <c r="L65" i="49" s="1"/>
  <c r="K61" i="49"/>
  <c r="L61" i="49" s="1"/>
  <c r="K57" i="49"/>
  <c r="L57" i="49" s="1"/>
  <c r="K53" i="49"/>
  <c r="L53" i="49" s="1"/>
  <c r="K49" i="49"/>
  <c r="L49" i="49"/>
  <c r="K45" i="49"/>
  <c r="L45" i="49" s="1"/>
  <c r="K41" i="49"/>
  <c r="L41" i="49" s="1"/>
  <c r="K37" i="49"/>
  <c r="L37" i="49" s="1"/>
  <c r="K33" i="49"/>
  <c r="L33" i="49" s="1"/>
  <c r="K29" i="49"/>
  <c r="L29" i="49" s="1"/>
  <c r="K25" i="49"/>
  <c r="L25" i="49" s="1"/>
  <c r="K21" i="49"/>
  <c r="L21" i="49" s="1"/>
  <c r="K17" i="49"/>
  <c r="L17" i="49" s="1"/>
  <c r="K13" i="49"/>
  <c r="L13" i="49" s="1"/>
  <c r="K9" i="49"/>
  <c r="L9" i="49" s="1"/>
  <c r="K310" i="49"/>
  <c r="L310" i="49" s="1"/>
  <c r="K299" i="49"/>
  <c r="L299" i="49" s="1"/>
  <c r="K289" i="49"/>
  <c r="L289" i="49" s="1"/>
  <c r="K270" i="49"/>
  <c r="L270" i="49" s="1"/>
  <c r="K314" i="49"/>
  <c r="L314" i="49" s="1"/>
  <c r="K262" i="49"/>
  <c r="L262" i="49" s="1"/>
  <c r="K256" i="49"/>
  <c r="L256" i="49" s="1"/>
  <c r="K252" i="49"/>
  <c r="L252" i="49" s="1"/>
  <c r="K244" i="49"/>
  <c r="L244" i="49" s="1"/>
  <c r="K240" i="49"/>
  <c r="L240" i="49" s="1"/>
  <c r="K236" i="49"/>
  <c r="L236" i="49" s="1"/>
  <c r="K232" i="49"/>
  <c r="L232" i="49" s="1"/>
  <c r="K228" i="49"/>
  <c r="L228" i="49" s="1"/>
  <c r="K220" i="49"/>
  <c r="L220" i="49" s="1"/>
  <c r="K216" i="49"/>
  <c r="L216" i="49" s="1"/>
  <c r="K212" i="49"/>
  <c r="L212" i="49" s="1"/>
  <c r="K208" i="49"/>
  <c r="L208" i="49" s="1"/>
  <c r="K204" i="49"/>
  <c r="L204" i="49" s="1"/>
  <c r="K200" i="49"/>
  <c r="L200" i="49" s="1"/>
  <c r="K196" i="49"/>
  <c r="L196" i="49" s="1"/>
  <c r="K192" i="49"/>
  <c r="L192" i="49" s="1"/>
  <c r="K188" i="49"/>
  <c r="L188" i="49" s="1"/>
  <c r="K184" i="49"/>
  <c r="L184" i="49" s="1"/>
  <c r="K140" i="49"/>
  <c r="L140" i="49" s="1"/>
  <c r="K141" i="49"/>
  <c r="L141" i="49" s="1"/>
  <c r="K180" i="49"/>
  <c r="L180" i="49" s="1"/>
  <c r="K176" i="49"/>
  <c r="L176" i="49" s="1"/>
  <c r="K172" i="49"/>
  <c r="L172" i="49" s="1"/>
  <c r="K168" i="49"/>
  <c r="L168" i="49" s="1"/>
  <c r="K164" i="49"/>
  <c r="L164" i="49" s="1"/>
  <c r="K160" i="49"/>
  <c r="L160" i="49" s="1"/>
  <c r="K152" i="49"/>
  <c r="L152" i="49" s="1"/>
  <c r="K148" i="49"/>
  <c r="L148" i="49" s="1"/>
  <c r="K138" i="49"/>
  <c r="L138" i="49" s="1"/>
  <c r="K116" i="49"/>
  <c r="L116" i="49"/>
  <c r="K108" i="49"/>
  <c r="L108" i="49" s="1"/>
  <c r="K104" i="49"/>
  <c r="L104" i="49" s="1"/>
  <c r="K100" i="49"/>
  <c r="L100" i="49" s="1"/>
  <c r="K96" i="49"/>
  <c r="L96" i="49"/>
  <c r="K92" i="49"/>
  <c r="L92" i="49" s="1"/>
  <c r="K88" i="49"/>
  <c r="L88" i="49" s="1"/>
  <c r="K84" i="49"/>
  <c r="L84" i="49" s="1"/>
  <c r="K80" i="49"/>
  <c r="L80" i="49" s="1"/>
  <c r="K76" i="49"/>
  <c r="L76" i="49" s="1"/>
  <c r="K72" i="49"/>
  <c r="L72" i="49" s="1"/>
  <c r="K68" i="49"/>
  <c r="L68" i="49" s="1"/>
  <c r="K64" i="49"/>
  <c r="L64" i="49"/>
  <c r="K60" i="49"/>
  <c r="L60" i="49" s="1"/>
  <c r="K56" i="49"/>
  <c r="L56" i="49" s="1"/>
  <c r="K52" i="49"/>
  <c r="L52" i="49" s="1"/>
  <c r="K48" i="49"/>
  <c r="L48" i="49"/>
  <c r="K44" i="49"/>
  <c r="L44" i="49" s="1"/>
  <c r="K40" i="49"/>
  <c r="L40" i="49" s="1"/>
  <c r="K36" i="49"/>
  <c r="L36" i="49" s="1"/>
  <c r="K32" i="49"/>
  <c r="L32" i="49"/>
  <c r="K28" i="49"/>
  <c r="L28" i="49" s="1"/>
  <c r="K24" i="49"/>
  <c r="L24" i="49" s="1"/>
  <c r="K20" i="49"/>
  <c r="L20" i="49" s="1"/>
  <c r="K16" i="49"/>
  <c r="L16" i="49" s="1"/>
  <c r="K12" i="49"/>
  <c r="L12" i="49" s="1"/>
  <c r="K8" i="49"/>
  <c r="L8" i="49" s="1"/>
  <c r="K293" i="49"/>
  <c r="L293" i="49"/>
  <c r="K311" i="49"/>
  <c r="L311" i="49" s="1"/>
  <c r="K259" i="49"/>
  <c r="L259" i="49" s="1"/>
  <c r="K239" i="49"/>
  <c r="L239" i="49" s="1"/>
  <c r="K215" i="49"/>
  <c r="L215" i="49" s="1"/>
  <c r="K195" i="49"/>
  <c r="L195" i="49" s="1"/>
  <c r="K179" i="49"/>
  <c r="L179" i="49" s="1"/>
  <c r="K115" i="49"/>
  <c r="L115" i="49" s="1"/>
  <c r="K111" i="49"/>
  <c r="L111" i="49" s="1"/>
  <c r="K107" i="49"/>
  <c r="L107" i="49" s="1"/>
  <c r="K103" i="49"/>
  <c r="L103" i="49" s="1"/>
  <c r="K99" i="49"/>
  <c r="L99" i="49" s="1"/>
  <c r="K87" i="49"/>
  <c r="L87" i="49" s="1"/>
  <c r="K83" i="49"/>
  <c r="L83" i="49" s="1"/>
  <c r="K79" i="49"/>
  <c r="L79" i="49" s="1"/>
  <c r="K75" i="49"/>
  <c r="L75" i="49" s="1"/>
  <c r="K71" i="49"/>
  <c r="L71" i="49" s="1"/>
  <c r="K67" i="49"/>
  <c r="L67" i="49" s="1"/>
  <c r="K63" i="49"/>
  <c r="L63" i="49" s="1"/>
  <c r="K59" i="49"/>
  <c r="L59" i="49" s="1"/>
  <c r="K55" i="49"/>
  <c r="L55" i="49" s="1"/>
  <c r="K51" i="49"/>
  <c r="L51" i="49"/>
  <c r="K47" i="49"/>
  <c r="L47" i="49" s="1"/>
  <c r="K43" i="49"/>
  <c r="L43" i="49" s="1"/>
  <c r="K39" i="49"/>
  <c r="L39" i="49" s="1"/>
  <c r="K35" i="49"/>
  <c r="L35" i="49"/>
  <c r="K31" i="49"/>
  <c r="L31" i="49" s="1"/>
  <c r="K27" i="49"/>
  <c r="L27" i="49" s="1"/>
  <c r="K23" i="49"/>
  <c r="L23" i="49" s="1"/>
  <c r="K19" i="49"/>
  <c r="L19" i="49" s="1"/>
  <c r="K15" i="49"/>
  <c r="L15" i="49" s="1"/>
  <c r="K11" i="49"/>
  <c r="L11" i="49" s="1"/>
  <c r="S316" i="19"/>
  <c r="F9" i="48"/>
  <c r="E6" i="25"/>
  <c r="M6" i="49"/>
  <c r="C5" i="11"/>
  <c r="C16" i="34"/>
  <c r="C314" i="39"/>
  <c r="J315" i="13"/>
  <c r="E5" i="33"/>
  <c r="D5" i="37" s="1"/>
  <c r="G5" i="32"/>
  <c r="F314" i="32"/>
  <c r="J315" i="49"/>
  <c r="G315" i="49"/>
  <c r="C314" i="12"/>
  <c r="L315" i="13" l="1"/>
  <c r="E47" i="48"/>
  <c r="K315" i="49"/>
  <c r="N315" i="49" s="1"/>
  <c r="G314" i="37"/>
  <c r="G314" i="32"/>
  <c r="G40" i="40" l="1"/>
  <c r="E4" i="9"/>
  <c r="E314" i="33"/>
  <c r="L315" i="49"/>
  <c r="H314" i="37"/>
  <c r="H5" i="37"/>
  <c r="F11" i="33" l="1"/>
  <c r="F19" i="33"/>
  <c r="F27" i="33"/>
  <c r="F7" i="33"/>
  <c r="F15" i="33"/>
  <c r="F23" i="33"/>
  <c r="F31" i="33"/>
  <c r="F67" i="33"/>
  <c r="F71" i="33"/>
  <c r="F75" i="33"/>
  <c r="F79" i="33"/>
  <c r="F102" i="33"/>
  <c r="F106" i="33"/>
  <c r="F110" i="33"/>
  <c r="F114" i="33"/>
  <c r="F118" i="33"/>
  <c r="F122" i="33"/>
  <c r="F126" i="33"/>
  <c r="F130" i="33"/>
  <c r="F134" i="33"/>
  <c r="F96" i="33"/>
  <c r="F145" i="33"/>
  <c r="F153" i="33"/>
  <c r="F161" i="33"/>
  <c r="F167" i="33"/>
  <c r="F138" i="33"/>
  <c r="F146" i="33"/>
  <c r="F154" i="33"/>
  <c r="F162" i="33"/>
  <c r="F168" i="33"/>
  <c r="F142" i="33"/>
  <c r="F150" i="33"/>
  <c r="F158" i="33"/>
  <c r="F166" i="33"/>
  <c r="F171" i="33"/>
  <c r="F179" i="33"/>
  <c r="F187" i="33"/>
  <c r="F195" i="33"/>
  <c r="F203" i="33"/>
  <c r="F211" i="33"/>
  <c r="F219" i="33"/>
  <c r="F225" i="33"/>
  <c r="F172" i="33"/>
  <c r="F180" i="33"/>
  <c r="F188" i="33"/>
  <c r="F196" i="33"/>
  <c r="F204" i="33"/>
  <c r="F212" i="33"/>
  <c r="F220" i="33"/>
  <c r="F226" i="33"/>
  <c r="F230" i="33"/>
  <c r="F234" i="33"/>
  <c r="F238" i="33"/>
  <c r="F242" i="33"/>
  <c r="F246" i="33"/>
  <c r="F250" i="33"/>
  <c r="F254" i="33"/>
  <c r="F176" i="33"/>
  <c r="F184" i="33"/>
  <c r="F192" i="33"/>
  <c r="F200" i="33"/>
  <c r="F208" i="33"/>
  <c r="F216" i="33"/>
  <c r="F224" i="33"/>
  <c r="F258" i="33"/>
  <c r="F270" i="33"/>
  <c r="F265" i="33"/>
  <c r="F273" i="33"/>
  <c r="F262" i="33"/>
  <c r="F283" i="33"/>
  <c r="F295" i="33"/>
  <c r="F290" i="33"/>
  <c r="F289" i="33"/>
  <c r="F291" i="33"/>
  <c r="F286" i="33"/>
  <c r="F285" i="33"/>
  <c r="F313" i="33"/>
  <c r="F288" i="33"/>
  <c r="F269" i="33"/>
  <c r="F245" i="33"/>
  <c r="F228" i="33"/>
  <c r="F249" i="33"/>
  <c r="F232" i="33"/>
  <c r="F279" i="33"/>
  <c r="F217" i="33"/>
  <c r="F185" i="33"/>
  <c r="F247" i="33"/>
  <c r="F231" i="33"/>
  <c r="F137" i="33"/>
  <c r="F299" i="33"/>
  <c r="F294" i="33"/>
  <c r="F293" i="33"/>
  <c r="F266" i="33"/>
  <c r="F311" i="33"/>
  <c r="F306" i="33"/>
  <c r="F305" i="33"/>
  <c r="F280" i="33"/>
  <c r="F275" i="33"/>
  <c r="F307" i="33"/>
  <c r="F302" i="33"/>
  <c r="F301" i="33"/>
  <c r="F277" i="33"/>
  <c r="F304" i="33"/>
  <c r="F252" i="33"/>
  <c r="F237" i="33"/>
  <c r="F215" i="33"/>
  <c r="F199" i="33"/>
  <c r="F183" i="33"/>
  <c r="F268" i="33"/>
  <c r="F256" i="33"/>
  <c r="F241" i="33"/>
  <c r="F193" i="33"/>
  <c r="F251" i="33"/>
  <c r="F235" i="33"/>
  <c r="F157" i="33"/>
  <c r="F141" i="33"/>
  <c r="F143" i="33"/>
  <c r="F310" i="33"/>
  <c r="F309" i="33"/>
  <c r="F284" i="33"/>
  <c r="F296" i="33"/>
  <c r="F292" i="33"/>
  <c r="F287" i="33"/>
  <c r="F282" i="33"/>
  <c r="F281" i="33"/>
  <c r="F244" i="33"/>
  <c r="F229" i="33"/>
  <c r="F248" i="33"/>
  <c r="F233" i="33"/>
  <c r="F271" i="33"/>
  <c r="F201" i="33"/>
  <c r="F255" i="33"/>
  <c r="F239" i="33"/>
  <c r="F221" i="33"/>
  <c r="F213" i="33"/>
  <c r="F205" i="33"/>
  <c r="F197" i="33"/>
  <c r="F189" i="33"/>
  <c r="F181" i="33"/>
  <c r="F173" i="33"/>
  <c r="F151" i="33"/>
  <c r="F129" i="33"/>
  <c r="F112" i="33"/>
  <c r="F163" i="33"/>
  <c r="F155" i="33"/>
  <c r="F147" i="33"/>
  <c r="F139" i="33"/>
  <c r="F133" i="33"/>
  <c r="F116" i="33"/>
  <c r="F101" i="33"/>
  <c r="F99" i="33"/>
  <c r="F90" i="33"/>
  <c r="F77" i="33"/>
  <c r="F70" i="33"/>
  <c r="F135" i="33"/>
  <c r="F119" i="33"/>
  <c r="F103" i="33"/>
  <c r="F86" i="33"/>
  <c r="F92" i="33"/>
  <c r="F52" i="33"/>
  <c r="F40" i="33"/>
  <c r="F53" i="33"/>
  <c r="F50" i="33"/>
  <c r="F47" i="33"/>
  <c r="F59" i="33"/>
  <c r="F20" i="33"/>
  <c r="F22" i="33"/>
  <c r="F6" i="33"/>
  <c r="F32" i="33"/>
  <c r="F38" i="33"/>
  <c r="F34" i="33"/>
  <c r="F26" i="33"/>
  <c r="F18" i="33"/>
  <c r="F10" i="33"/>
  <c r="F300" i="33"/>
  <c r="F267" i="33"/>
  <c r="F312" i="33"/>
  <c r="F278" i="33"/>
  <c r="F274" i="33"/>
  <c r="F308" i="33"/>
  <c r="F303" i="33"/>
  <c r="F298" i="33"/>
  <c r="F297" i="33"/>
  <c r="F253" i="33"/>
  <c r="F236" i="33"/>
  <c r="F223" i="33"/>
  <c r="F207" i="33"/>
  <c r="F191" i="33"/>
  <c r="F175" i="33"/>
  <c r="F259" i="33"/>
  <c r="F261" i="33"/>
  <c r="F257" i="33"/>
  <c r="F240" i="33"/>
  <c r="F263" i="33"/>
  <c r="F209" i="33"/>
  <c r="F177" i="33"/>
  <c r="F169" i="33"/>
  <c r="F243" i="33"/>
  <c r="F227" i="33"/>
  <c r="F165" i="33"/>
  <c r="F149" i="33"/>
  <c r="F159" i="33"/>
  <c r="F136" i="33"/>
  <c r="F121" i="33"/>
  <c r="F104" i="33"/>
  <c r="F125" i="33"/>
  <c r="F108" i="33"/>
  <c r="F94" i="33"/>
  <c r="F89" i="33"/>
  <c r="F69" i="33"/>
  <c r="F123" i="33"/>
  <c r="F107" i="33"/>
  <c r="F85" i="33"/>
  <c r="F82" i="33"/>
  <c r="F91" i="33"/>
  <c r="F83" i="33"/>
  <c r="F61" i="33"/>
  <c r="F39" i="33"/>
  <c r="F58" i="33"/>
  <c r="F57" i="33"/>
  <c r="F54" i="33"/>
  <c r="F51" i="33"/>
  <c r="F62" i="33"/>
  <c r="F43" i="33"/>
  <c r="F12" i="33"/>
  <c r="F36" i="33"/>
  <c r="F24" i="33"/>
  <c r="F128" i="33"/>
  <c r="F113" i="33"/>
  <c r="F124" i="33"/>
  <c r="F109" i="33"/>
  <c r="F78" i="33"/>
  <c r="F115" i="33"/>
  <c r="F73" i="33"/>
  <c r="F66" i="33"/>
  <c r="F95" i="33"/>
  <c r="F87" i="33"/>
  <c r="F55" i="33"/>
  <c r="F44" i="33"/>
  <c r="F65" i="33"/>
  <c r="F48" i="33"/>
  <c r="F46" i="33"/>
  <c r="F132" i="33"/>
  <c r="F117" i="33"/>
  <c r="F111" i="33"/>
  <c r="F80" i="33"/>
  <c r="F81" i="33"/>
  <c r="F74" i="33"/>
  <c r="F76" i="33"/>
  <c r="F63" i="33"/>
  <c r="F56" i="33"/>
  <c r="F45" i="33"/>
  <c r="F16" i="33"/>
  <c r="F35" i="33"/>
  <c r="F131" i="33"/>
  <c r="F72" i="33"/>
  <c r="F64" i="33"/>
  <c r="F88" i="33"/>
  <c r="F68" i="33"/>
  <c r="F28" i="33"/>
  <c r="F14" i="33"/>
  <c r="F37" i="33"/>
  <c r="F49" i="33"/>
  <c r="F8" i="33"/>
  <c r="F120" i="33"/>
  <c r="F105" i="33"/>
  <c r="F100" i="33"/>
  <c r="F97" i="33"/>
  <c r="F84" i="33"/>
  <c r="F127" i="33"/>
  <c r="F93" i="33"/>
  <c r="F42" i="33"/>
  <c r="F30" i="33"/>
  <c r="F60" i="33"/>
  <c r="F33" i="33"/>
  <c r="F9" i="33"/>
  <c r="F21" i="33"/>
  <c r="F164" i="33"/>
  <c r="F148" i="33"/>
  <c r="F98" i="33"/>
  <c r="F182" i="33"/>
  <c r="F214" i="33"/>
  <c r="F140" i="33"/>
  <c r="F152" i="33"/>
  <c r="F202" i="33"/>
  <c r="F190" i="33"/>
  <c r="F222" i="33"/>
  <c r="F260" i="33"/>
  <c r="F178" i="33"/>
  <c r="F210" i="33"/>
  <c r="F264" i="33"/>
  <c r="F17" i="33"/>
  <c r="F25" i="33"/>
  <c r="F13" i="33"/>
  <c r="F29" i="33"/>
  <c r="F144" i="33"/>
  <c r="F41" i="33"/>
  <c r="F160" i="33"/>
  <c r="F198" i="33"/>
  <c r="F156" i="33"/>
  <c r="F186" i="33"/>
  <c r="F218" i="33"/>
  <c r="F170" i="33"/>
  <c r="F174" i="33"/>
  <c r="F206" i="33"/>
  <c r="F194" i="33"/>
  <c r="F276" i="33"/>
  <c r="F272" i="33"/>
  <c r="D314" i="37"/>
  <c r="G2" i="33"/>
  <c r="I2" i="33"/>
  <c r="F5" i="33"/>
  <c r="K2" i="33"/>
  <c r="H2" i="33"/>
  <c r="J2" i="33"/>
  <c r="B62" i="40"/>
  <c r="B63" i="40"/>
  <c r="B50" i="40" s="1"/>
  <c r="P5" i="13" s="1"/>
  <c r="H5" i="33"/>
  <c r="J5" i="33"/>
  <c r="H4" i="12"/>
  <c r="J7" i="33" l="1"/>
  <c r="J15" i="33"/>
  <c r="J23" i="33"/>
  <c r="J31" i="33"/>
  <c r="J43" i="33"/>
  <c r="J11" i="33"/>
  <c r="J19" i="33"/>
  <c r="J27" i="33"/>
  <c r="J38" i="33"/>
  <c r="J67" i="33"/>
  <c r="J71" i="33"/>
  <c r="J75" i="33"/>
  <c r="J79" i="33"/>
  <c r="J96" i="33"/>
  <c r="J102" i="33"/>
  <c r="J106" i="33"/>
  <c r="J110" i="33"/>
  <c r="J114" i="33"/>
  <c r="J118" i="33"/>
  <c r="J122" i="33"/>
  <c r="J126" i="33"/>
  <c r="J130" i="33"/>
  <c r="J134" i="33"/>
  <c r="J141" i="33"/>
  <c r="J149" i="33"/>
  <c r="J157" i="33"/>
  <c r="J165" i="33"/>
  <c r="J167" i="33"/>
  <c r="J142" i="33"/>
  <c r="J150" i="33"/>
  <c r="J158" i="33"/>
  <c r="J166" i="33"/>
  <c r="J145" i="33"/>
  <c r="J153" i="33"/>
  <c r="J161" i="33"/>
  <c r="J175" i="33"/>
  <c r="J183" i="33"/>
  <c r="J191" i="33"/>
  <c r="J199" i="33"/>
  <c r="J207" i="33"/>
  <c r="J215" i="33"/>
  <c r="J223" i="33"/>
  <c r="J225" i="33"/>
  <c r="J176" i="33"/>
  <c r="J184" i="33"/>
  <c r="J192" i="33"/>
  <c r="J200" i="33"/>
  <c r="J208" i="33"/>
  <c r="J216" i="33"/>
  <c r="J224" i="33"/>
  <c r="J226" i="33"/>
  <c r="J230" i="33"/>
  <c r="J234" i="33"/>
  <c r="J238" i="33"/>
  <c r="J242" i="33"/>
  <c r="J246" i="33"/>
  <c r="J250" i="33"/>
  <c r="J254" i="33"/>
  <c r="J168" i="33"/>
  <c r="J171" i="33"/>
  <c r="J179" i="33"/>
  <c r="J187" i="33"/>
  <c r="J195" i="33"/>
  <c r="J203" i="33"/>
  <c r="J211" i="33"/>
  <c r="J219" i="33"/>
  <c r="J266" i="33"/>
  <c r="J274" i="33"/>
  <c r="J258" i="33"/>
  <c r="J269" i="33"/>
  <c r="J309" i="33"/>
  <c r="J313" i="33"/>
  <c r="J262" i="33"/>
  <c r="J265" i="33"/>
  <c r="J273" i="33"/>
  <c r="J300" i="33"/>
  <c r="J267" i="33"/>
  <c r="J312" i="33"/>
  <c r="J308" i="33"/>
  <c r="J277" i="33"/>
  <c r="J303" i="33"/>
  <c r="J298" i="33"/>
  <c r="J253" i="33"/>
  <c r="J236" i="33"/>
  <c r="J259" i="33"/>
  <c r="J305" i="33"/>
  <c r="J289" i="33"/>
  <c r="J261" i="33"/>
  <c r="J257" i="33"/>
  <c r="J240" i="33"/>
  <c r="J263" i="33"/>
  <c r="J209" i="33"/>
  <c r="J196" i="33"/>
  <c r="J177" i="33"/>
  <c r="J169" i="33"/>
  <c r="J251" i="33"/>
  <c r="J235" i="33"/>
  <c r="J159" i="33"/>
  <c r="J283" i="33"/>
  <c r="J295" i="33"/>
  <c r="J290" i="33"/>
  <c r="J291" i="33"/>
  <c r="J286" i="33"/>
  <c r="J288" i="33"/>
  <c r="J245" i="33"/>
  <c r="J228" i="33"/>
  <c r="J301" i="33"/>
  <c r="J285" i="33"/>
  <c r="J249" i="33"/>
  <c r="J232" i="33"/>
  <c r="J279" i="33"/>
  <c r="J217" i="33"/>
  <c r="J204" i="33"/>
  <c r="J185" i="33"/>
  <c r="J172" i="33"/>
  <c r="J255" i="33"/>
  <c r="J239" i="33"/>
  <c r="J154" i="33"/>
  <c r="J299" i="33"/>
  <c r="J294" i="33"/>
  <c r="J311" i="33"/>
  <c r="J306" i="33"/>
  <c r="J280" i="33"/>
  <c r="J278" i="33"/>
  <c r="J275" i="33"/>
  <c r="J307" i="33"/>
  <c r="J302" i="33"/>
  <c r="J304" i="33"/>
  <c r="J252" i="33"/>
  <c r="J237" i="33"/>
  <c r="J297" i="33"/>
  <c r="J281" i="33"/>
  <c r="J268" i="33"/>
  <c r="J256" i="33"/>
  <c r="J241" i="33"/>
  <c r="J212" i="33"/>
  <c r="J193" i="33"/>
  <c r="J180" i="33"/>
  <c r="J243" i="33"/>
  <c r="J227" i="33"/>
  <c r="J162" i="33"/>
  <c r="J143" i="33"/>
  <c r="J120" i="33"/>
  <c r="J105" i="33"/>
  <c r="J124" i="33"/>
  <c r="J109" i="33"/>
  <c r="J78" i="33"/>
  <c r="J123" i="33"/>
  <c r="J107" i="33"/>
  <c r="J73" i="33"/>
  <c r="J66" i="33"/>
  <c r="J95" i="33"/>
  <c r="J88" i="33"/>
  <c r="J91" i="33"/>
  <c r="J83" i="33"/>
  <c r="J44" i="33"/>
  <c r="J39" i="33"/>
  <c r="J62" i="33"/>
  <c r="J48" i="33"/>
  <c r="J64" i="33"/>
  <c r="J60" i="33"/>
  <c r="J49" i="33"/>
  <c r="J46" i="33"/>
  <c r="J28" i="33"/>
  <c r="J35" i="33"/>
  <c r="J8" i="33"/>
  <c r="J51" i="33"/>
  <c r="J146" i="33"/>
  <c r="J310" i="33"/>
  <c r="J284" i="33"/>
  <c r="J296" i="33"/>
  <c r="J292" i="33"/>
  <c r="J287" i="33"/>
  <c r="J282" i="33"/>
  <c r="J244" i="33"/>
  <c r="J229" i="33"/>
  <c r="J270" i="33"/>
  <c r="J293" i="33"/>
  <c r="J248" i="33"/>
  <c r="J233" i="33"/>
  <c r="J271" i="33"/>
  <c r="J220" i="33"/>
  <c r="J201" i="33"/>
  <c r="J188" i="33"/>
  <c r="J247" i="33"/>
  <c r="J231" i="33"/>
  <c r="J221" i="33"/>
  <c r="J213" i="33"/>
  <c r="J205" i="33"/>
  <c r="J197" i="33"/>
  <c r="J189" i="33"/>
  <c r="J181" i="33"/>
  <c r="J173" i="33"/>
  <c r="J151" i="33"/>
  <c r="J138" i="33"/>
  <c r="J129" i="33"/>
  <c r="J112" i="33"/>
  <c r="J163" i="33"/>
  <c r="J155" i="33"/>
  <c r="J147" i="33"/>
  <c r="J139" i="33"/>
  <c r="J133" i="33"/>
  <c r="J116" i="33"/>
  <c r="J101" i="33"/>
  <c r="J94" i="33"/>
  <c r="J90" i="33"/>
  <c r="J77" i="33"/>
  <c r="J70" i="33"/>
  <c r="J127" i="33"/>
  <c r="J111" i="33"/>
  <c r="J86" i="33"/>
  <c r="J92" i="33"/>
  <c r="J52" i="33"/>
  <c r="J42" i="33"/>
  <c r="J40" i="33"/>
  <c r="J65" i="33"/>
  <c r="J53" i="33"/>
  <c r="J50" i="33"/>
  <c r="J76" i="33"/>
  <c r="J68" i="33"/>
  <c r="J20" i="33"/>
  <c r="J22" i="33"/>
  <c r="J6" i="33"/>
  <c r="J32" i="33"/>
  <c r="J47" i="33"/>
  <c r="J37" i="33"/>
  <c r="J34" i="33"/>
  <c r="J26" i="33"/>
  <c r="J18" i="33"/>
  <c r="J10" i="33"/>
  <c r="J104" i="33"/>
  <c r="J100" i="33"/>
  <c r="J97" i="33"/>
  <c r="J84" i="33"/>
  <c r="J135" i="33"/>
  <c r="J103" i="33"/>
  <c r="J93" i="33"/>
  <c r="J30" i="33"/>
  <c r="J128" i="33"/>
  <c r="J113" i="33"/>
  <c r="J137" i="33"/>
  <c r="J108" i="33"/>
  <c r="J89" i="33"/>
  <c r="J69" i="33"/>
  <c r="J131" i="33"/>
  <c r="J57" i="33"/>
  <c r="J54" i="33"/>
  <c r="J36" i="33"/>
  <c r="J59" i="33"/>
  <c r="J136" i="33"/>
  <c r="J121" i="33"/>
  <c r="J132" i="33"/>
  <c r="J117" i="33"/>
  <c r="J99" i="33"/>
  <c r="J119" i="33"/>
  <c r="J81" i="33"/>
  <c r="J74" i="33"/>
  <c r="J63" i="33"/>
  <c r="J56" i="33"/>
  <c r="J45" i="33"/>
  <c r="J80" i="33"/>
  <c r="J16" i="33"/>
  <c r="J55" i="33"/>
  <c r="J72" i="33"/>
  <c r="J125" i="33"/>
  <c r="J115" i="33"/>
  <c r="J85" i="33"/>
  <c r="J82" i="33"/>
  <c r="J87" i="33"/>
  <c r="J61" i="33"/>
  <c r="J58" i="33"/>
  <c r="J12" i="33"/>
  <c r="J14" i="33"/>
  <c r="J24" i="33"/>
  <c r="J144" i="33"/>
  <c r="J160" i="33"/>
  <c r="J198" i="33"/>
  <c r="J156" i="33"/>
  <c r="J186" i="33"/>
  <c r="J218" i="33"/>
  <c r="J170" i="33"/>
  <c r="J174" i="33"/>
  <c r="J206" i="33"/>
  <c r="J194" i="33"/>
  <c r="J272" i="33"/>
  <c r="J33" i="33"/>
  <c r="J98" i="33"/>
  <c r="J9" i="33"/>
  <c r="J21" i="33"/>
  <c r="J164" i="33"/>
  <c r="J148" i="33"/>
  <c r="J182" i="33"/>
  <c r="J214" i="33"/>
  <c r="J140" i="33"/>
  <c r="J152" i="33"/>
  <c r="J202" i="33"/>
  <c r="J190" i="33"/>
  <c r="J222" i="33"/>
  <c r="J260" i="33"/>
  <c r="J178" i="33"/>
  <c r="J210" i="33"/>
  <c r="J264" i="33"/>
  <c r="J41" i="33"/>
  <c r="J17" i="33"/>
  <c r="J25" i="33"/>
  <c r="J13" i="33"/>
  <c r="J29" i="33"/>
  <c r="J276" i="33"/>
  <c r="I7" i="33"/>
  <c r="I11" i="33"/>
  <c r="I15" i="33"/>
  <c r="I19" i="33"/>
  <c r="I23" i="33"/>
  <c r="I27" i="33"/>
  <c r="I31" i="33"/>
  <c r="I8" i="33"/>
  <c r="I36" i="33"/>
  <c r="I47" i="33"/>
  <c r="I51" i="33"/>
  <c r="I55" i="33"/>
  <c r="I59" i="33"/>
  <c r="I67" i="33"/>
  <c r="I71" i="33"/>
  <c r="I75" i="33"/>
  <c r="I79" i="33"/>
  <c r="I83" i="33"/>
  <c r="I87" i="33"/>
  <c r="I91" i="33"/>
  <c r="I68" i="33"/>
  <c r="I72" i="33"/>
  <c r="I76" i="33"/>
  <c r="I80" i="33"/>
  <c r="I102" i="33"/>
  <c r="I106" i="33"/>
  <c r="I110" i="33"/>
  <c r="I114" i="33"/>
  <c r="I118" i="33"/>
  <c r="I122" i="33"/>
  <c r="I126" i="33"/>
  <c r="I130" i="33"/>
  <c r="I134" i="33"/>
  <c r="I103" i="33"/>
  <c r="I107" i="33"/>
  <c r="I111" i="33"/>
  <c r="I115" i="33"/>
  <c r="I119" i="33"/>
  <c r="I123" i="33"/>
  <c r="I127" i="33"/>
  <c r="I131" i="33"/>
  <c r="I135" i="33"/>
  <c r="I142" i="33"/>
  <c r="I150" i="33"/>
  <c r="I158" i="33"/>
  <c r="I166" i="33"/>
  <c r="I168" i="33"/>
  <c r="I143" i="33"/>
  <c r="I151" i="33"/>
  <c r="I159" i="33"/>
  <c r="I167" i="33"/>
  <c r="I169" i="33"/>
  <c r="I176" i="33"/>
  <c r="I184" i="33"/>
  <c r="I192" i="33"/>
  <c r="I200" i="33"/>
  <c r="I208" i="33"/>
  <c r="I216" i="33"/>
  <c r="I224" i="33"/>
  <c r="I226" i="33"/>
  <c r="I230" i="33"/>
  <c r="I234" i="33"/>
  <c r="I238" i="33"/>
  <c r="I242" i="33"/>
  <c r="I246" i="33"/>
  <c r="I250" i="33"/>
  <c r="I254" i="33"/>
  <c r="I258" i="33"/>
  <c r="I262" i="33"/>
  <c r="I177" i="33"/>
  <c r="I185" i="33"/>
  <c r="I193" i="33"/>
  <c r="I201" i="33"/>
  <c r="I209" i="33"/>
  <c r="I217" i="33"/>
  <c r="I227" i="33"/>
  <c r="I231" i="33"/>
  <c r="I235" i="33"/>
  <c r="I239" i="33"/>
  <c r="I243" i="33"/>
  <c r="I247" i="33"/>
  <c r="I251" i="33"/>
  <c r="I255" i="33"/>
  <c r="I225" i="33"/>
  <c r="I281" i="33"/>
  <c r="I285" i="33"/>
  <c r="I289" i="33"/>
  <c r="I293" i="33"/>
  <c r="I297" i="33"/>
  <c r="I301" i="33"/>
  <c r="I305" i="33"/>
  <c r="I309" i="33"/>
  <c r="I313" i="33"/>
  <c r="I270" i="33"/>
  <c r="I259" i="33"/>
  <c r="I300" i="33"/>
  <c r="I299" i="33"/>
  <c r="I294" i="33"/>
  <c r="I312" i="33"/>
  <c r="I311" i="33"/>
  <c r="I306" i="33"/>
  <c r="I275" i="33"/>
  <c r="I308" i="33"/>
  <c r="I307" i="33"/>
  <c r="I302" i="33"/>
  <c r="I279" i="33"/>
  <c r="I253" i="33"/>
  <c r="I252" i="33"/>
  <c r="I220" i="33"/>
  <c r="I204" i="33"/>
  <c r="I188" i="33"/>
  <c r="I172" i="33"/>
  <c r="I268" i="33"/>
  <c r="I257" i="33"/>
  <c r="I256" i="33"/>
  <c r="I173" i="33"/>
  <c r="I162" i="33"/>
  <c r="I146" i="33"/>
  <c r="I223" i="33"/>
  <c r="I207" i="33"/>
  <c r="I191" i="33"/>
  <c r="I175" i="33"/>
  <c r="I155" i="33"/>
  <c r="I310" i="33"/>
  <c r="I278" i="33"/>
  <c r="I288" i="33"/>
  <c r="I287" i="33"/>
  <c r="I282" i="33"/>
  <c r="I274" i="33"/>
  <c r="I266" i="33"/>
  <c r="I245" i="33"/>
  <c r="I244" i="33"/>
  <c r="I263" i="33"/>
  <c r="I249" i="33"/>
  <c r="I248" i="33"/>
  <c r="I213" i="33"/>
  <c r="I181" i="33"/>
  <c r="I219" i="33"/>
  <c r="I203" i="33"/>
  <c r="I187" i="33"/>
  <c r="I171" i="33"/>
  <c r="I163" i="33"/>
  <c r="I280" i="33"/>
  <c r="I304" i="33"/>
  <c r="I303" i="33"/>
  <c r="I298" i="33"/>
  <c r="I237" i="33"/>
  <c r="I236" i="33"/>
  <c r="I212" i="33"/>
  <c r="I196" i="33"/>
  <c r="I180" i="33"/>
  <c r="I271" i="33"/>
  <c r="I261" i="33"/>
  <c r="I241" i="33"/>
  <c r="I240" i="33"/>
  <c r="I221" i="33"/>
  <c r="I189" i="33"/>
  <c r="I154" i="33"/>
  <c r="I138" i="33"/>
  <c r="I215" i="33"/>
  <c r="I199" i="33"/>
  <c r="I183" i="33"/>
  <c r="I139" i="33"/>
  <c r="I137" i="33"/>
  <c r="I136" i="33"/>
  <c r="I105" i="33"/>
  <c r="I104" i="33"/>
  <c r="I109" i="33"/>
  <c r="I108" i="33"/>
  <c r="I89" i="33"/>
  <c r="I69" i="33"/>
  <c r="I85" i="33"/>
  <c r="I82" i="33"/>
  <c r="I88" i="33"/>
  <c r="I61" i="33"/>
  <c r="I58" i="33"/>
  <c r="I57" i="33"/>
  <c r="I54" i="33"/>
  <c r="I42" i="33"/>
  <c r="I38" i="33"/>
  <c r="I284" i="33"/>
  <c r="I283" i="33"/>
  <c r="I267" i="33"/>
  <c r="I296" i="33"/>
  <c r="I295" i="33"/>
  <c r="I290" i="33"/>
  <c r="I292" i="33"/>
  <c r="I291" i="33"/>
  <c r="I286" i="33"/>
  <c r="I277" i="33"/>
  <c r="I273" i="33"/>
  <c r="I265" i="33"/>
  <c r="I229" i="33"/>
  <c r="I228" i="33"/>
  <c r="I269" i="33"/>
  <c r="I233" i="33"/>
  <c r="I232" i="33"/>
  <c r="I197" i="33"/>
  <c r="I211" i="33"/>
  <c r="I195" i="33"/>
  <c r="I179" i="33"/>
  <c r="I147" i="33"/>
  <c r="I129" i="33"/>
  <c r="I128" i="33"/>
  <c r="I161" i="33"/>
  <c r="I145" i="33"/>
  <c r="I133" i="33"/>
  <c r="I132" i="33"/>
  <c r="I101" i="33"/>
  <c r="I100" i="33"/>
  <c r="I165" i="33"/>
  <c r="I149" i="33"/>
  <c r="I96" i="33"/>
  <c r="I92" i="33"/>
  <c r="I81" i="33"/>
  <c r="I74" i="33"/>
  <c r="I93" i="33"/>
  <c r="I56" i="33"/>
  <c r="I45" i="33"/>
  <c r="I32" i="33"/>
  <c r="I63" i="33"/>
  <c r="I35" i="33"/>
  <c r="I30" i="33"/>
  <c r="I14" i="33"/>
  <c r="I28" i="33"/>
  <c r="I20" i="33"/>
  <c r="I12" i="33"/>
  <c r="I205" i="33"/>
  <c r="I121" i="33"/>
  <c r="I95" i="33"/>
  <c r="I117" i="33"/>
  <c r="I86" i="33"/>
  <c r="I39" i="33"/>
  <c r="I112" i="33"/>
  <c r="I125" i="33"/>
  <c r="I99" i="33"/>
  <c r="I97" i="33"/>
  <c r="I141" i="33"/>
  <c r="I94" i="33"/>
  <c r="I62" i="33"/>
  <c r="I40" i="33"/>
  <c r="I10" i="33"/>
  <c r="I120" i="33"/>
  <c r="I116" i="33"/>
  <c r="I157" i="33"/>
  <c r="I90" i="33"/>
  <c r="I84" i="33"/>
  <c r="I77" i="33"/>
  <c r="I70" i="33"/>
  <c r="I52" i="33"/>
  <c r="I53" i="33"/>
  <c r="I50" i="33"/>
  <c r="I65" i="33"/>
  <c r="I37" i="33"/>
  <c r="I6" i="33"/>
  <c r="I34" i="33"/>
  <c r="I113" i="33"/>
  <c r="I153" i="33"/>
  <c r="I124" i="33"/>
  <c r="I78" i="33"/>
  <c r="I73" i="33"/>
  <c r="I66" i="33"/>
  <c r="I44" i="33"/>
  <c r="I64" i="33"/>
  <c r="I48" i="33"/>
  <c r="I24" i="33"/>
  <c r="I60" i="33"/>
  <c r="I49" i="33"/>
  <c r="I46" i="33"/>
  <c r="I22" i="33"/>
  <c r="I43" i="33"/>
  <c r="I26" i="33"/>
  <c r="I16" i="33"/>
  <c r="I18" i="33"/>
  <c r="I164" i="33"/>
  <c r="I33" i="33"/>
  <c r="I148" i="33"/>
  <c r="I98" i="33"/>
  <c r="I9" i="33"/>
  <c r="I182" i="33"/>
  <c r="I214" i="33"/>
  <c r="I21" i="33"/>
  <c r="I140" i="33"/>
  <c r="I152" i="33"/>
  <c r="I202" i="33"/>
  <c r="I190" i="33"/>
  <c r="I222" i="33"/>
  <c r="I260" i="33"/>
  <c r="I178" i="33"/>
  <c r="I210" i="33"/>
  <c r="I264" i="33"/>
  <c r="I144" i="33"/>
  <c r="I41" i="33"/>
  <c r="I17" i="33"/>
  <c r="I160" i="33"/>
  <c r="I25" i="33"/>
  <c r="I198" i="33"/>
  <c r="I13" i="33"/>
  <c r="I29" i="33"/>
  <c r="I156" i="33"/>
  <c r="I186" i="33"/>
  <c r="I218" i="33"/>
  <c r="I170" i="33"/>
  <c r="I174" i="33"/>
  <c r="I206" i="33"/>
  <c r="I194" i="33"/>
  <c r="I276" i="33"/>
  <c r="I272" i="33"/>
  <c r="H37" i="33"/>
  <c r="H43" i="33"/>
  <c r="H64" i="33"/>
  <c r="H96" i="33"/>
  <c r="H143" i="33"/>
  <c r="H151" i="33"/>
  <c r="H159" i="33"/>
  <c r="H177" i="33"/>
  <c r="H185" i="33"/>
  <c r="H193" i="33"/>
  <c r="H201" i="33"/>
  <c r="H209" i="33"/>
  <c r="H217" i="33"/>
  <c r="H310" i="33"/>
  <c r="H267" i="33"/>
  <c r="H278" i="33"/>
  <c r="H288" i="33"/>
  <c r="H287" i="33"/>
  <c r="H282" i="33"/>
  <c r="H309" i="33"/>
  <c r="H293" i="33"/>
  <c r="H245" i="33"/>
  <c r="H244" i="33"/>
  <c r="H247" i="33"/>
  <c r="H249" i="33"/>
  <c r="H248" i="33"/>
  <c r="H251" i="33"/>
  <c r="H221" i="33"/>
  <c r="H189" i="33"/>
  <c r="H258" i="33"/>
  <c r="H242" i="33"/>
  <c r="H226" i="33"/>
  <c r="H219" i="33"/>
  <c r="H203" i="33"/>
  <c r="H187" i="33"/>
  <c r="H171" i="33"/>
  <c r="H147" i="33"/>
  <c r="H220" i="33"/>
  <c r="H204" i="33"/>
  <c r="H188" i="33"/>
  <c r="H172" i="33"/>
  <c r="H280" i="33"/>
  <c r="H277" i="33"/>
  <c r="H304" i="33"/>
  <c r="H303" i="33"/>
  <c r="H298" i="33"/>
  <c r="H305" i="33"/>
  <c r="H289" i="33"/>
  <c r="H237" i="33"/>
  <c r="H236" i="33"/>
  <c r="H239" i="33"/>
  <c r="H274" i="33"/>
  <c r="H266" i="33"/>
  <c r="H261" i="33"/>
  <c r="H241" i="33"/>
  <c r="H240" i="33"/>
  <c r="H243" i="33"/>
  <c r="H213" i="33"/>
  <c r="H181" i="33"/>
  <c r="H246" i="33"/>
  <c r="H230" i="33"/>
  <c r="H216" i="33"/>
  <c r="H200" i="33"/>
  <c r="H184" i="33"/>
  <c r="H139" i="33"/>
  <c r="H215" i="33"/>
  <c r="H199" i="33"/>
  <c r="H183" i="33"/>
  <c r="H284" i="33"/>
  <c r="H283" i="33"/>
  <c r="H296" i="33"/>
  <c r="H295" i="33"/>
  <c r="H290" i="33"/>
  <c r="H275" i="33"/>
  <c r="H263" i="33"/>
  <c r="H292" i="33"/>
  <c r="H291" i="33"/>
  <c r="H286" i="33"/>
  <c r="H301" i="33"/>
  <c r="H285" i="33"/>
  <c r="H273" i="33"/>
  <c r="H265" i="33"/>
  <c r="H229" i="33"/>
  <c r="H228" i="33"/>
  <c r="H259" i="33"/>
  <c r="H231" i="33"/>
  <c r="H269" i="33"/>
  <c r="H233" i="33"/>
  <c r="H232" i="33"/>
  <c r="H268" i="33"/>
  <c r="H235" i="33"/>
  <c r="H205" i="33"/>
  <c r="H173" i="33"/>
  <c r="H250" i="33"/>
  <c r="H234" i="33"/>
  <c r="H169" i="33"/>
  <c r="H211" i="33"/>
  <c r="H195" i="33"/>
  <c r="H179" i="33"/>
  <c r="H163" i="33"/>
  <c r="H212" i="33"/>
  <c r="H196" i="33"/>
  <c r="H180" i="33"/>
  <c r="H167" i="33"/>
  <c r="H129" i="33"/>
  <c r="H128" i="33"/>
  <c r="H161" i="33"/>
  <c r="H145" i="33"/>
  <c r="H123" i="33"/>
  <c r="H133" i="33"/>
  <c r="H132" i="33"/>
  <c r="H101" i="33"/>
  <c r="H100" i="33"/>
  <c r="H99" i="33"/>
  <c r="H97" i="33"/>
  <c r="H165" i="33"/>
  <c r="H149" i="33"/>
  <c r="H135" i="33"/>
  <c r="H103" i="33"/>
  <c r="H134" i="33"/>
  <c r="H118" i="33"/>
  <c r="H102" i="33"/>
  <c r="H77" i="33"/>
  <c r="H92" i="33"/>
  <c r="H74" i="33"/>
  <c r="H45" i="33"/>
  <c r="H72" i="33"/>
  <c r="H52" i="33"/>
  <c r="H83" i="33"/>
  <c r="H67" i="33"/>
  <c r="H35" i="33"/>
  <c r="H12" i="33"/>
  <c r="H55" i="33"/>
  <c r="H36" i="33"/>
  <c r="H31" i="33"/>
  <c r="H30" i="33"/>
  <c r="H15" i="33"/>
  <c r="H14" i="33"/>
  <c r="H24" i="33"/>
  <c r="H300" i="33"/>
  <c r="H299" i="33"/>
  <c r="H294" i="33"/>
  <c r="H312" i="33"/>
  <c r="H311" i="33"/>
  <c r="H306" i="33"/>
  <c r="H308" i="33"/>
  <c r="H307" i="33"/>
  <c r="H302" i="33"/>
  <c r="H271" i="33"/>
  <c r="H313" i="33"/>
  <c r="H297" i="33"/>
  <c r="H281" i="33"/>
  <c r="H270" i="33"/>
  <c r="H253" i="33"/>
  <c r="H252" i="33"/>
  <c r="H279" i="33"/>
  <c r="H255" i="33"/>
  <c r="H225" i="33"/>
  <c r="H257" i="33"/>
  <c r="H256" i="33"/>
  <c r="H227" i="33"/>
  <c r="H197" i="33"/>
  <c r="H262" i="33"/>
  <c r="H254" i="33"/>
  <c r="H238" i="33"/>
  <c r="H224" i="33"/>
  <c r="H208" i="33"/>
  <c r="H192" i="33"/>
  <c r="H176" i="33"/>
  <c r="H155" i="33"/>
  <c r="H223" i="33"/>
  <c r="H207" i="33"/>
  <c r="H191" i="33"/>
  <c r="H175" i="33"/>
  <c r="H168" i="33"/>
  <c r="H121" i="33"/>
  <c r="H120" i="33"/>
  <c r="H158" i="33"/>
  <c r="H142" i="33"/>
  <c r="H115" i="33"/>
  <c r="H125" i="33"/>
  <c r="H124" i="33"/>
  <c r="H162" i="33"/>
  <c r="H146" i="33"/>
  <c r="H127" i="33"/>
  <c r="H122" i="33"/>
  <c r="H106" i="33"/>
  <c r="H89" i="33"/>
  <c r="H78" i="33"/>
  <c r="H69" i="33"/>
  <c r="H85" i="33"/>
  <c r="H66" i="33"/>
  <c r="H94" i="33"/>
  <c r="H62" i="33"/>
  <c r="H68" i="33"/>
  <c r="H40" i="33"/>
  <c r="H71" i="33"/>
  <c r="H49" i="33"/>
  <c r="H46" i="33"/>
  <c r="H51" i="33"/>
  <c r="H16" i="33"/>
  <c r="H112" i="33"/>
  <c r="H108" i="33"/>
  <c r="H141" i="33"/>
  <c r="H138" i="33"/>
  <c r="H88" i="33"/>
  <c r="H57" i="33"/>
  <c r="H54" i="33"/>
  <c r="H87" i="33"/>
  <c r="H26" i="33"/>
  <c r="H136" i="33"/>
  <c r="H105" i="33"/>
  <c r="H116" i="33"/>
  <c r="H157" i="33"/>
  <c r="H154" i="33"/>
  <c r="H119" i="33"/>
  <c r="H110" i="33"/>
  <c r="H90" i="33"/>
  <c r="H84" i="33"/>
  <c r="H70" i="33"/>
  <c r="H93" i="33"/>
  <c r="H80" i="33"/>
  <c r="H42" i="33"/>
  <c r="H53" i="33"/>
  <c r="H50" i="33"/>
  <c r="H38" i="33"/>
  <c r="H28" i="33"/>
  <c r="H47" i="33"/>
  <c r="H7" i="33"/>
  <c r="H18" i="33"/>
  <c r="H113" i="33"/>
  <c r="H153" i="33"/>
  <c r="H150" i="33"/>
  <c r="H131" i="33"/>
  <c r="H109" i="33"/>
  <c r="H111" i="33"/>
  <c r="H130" i="33"/>
  <c r="H82" i="33"/>
  <c r="H73" i="33"/>
  <c r="H61" i="33"/>
  <c r="H44" i="33"/>
  <c r="H76" i="33"/>
  <c r="H58" i="33"/>
  <c r="H79" i="33"/>
  <c r="H48" i="33"/>
  <c r="H60" i="33"/>
  <c r="H23" i="33"/>
  <c r="H27" i="33"/>
  <c r="H10" i="33"/>
  <c r="H20" i="33"/>
  <c r="H32" i="33"/>
  <c r="H11" i="33"/>
  <c r="H137" i="33"/>
  <c r="H104" i="33"/>
  <c r="H166" i="33"/>
  <c r="H107" i="33"/>
  <c r="H117" i="33"/>
  <c r="H126" i="33"/>
  <c r="H86" i="33"/>
  <c r="H81" i="33"/>
  <c r="H95" i="33"/>
  <c r="H63" i="33"/>
  <c r="H56" i="33"/>
  <c r="H39" i="33"/>
  <c r="H65" i="33"/>
  <c r="H91" i="33"/>
  <c r="H75" i="33"/>
  <c r="H6" i="33"/>
  <c r="H8" i="33"/>
  <c r="H34" i="33"/>
  <c r="H19" i="33"/>
  <c r="H114" i="33"/>
  <c r="H59" i="33"/>
  <c r="H22" i="33"/>
  <c r="H98" i="33"/>
  <c r="H152" i="33"/>
  <c r="H202" i="33"/>
  <c r="H178" i="33"/>
  <c r="H210" i="33"/>
  <c r="H264" i="33"/>
  <c r="H164" i="33"/>
  <c r="H33" i="33"/>
  <c r="H148" i="33"/>
  <c r="H9" i="33"/>
  <c r="H182" i="33"/>
  <c r="H214" i="33"/>
  <c r="H21" i="33"/>
  <c r="H140" i="33"/>
  <c r="H170" i="33"/>
  <c r="H190" i="33"/>
  <c r="H222" i="33"/>
  <c r="H144" i="33"/>
  <c r="H41" i="33"/>
  <c r="H160" i="33"/>
  <c r="H186" i="33"/>
  <c r="H218" i="33"/>
  <c r="H194" i="33"/>
  <c r="H276" i="33"/>
  <c r="H272" i="33"/>
  <c r="H17" i="33"/>
  <c r="H25" i="33"/>
  <c r="H198" i="33"/>
  <c r="H13" i="33"/>
  <c r="H29" i="33"/>
  <c r="H156" i="33"/>
  <c r="H174" i="33"/>
  <c r="H206" i="33"/>
  <c r="H260" i="33"/>
  <c r="G10" i="33"/>
  <c r="L10" i="33" s="1"/>
  <c r="M10" i="33" s="1"/>
  <c r="G18" i="33"/>
  <c r="G26" i="33"/>
  <c r="L26" i="33" s="1"/>
  <c r="M26" i="33" s="1"/>
  <c r="G34" i="33"/>
  <c r="G65" i="33"/>
  <c r="L65" i="33" s="1"/>
  <c r="M65" i="33" s="1"/>
  <c r="G137" i="33"/>
  <c r="G145" i="33"/>
  <c r="G153" i="33"/>
  <c r="G161" i="33"/>
  <c r="G167" i="33"/>
  <c r="G171" i="33"/>
  <c r="L171" i="33" s="1"/>
  <c r="M171" i="33" s="1"/>
  <c r="G179" i="33"/>
  <c r="G187" i="33"/>
  <c r="G195" i="33"/>
  <c r="G203" i="33"/>
  <c r="G211" i="33"/>
  <c r="G219" i="33"/>
  <c r="G225" i="33"/>
  <c r="G269" i="33"/>
  <c r="L269" i="33" s="1"/>
  <c r="M269" i="33" s="1"/>
  <c r="G310" i="33"/>
  <c r="G284" i="33"/>
  <c r="L284" i="33" s="1"/>
  <c r="M284" i="33" s="1"/>
  <c r="G283" i="33"/>
  <c r="G296" i="33"/>
  <c r="L296" i="33" s="1"/>
  <c r="M296" i="33" s="1"/>
  <c r="G295" i="33"/>
  <c r="G292" i="33"/>
  <c r="G291" i="33"/>
  <c r="G282" i="33"/>
  <c r="G242" i="33"/>
  <c r="G229" i="33"/>
  <c r="L229" i="33" s="1"/>
  <c r="M229" i="33" s="1"/>
  <c r="G228" i="33"/>
  <c r="G309" i="33"/>
  <c r="L309" i="33" s="1"/>
  <c r="M309" i="33" s="1"/>
  <c r="G301" i="33"/>
  <c r="G293" i="33"/>
  <c r="L293" i="33" s="1"/>
  <c r="M293" i="33" s="1"/>
  <c r="G285" i="33"/>
  <c r="G265" i="33"/>
  <c r="L265" i="33" s="1"/>
  <c r="M265" i="33" s="1"/>
  <c r="G246" i="33"/>
  <c r="G233" i="33"/>
  <c r="G232" i="33"/>
  <c r="G271" i="33"/>
  <c r="G247" i="33"/>
  <c r="G231" i="33"/>
  <c r="G215" i="33"/>
  <c r="G183" i="33"/>
  <c r="G221" i="33"/>
  <c r="G213" i="33"/>
  <c r="L213" i="33" s="1"/>
  <c r="M213" i="33" s="1"/>
  <c r="G205" i="33"/>
  <c r="G197" i="33"/>
  <c r="L197" i="33" s="1"/>
  <c r="M197" i="33" s="1"/>
  <c r="G189" i="33"/>
  <c r="G181" i="33"/>
  <c r="L181" i="33" s="1"/>
  <c r="M181" i="33" s="1"/>
  <c r="G173" i="33"/>
  <c r="G212" i="33"/>
  <c r="L212" i="33" s="1"/>
  <c r="M212" i="33" s="1"/>
  <c r="G196" i="33"/>
  <c r="G180" i="33"/>
  <c r="L180" i="33" s="1"/>
  <c r="M180" i="33" s="1"/>
  <c r="G165" i="33"/>
  <c r="G151" i="33"/>
  <c r="G300" i="33"/>
  <c r="G299" i="33"/>
  <c r="G267" i="33"/>
  <c r="G312" i="33"/>
  <c r="G311" i="33"/>
  <c r="G268" i="33"/>
  <c r="G308" i="33"/>
  <c r="G307" i="33"/>
  <c r="L307" i="33" s="1"/>
  <c r="M307" i="33" s="1"/>
  <c r="G298" i="33"/>
  <c r="G270" i="33"/>
  <c r="G253" i="33"/>
  <c r="G252" i="33"/>
  <c r="G234" i="33"/>
  <c r="G273" i="33"/>
  <c r="G259" i="33"/>
  <c r="G257" i="33"/>
  <c r="G256" i="33"/>
  <c r="G238" i="33"/>
  <c r="L238" i="33" s="1"/>
  <c r="M238" i="33" s="1"/>
  <c r="G263" i="33"/>
  <c r="G251" i="33"/>
  <c r="L251" i="33" s="1"/>
  <c r="M251" i="33" s="1"/>
  <c r="G235" i="33"/>
  <c r="G223" i="33"/>
  <c r="L223" i="33" s="1"/>
  <c r="M223" i="33" s="1"/>
  <c r="G209" i="33"/>
  <c r="G191" i="33"/>
  <c r="L191" i="33" s="1"/>
  <c r="M191" i="33" s="1"/>
  <c r="G177" i="33"/>
  <c r="G169" i="33"/>
  <c r="L169" i="33" s="1"/>
  <c r="M169" i="33" s="1"/>
  <c r="G224" i="33"/>
  <c r="G208" i="33"/>
  <c r="L208" i="33" s="1"/>
  <c r="M208" i="33" s="1"/>
  <c r="G192" i="33"/>
  <c r="G176" i="33"/>
  <c r="L176" i="33" s="1"/>
  <c r="M176" i="33" s="1"/>
  <c r="G159" i="33"/>
  <c r="G141" i="33"/>
  <c r="G279" i="33"/>
  <c r="G261" i="33"/>
  <c r="G290" i="33"/>
  <c r="G286" i="33"/>
  <c r="G277" i="33"/>
  <c r="G288" i="33"/>
  <c r="L288" i="33" s="1"/>
  <c r="M288" i="33" s="1"/>
  <c r="G287" i="33"/>
  <c r="G258" i="33"/>
  <c r="G245" i="33"/>
  <c r="G244" i="33"/>
  <c r="G226" i="33"/>
  <c r="G313" i="33"/>
  <c r="L313" i="33" s="1"/>
  <c r="M313" i="33" s="1"/>
  <c r="G305" i="33"/>
  <c r="G297" i="33"/>
  <c r="L297" i="33" s="1"/>
  <c r="M297" i="33" s="1"/>
  <c r="G289" i="33"/>
  <c r="G281" i="33"/>
  <c r="L281" i="33" s="1"/>
  <c r="M281" i="33" s="1"/>
  <c r="G262" i="33"/>
  <c r="G249" i="33"/>
  <c r="L249" i="33" s="1"/>
  <c r="M249" i="33" s="1"/>
  <c r="G248" i="33"/>
  <c r="G230" i="33"/>
  <c r="L230" i="33" s="1"/>
  <c r="M230" i="33" s="1"/>
  <c r="G255" i="33"/>
  <c r="G239" i="33"/>
  <c r="G217" i="33"/>
  <c r="G199" i="33"/>
  <c r="G185" i="33"/>
  <c r="G168" i="33"/>
  <c r="L168" i="33" s="1"/>
  <c r="M168" i="33" s="1"/>
  <c r="G220" i="33"/>
  <c r="G204" i="33"/>
  <c r="L204" i="33" s="1"/>
  <c r="M204" i="33" s="1"/>
  <c r="G188" i="33"/>
  <c r="G172" i="33"/>
  <c r="L172" i="33" s="1"/>
  <c r="M172" i="33" s="1"/>
  <c r="G149" i="33"/>
  <c r="G126" i="33"/>
  <c r="G113" i="33"/>
  <c r="G112" i="33"/>
  <c r="L112" i="33" s="1"/>
  <c r="M112" i="33" s="1"/>
  <c r="G130" i="33"/>
  <c r="G117" i="33"/>
  <c r="G116" i="33"/>
  <c r="G123" i="33"/>
  <c r="G107" i="33"/>
  <c r="G84" i="33"/>
  <c r="L84" i="33" s="1"/>
  <c r="M84" i="33" s="1"/>
  <c r="G83" i="33"/>
  <c r="G81" i="33"/>
  <c r="L81" i="33" s="1"/>
  <c r="M81" i="33" s="1"/>
  <c r="G74" i="33"/>
  <c r="G71" i="33"/>
  <c r="L71" i="33" s="1"/>
  <c r="M71" i="33" s="1"/>
  <c r="G95" i="33"/>
  <c r="G93" i="33"/>
  <c r="G63" i="33"/>
  <c r="G56" i="33"/>
  <c r="G45" i="33"/>
  <c r="G39" i="33"/>
  <c r="G40" i="33"/>
  <c r="G72" i="33"/>
  <c r="G50" i="33"/>
  <c r="G28" i="33"/>
  <c r="G59" i="33"/>
  <c r="G51" i="33"/>
  <c r="L51" i="33" s="1"/>
  <c r="M51" i="33" s="1"/>
  <c r="G8" i="33"/>
  <c r="G201" i="33"/>
  <c r="L201" i="33" s="1"/>
  <c r="M201" i="33" s="1"/>
  <c r="G294" i="33"/>
  <c r="G306" i="33"/>
  <c r="G280" i="33"/>
  <c r="G278" i="33"/>
  <c r="G275" i="33"/>
  <c r="G302" i="33"/>
  <c r="G304" i="33"/>
  <c r="G303" i="33"/>
  <c r="G250" i="33"/>
  <c r="G237" i="33"/>
  <c r="L237" i="33" s="1"/>
  <c r="M237" i="33" s="1"/>
  <c r="G236" i="33"/>
  <c r="G274" i="33"/>
  <c r="L274" i="33" s="1"/>
  <c r="M274" i="33" s="1"/>
  <c r="G266" i="33"/>
  <c r="G254" i="33"/>
  <c r="G241" i="33"/>
  <c r="G240" i="33"/>
  <c r="G243" i="33"/>
  <c r="G227" i="33"/>
  <c r="G207" i="33"/>
  <c r="G193" i="33"/>
  <c r="L193" i="33" s="1"/>
  <c r="M193" i="33" s="1"/>
  <c r="G175" i="33"/>
  <c r="G216" i="33"/>
  <c r="L216" i="33" s="1"/>
  <c r="M216" i="33" s="1"/>
  <c r="G200" i="33"/>
  <c r="G184" i="33"/>
  <c r="L184" i="33" s="1"/>
  <c r="M184" i="33" s="1"/>
  <c r="G157" i="33"/>
  <c r="G143" i="33"/>
  <c r="G136" i="33"/>
  <c r="G118" i="33"/>
  <c r="L118" i="33" s="1"/>
  <c r="M118" i="33" s="1"/>
  <c r="G105" i="33"/>
  <c r="G104" i="33"/>
  <c r="L104" i="33" s="1"/>
  <c r="M104" i="33" s="1"/>
  <c r="G166" i="33"/>
  <c r="G150" i="33"/>
  <c r="G122" i="33"/>
  <c r="G109" i="33"/>
  <c r="L109" i="33" s="1"/>
  <c r="M109" i="33" s="1"/>
  <c r="G108" i="33"/>
  <c r="G99" i="33"/>
  <c r="G97" i="33"/>
  <c r="G154" i="33"/>
  <c r="L154" i="33" s="1"/>
  <c r="M154" i="33" s="1"/>
  <c r="G138" i="33"/>
  <c r="G127" i="33"/>
  <c r="G111" i="33"/>
  <c r="G78" i="33"/>
  <c r="L78" i="33" s="1"/>
  <c r="M78" i="33" s="1"/>
  <c r="G75" i="33"/>
  <c r="G73" i="33"/>
  <c r="L73" i="33" s="1"/>
  <c r="M73" i="33" s="1"/>
  <c r="G66" i="33"/>
  <c r="G88" i="33"/>
  <c r="L88" i="33" s="1"/>
  <c r="M88" i="33" s="1"/>
  <c r="G87" i="33"/>
  <c r="G44" i="33"/>
  <c r="L44" i="33" s="1"/>
  <c r="M44" i="33" s="1"/>
  <c r="G58" i="33"/>
  <c r="G54" i="33"/>
  <c r="G76" i="33"/>
  <c r="G48" i="33"/>
  <c r="G60" i="33"/>
  <c r="G49" i="33"/>
  <c r="G20" i="33"/>
  <c r="G37" i="33"/>
  <c r="L37" i="33" s="1"/>
  <c r="M37" i="33" s="1"/>
  <c r="G38" i="33"/>
  <c r="G32" i="33"/>
  <c r="L32" i="33" s="1"/>
  <c r="M32" i="33" s="1"/>
  <c r="G31" i="33"/>
  <c r="G23" i="33"/>
  <c r="G15" i="33"/>
  <c r="G7" i="33"/>
  <c r="G129" i="33"/>
  <c r="G142" i="33"/>
  <c r="L142" i="33" s="1"/>
  <c r="M142" i="33" s="1"/>
  <c r="G125" i="33"/>
  <c r="G162" i="33"/>
  <c r="G135" i="33"/>
  <c r="G85" i="33"/>
  <c r="L85" i="33" s="1"/>
  <c r="M85" i="33" s="1"/>
  <c r="G82" i="33"/>
  <c r="G79" i="33"/>
  <c r="G62" i="33"/>
  <c r="G61" i="33"/>
  <c r="L61" i="33" s="1"/>
  <c r="M61" i="33" s="1"/>
  <c r="G120" i="33"/>
  <c r="G102" i="33"/>
  <c r="G158" i="33"/>
  <c r="G163" i="33"/>
  <c r="L163" i="33" s="1"/>
  <c r="M163" i="33" s="1"/>
  <c r="G147" i="33"/>
  <c r="G133" i="33"/>
  <c r="L133" i="33" s="1"/>
  <c r="M133" i="33" s="1"/>
  <c r="G100" i="33"/>
  <c r="G131" i="33"/>
  <c r="L131" i="33" s="1"/>
  <c r="M131" i="33" s="1"/>
  <c r="G86" i="33"/>
  <c r="G91" i="33"/>
  <c r="L91" i="33" s="1"/>
  <c r="M91" i="33" s="1"/>
  <c r="G80" i="33"/>
  <c r="G12" i="33"/>
  <c r="G55" i="33"/>
  <c r="G24" i="33"/>
  <c r="G22" i="33"/>
  <c r="G27" i="33"/>
  <c r="L27" i="33" s="1"/>
  <c r="M27" i="33" s="1"/>
  <c r="G11" i="33"/>
  <c r="G128" i="33"/>
  <c r="L128" i="33" s="1"/>
  <c r="M128" i="33" s="1"/>
  <c r="G110" i="33"/>
  <c r="G124" i="33"/>
  <c r="L124" i="33" s="1"/>
  <c r="M124" i="33" s="1"/>
  <c r="G106" i="33"/>
  <c r="G119" i="33"/>
  <c r="G89" i="33"/>
  <c r="G69" i="33"/>
  <c r="L69" i="33" s="1"/>
  <c r="M69" i="33" s="1"/>
  <c r="G96" i="33"/>
  <c r="G94" i="33"/>
  <c r="L94" i="33" s="1"/>
  <c r="M94" i="33" s="1"/>
  <c r="G57" i="33"/>
  <c r="G42" i="33"/>
  <c r="G68" i="33"/>
  <c r="G46" i="33"/>
  <c r="G14" i="33"/>
  <c r="G103" i="33"/>
  <c r="L103" i="33" s="1"/>
  <c r="M103" i="33" s="1"/>
  <c r="G30" i="33"/>
  <c r="G134" i="33"/>
  <c r="G121" i="33"/>
  <c r="G155" i="33"/>
  <c r="L155" i="33" s="1"/>
  <c r="M155" i="33" s="1"/>
  <c r="G139" i="33"/>
  <c r="G132" i="33"/>
  <c r="L132" i="33" s="1"/>
  <c r="M132" i="33" s="1"/>
  <c r="G114" i="33"/>
  <c r="G101" i="33"/>
  <c r="G146" i="33"/>
  <c r="G115" i="33"/>
  <c r="G90" i="33"/>
  <c r="G77" i="33"/>
  <c r="G70" i="33"/>
  <c r="G67" i="33"/>
  <c r="G92" i="33"/>
  <c r="G52" i="33"/>
  <c r="G53" i="33"/>
  <c r="G35" i="33"/>
  <c r="L35" i="33" s="1"/>
  <c r="M35" i="33" s="1"/>
  <c r="G36" i="33"/>
  <c r="G47" i="33"/>
  <c r="G6" i="33"/>
  <c r="G19" i="33"/>
  <c r="L19" i="33" s="1"/>
  <c r="M19" i="33" s="1"/>
  <c r="G64" i="33"/>
  <c r="G43" i="33"/>
  <c r="L43" i="33" s="1"/>
  <c r="M43" i="33" s="1"/>
  <c r="G16" i="33"/>
  <c r="G164" i="33"/>
  <c r="L164" i="33" s="1"/>
  <c r="M164" i="33" s="1"/>
  <c r="G148" i="33"/>
  <c r="G17" i="33"/>
  <c r="G25" i="33"/>
  <c r="G182" i="33"/>
  <c r="L182" i="33" s="1"/>
  <c r="M182" i="33" s="1"/>
  <c r="G214" i="33"/>
  <c r="G13" i="33"/>
  <c r="L13" i="33" s="1"/>
  <c r="M13" i="33" s="1"/>
  <c r="G29" i="33"/>
  <c r="G140" i="33"/>
  <c r="G170" i="33"/>
  <c r="G190" i="33"/>
  <c r="L190" i="33" s="1"/>
  <c r="M190" i="33" s="1"/>
  <c r="G222" i="33"/>
  <c r="G144" i="33"/>
  <c r="G41" i="33"/>
  <c r="G160" i="33"/>
  <c r="L160" i="33" s="1"/>
  <c r="M160" i="33" s="1"/>
  <c r="G186" i="33"/>
  <c r="G218" i="33"/>
  <c r="G194" i="33"/>
  <c r="G276" i="33"/>
  <c r="L276" i="33" s="1"/>
  <c r="M276" i="33" s="1"/>
  <c r="G272" i="33"/>
  <c r="G33" i="33"/>
  <c r="L33" i="33" s="1"/>
  <c r="M33" i="33" s="1"/>
  <c r="G9" i="33"/>
  <c r="G198" i="33"/>
  <c r="G21" i="33"/>
  <c r="G156" i="33"/>
  <c r="L156" i="33" s="1"/>
  <c r="M156" i="33" s="1"/>
  <c r="G174" i="33"/>
  <c r="G206" i="33"/>
  <c r="G260" i="33"/>
  <c r="G98" i="33"/>
  <c r="G152" i="33"/>
  <c r="G202" i="33"/>
  <c r="L202" i="33" s="1"/>
  <c r="M202" i="33" s="1"/>
  <c r="G178" i="33"/>
  <c r="G210" i="33"/>
  <c r="G264" i="33"/>
  <c r="K14" i="33"/>
  <c r="K22" i="33"/>
  <c r="K30" i="33"/>
  <c r="K10" i="33"/>
  <c r="K18" i="33"/>
  <c r="K26" i="33"/>
  <c r="K34" i="33"/>
  <c r="K65" i="33"/>
  <c r="K141" i="33"/>
  <c r="K149" i="33"/>
  <c r="K157" i="33"/>
  <c r="K165" i="33"/>
  <c r="K167" i="33"/>
  <c r="K137" i="33"/>
  <c r="K145" i="33"/>
  <c r="K153" i="33"/>
  <c r="K161" i="33"/>
  <c r="K175" i="33"/>
  <c r="K183" i="33"/>
  <c r="K191" i="33"/>
  <c r="K199" i="33"/>
  <c r="K207" i="33"/>
  <c r="K215" i="33"/>
  <c r="K223" i="33"/>
  <c r="K225" i="33"/>
  <c r="K179" i="33"/>
  <c r="K187" i="33"/>
  <c r="K195" i="33"/>
  <c r="K203" i="33"/>
  <c r="K211" i="33"/>
  <c r="K219" i="33"/>
  <c r="K265" i="33"/>
  <c r="K273" i="33"/>
  <c r="K279" i="33"/>
  <c r="K268" i="33"/>
  <c r="K294" i="33"/>
  <c r="K306" i="33"/>
  <c r="K280" i="33"/>
  <c r="K278" i="33"/>
  <c r="K269" i="33"/>
  <c r="K302" i="33"/>
  <c r="K304" i="33"/>
  <c r="K303" i="33"/>
  <c r="K237" i="33"/>
  <c r="K236" i="33"/>
  <c r="K274" i="33"/>
  <c r="K266" i="33"/>
  <c r="K241" i="33"/>
  <c r="K240" i="33"/>
  <c r="K251" i="33"/>
  <c r="K235" i="33"/>
  <c r="K193" i="33"/>
  <c r="K258" i="33"/>
  <c r="K242" i="33"/>
  <c r="K226" i="33"/>
  <c r="K216" i="33"/>
  <c r="K200" i="33"/>
  <c r="K184" i="33"/>
  <c r="K310" i="33"/>
  <c r="K284" i="33"/>
  <c r="K283" i="33"/>
  <c r="K296" i="33"/>
  <c r="K295" i="33"/>
  <c r="K275" i="33"/>
  <c r="K292" i="33"/>
  <c r="K291" i="33"/>
  <c r="K282" i="33"/>
  <c r="K229" i="33"/>
  <c r="K228" i="33"/>
  <c r="K313" i="33"/>
  <c r="K305" i="33"/>
  <c r="K297" i="33"/>
  <c r="K289" i="33"/>
  <c r="K281" i="33"/>
  <c r="K233" i="33"/>
  <c r="K232" i="33"/>
  <c r="K271" i="33"/>
  <c r="K255" i="33"/>
  <c r="K239" i="33"/>
  <c r="K201" i="33"/>
  <c r="K246" i="33"/>
  <c r="K230" i="33"/>
  <c r="K221" i="33"/>
  <c r="K213" i="33"/>
  <c r="K205" i="33"/>
  <c r="K197" i="33"/>
  <c r="K189" i="33"/>
  <c r="K181" i="33"/>
  <c r="K173" i="33"/>
  <c r="K212" i="33"/>
  <c r="K196" i="33"/>
  <c r="K180" i="33"/>
  <c r="K151" i="33"/>
  <c r="K300" i="33"/>
  <c r="K299" i="33"/>
  <c r="K267" i="33"/>
  <c r="K312" i="33"/>
  <c r="K311" i="33"/>
  <c r="K308" i="33"/>
  <c r="K307" i="33"/>
  <c r="K277" i="33"/>
  <c r="K298" i="33"/>
  <c r="K270" i="33"/>
  <c r="K253" i="33"/>
  <c r="K252" i="33"/>
  <c r="K259" i="33"/>
  <c r="K257" i="33"/>
  <c r="K256" i="33"/>
  <c r="K263" i="33"/>
  <c r="K243" i="33"/>
  <c r="K227" i="33"/>
  <c r="K209" i="33"/>
  <c r="K177" i="33"/>
  <c r="K169" i="33"/>
  <c r="K250" i="33"/>
  <c r="K234" i="33"/>
  <c r="K224" i="33"/>
  <c r="K208" i="33"/>
  <c r="K192" i="33"/>
  <c r="K176" i="33"/>
  <c r="K159" i="33"/>
  <c r="K121" i="33"/>
  <c r="K120" i="33"/>
  <c r="K168" i="33"/>
  <c r="K158" i="33"/>
  <c r="K142" i="33"/>
  <c r="K125" i="33"/>
  <c r="K124" i="33"/>
  <c r="K162" i="33"/>
  <c r="K146" i="33"/>
  <c r="K127" i="33"/>
  <c r="K111" i="33"/>
  <c r="K89" i="33"/>
  <c r="K69" i="33"/>
  <c r="K130" i="33"/>
  <c r="K114" i="33"/>
  <c r="K96" i="33"/>
  <c r="K85" i="33"/>
  <c r="K82" i="33"/>
  <c r="K94" i="33"/>
  <c r="K62" i="33"/>
  <c r="K61" i="33"/>
  <c r="K57" i="33"/>
  <c r="K76" i="33"/>
  <c r="K64" i="33"/>
  <c r="K91" i="33"/>
  <c r="K79" i="33"/>
  <c r="K71" i="33"/>
  <c r="K46" i="33"/>
  <c r="K43" i="33"/>
  <c r="K16" i="33"/>
  <c r="K31" i="33"/>
  <c r="K23" i="33"/>
  <c r="K15" i="33"/>
  <c r="K7" i="33"/>
  <c r="K290" i="33"/>
  <c r="K286" i="33"/>
  <c r="K288" i="33"/>
  <c r="K287" i="33"/>
  <c r="K245" i="33"/>
  <c r="K244" i="33"/>
  <c r="K309" i="33"/>
  <c r="K301" i="33"/>
  <c r="K293" i="33"/>
  <c r="K285" i="33"/>
  <c r="K249" i="33"/>
  <c r="K248" i="33"/>
  <c r="K171" i="33"/>
  <c r="K261" i="33"/>
  <c r="K247" i="33"/>
  <c r="K231" i="33"/>
  <c r="K217" i="33"/>
  <c r="K185" i="33"/>
  <c r="K262" i="33"/>
  <c r="K254" i="33"/>
  <c r="K238" i="33"/>
  <c r="K220" i="33"/>
  <c r="K204" i="33"/>
  <c r="K188" i="33"/>
  <c r="K172" i="33"/>
  <c r="K113" i="33"/>
  <c r="K112" i="33"/>
  <c r="K117" i="33"/>
  <c r="K116" i="33"/>
  <c r="K99" i="33"/>
  <c r="K131" i="33"/>
  <c r="K115" i="33"/>
  <c r="K84" i="33"/>
  <c r="K134" i="33"/>
  <c r="K118" i="33"/>
  <c r="K102" i="33"/>
  <c r="K81" i="33"/>
  <c r="K74" i="33"/>
  <c r="K95" i="33"/>
  <c r="K93" i="33"/>
  <c r="K63" i="33"/>
  <c r="K56" i="33"/>
  <c r="K45" i="33"/>
  <c r="K39" i="33"/>
  <c r="K80" i="33"/>
  <c r="K50" i="33"/>
  <c r="K87" i="33"/>
  <c r="K28" i="33"/>
  <c r="K55" i="33"/>
  <c r="K47" i="33"/>
  <c r="K8" i="33"/>
  <c r="K6" i="33"/>
  <c r="K136" i="33"/>
  <c r="K105" i="33"/>
  <c r="K155" i="33"/>
  <c r="K139" i="33"/>
  <c r="K132" i="33"/>
  <c r="K101" i="33"/>
  <c r="K154" i="33"/>
  <c r="K123" i="33"/>
  <c r="K90" i="33"/>
  <c r="K77" i="33"/>
  <c r="K70" i="33"/>
  <c r="K126" i="33"/>
  <c r="K92" i="33"/>
  <c r="K72" i="33"/>
  <c r="K129" i="33"/>
  <c r="K150" i="33"/>
  <c r="K109" i="33"/>
  <c r="K119" i="33"/>
  <c r="K78" i="33"/>
  <c r="K122" i="33"/>
  <c r="K73" i="33"/>
  <c r="K66" i="33"/>
  <c r="K44" i="33"/>
  <c r="K58" i="33"/>
  <c r="K68" i="33"/>
  <c r="K48" i="33"/>
  <c r="K83" i="33"/>
  <c r="K67" i="33"/>
  <c r="K60" i="33"/>
  <c r="K49" i="33"/>
  <c r="K37" i="33"/>
  <c r="K143" i="33"/>
  <c r="K104" i="33"/>
  <c r="K166" i="33"/>
  <c r="K163" i="33"/>
  <c r="K147" i="33"/>
  <c r="K133" i="33"/>
  <c r="K100" i="33"/>
  <c r="K97" i="33"/>
  <c r="K107" i="33"/>
  <c r="K110" i="33"/>
  <c r="K86" i="33"/>
  <c r="K40" i="33"/>
  <c r="K12" i="33"/>
  <c r="K51" i="33"/>
  <c r="K24" i="33"/>
  <c r="K19" i="33"/>
  <c r="K42" i="33"/>
  <c r="K53" i="33"/>
  <c r="K36" i="33"/>
  <c r="K59" i="33"/>
  <c r="K11" i="33"/>
  <c r="K128" i="33"/>
  <c r="K108" i="33"/>
  <c r="K138" i="33"/>
  <c r="K135" i="33"/>
  <c r="K103" i="33"/>
  <c r="K106" i="33"/>
  <c r="K88" i="33"/>
  <c r="K54" i="33"/>
  <c r="K75" i="33"/>
  <c r="K20" i="33"/>
  <c r="K32" i="33"/>
  <c r="K52" i="33"/>
  <c r="K35" i="33"/>
  <c r="K38" i="33"/>
  <c r="K27" i="33"/>
  <c r="K41" i="33"/>
  <c r="K276" i="33"/>
  <c r="K17" i="33"/>
  <c r="K25" i="33"/>
  <c r="K198" i="33"/>
  <c r="K13" i="33"/>
  <c r="K29" i="33"/>
  <c r="K156" i="33"/>
  <c r="K152" i="33"/>
  <c r="K202" i="33"/>
  <c r="K170" i="33"/>
  <c r="K174" i="33"/>
  <c r="K206" i="33"/>
  <c r="K178" i="33"/>
  <c r="K210" i="33"/>
  <c r="K264" i="33"/>
  <c r="K98" i="33"/>
  <c r="K164" i="33"/>
  <c r="K144" i="33"/>
  <c r="K33" i="33"/>
  <c r="K148" i="33"/>
  <c r="K160" i="33"/>
  <c r="K9" i="33"/>
  <c r="K182" i="33"/>
  <c r="K214" i="33"/>
  <c r="K21" i="33"/>
  <c r="K140" i="33"/>
  <c r="K186" i="33"/>
  <c r="K218" i="33"/>
  <c r="K190" i="33"/>
  <c r="K222" i="33"/>
  <c r="K260" i="33"/>
  <c r="K194" i="33"/>
  <c r="K272" i="33"/>
  <c r="G5" i="33"/>
  <c r="I5" i="33"/>
  <c r="K5" i="33"/>
  <c r="L206" i="33" l="1"/>
  <c r="M206" i="33" s="1"/>
  <c r="L198" i="33"/>
  <c r="M198" i="33" s="1"/>
  <c r="L47" i="33"/>
  <c r="M47" i="33" s="1"/>
  <c r="L77" i="33"/>
  <c r="M77" i="33" s="1"/>
  <c r="L101" i="33"/>
  <c r="M101" i="33" s="1"/>
  <c r="L12" i="33"/>
  <c r="M12" i="33" s="1"/>
  <c r="L48" i="33"/>
  <c r="M48" i="33" s="1"/>
  <c r="L99" i="33"/>
  <c r="M99" i="33" s="1"/>
  <c r="L28" i="33"/>
  <c r="M28" i="33" s="1"/>
  <c r="L239" i="33"/>
  <c r="M239" i="33" s="1"/>
  <c r="L244" i="33"/>
  <c r="M244" i="33" s="1"/>
  <c r="L261" i="33"/>
  <c r="M261" i="33" s="1"/>
  <c r="L270" i="33"/>
  <c r="M270" i="33" s="1"/>
  <c r="L231" i="33"/>
  <c r="M231" i="33" s="1"/>
  <c r="L264" i="33"/>
  <c r="M264" i="33" s="1"/>
  <c r="L152" i="33"/>
  <c r="M152" i="33" s="1"/>
  <c r="L174" i="33"/>
  <c r="M174" i="33" s="1"/>
  <c r="L9" i="33"/>
  <c r="M9" i="33" s="1"/>
  <c r="L194" i="33"/>
  <c r="M194" i="33" s="1"/>
  <c r="L41" i="33"/>
  <c r="M41" i="33" s="1"/>
  <c r="L170" i="33"/>
  <c r="M170" i="33" s="1"/>
  <c r="L214" i="33"/>
  <c r="M214" i="33" s="1"/>
  <c r="L148" i="33"/>
  <c r="M148" i="33" s="1"/>
  <c r="L64" i="33"/>
  <c r="M64" i="33" s="1"/>
  <c r="L36" i="33"/>
  <c r="M36" i="33" s="1"/>
  <c r="L92" i="33"/>
  <c r="M92" i="33" s="1"/>
  <c r="L90" i="33"/>
  <c r="M90" i="33" s="1"/>
  <c r="L114" i="33"/>
  <c r="M114" i="33" s="1"/>
  <c r="L121" i="33"/>
  <c r="M121" i="33" s="1"/>
  <c r="L14" i="33"/>
  <c r="M14" i="33" s="1"/>
  <c r="L57" i="33"/>
  <c r="M57" i="33" s="1"/>
  <c r="L89" i="33"/>
  <c r="M89" i="33" s="1"/>
  <c r="L110" i="33"/>
  <c r="M110" i="33" s="1"/>
  <c r="L22" i="33"/>
  <c r="M22" i="33" s="1"/>
  <c r="L80" i="33"/>
  <c r="M80" i="33" s="1"/>
  <c r="L100" i="33"/>
  <c r="M100" i="33" s="1"/>
  <c r="L158" i="33"/>
  <c r="M158" i="33" s="1"/>
  <c r="L62" i="33"/>
  <c r="M62" i="33" s="1"/>
  <c r="L135" i="33"/>
  <c r="M135" i="33" s="1"/>
  <c r="L129" i="33"/>
  <c r="M129" i="33" s="1"/>
  <c r="L31" i="33"/>
  <c r="M31" i="33" s="1"/>
  <c r="L20" i="33"/>
  <c r="M20" i="33" s="1"/>
  <c r="L76" i="33"/>
  <c r="M76" i="33" s="1"/>
  <c r="L87" i="33"/>
  <c r="M87" i="33" s="1"/>
  <c r="L75" i="33"/>
  <c r="M75" i="33" s="1"/>
  <c r="L138" i="33"/>
  <c r="M138" i="33" s="1"/>
  <c r="L108" i="33"/>
  <c r="M108" i="33" s="1"/>
  <c r="L166" i="33"/>
  <c r="M166" i="33" s="1"/>
  <c r="L136" i="33"/>
  <c r="M136" i="33" s="1"/>
  <c r="L200" i="33"/>
  <c r="M200" i="33" s="1"/>
  <c r="L207" i="33"/>
  <c r="M207" i="33" s="1"/>
  <c r="L241" i="33"/>
  <c r="M241" i="33" s="1"/>
  <c r="L236" i="33"/>
  <c r="M236" i="33" s="1"/>
  <c r="L304" i="33"/>
  <c r="M304" i="33" s="1"/>
  <c r="L280" i="33"/>
  <c r="M280" i="33" s="1"/>
  <c r="L8" i="33"/>
  <c r="M8" i="33" s="1"/>
  <c r="L50" i="33"/>
  <c r="M50" i="33" s="1"/>
  <c r="L45" i="33"/>
  <c r="M45" i="33" s="1"/>
  <c r="L95" i="33"/>
  <c r="M95" i="33" s="1"/>
  <c r="L83" i="33"/>
  <c r="M83" i="33" s="1"/>
  <c r="L116" i="33"/>
  <c r="M116" i="33" s="1"/>
  <c r="L113" i="33"/>
  <c r="M113" i="33" s="1"/>
  <c r="L188" i="33"/>
  <c r="M188" i="33" s="1"/>
  <c r="L185" i="33"/>
  <c r="M185" i="33" s="1"/>
  <c r="L255" i="33"/>
  <c r="M255" i="33" s="1"/>
  <c r="L262" i="33"/>
  <c r="M262" i="33" s="1"/>
  <c r="L305" i="33"/>
  <c r="M305" i="33" s="1"/>
  <c r="L245" i="33"/>
  <c r="M245" i="33" s="1"/>
  <c r="L277" i="33"/>
  <c r="M277" i="33" s="1"/>
  <c r="L279" i="33"/>
  <c r="M279" i="33" s="1"/>
  <c r="L192" i="33"/>
  <c r="M192" i="33" s="1"/>
  <c r="L177" i="33"/>
  <c r="M177" i="33" s="1"/>
  <c r="L235" i="33"/>
  <c r="M235" i="33" s="1"/>
  <c r="L256" i="33"/>
  <c r="M256" i="33" s="1"/>
  <c r="L234" i="33"/>
  <c r="M234" i="33" s="1"/>
  <c r="L298" i="33"/>
  <c r="M298" i="33" s="1"/>
  <c r="L311" i="33"/>
  <c r="M311" i="33" s="1"/>
  <c r="L300" i="33"/>
  <c r="M300" i="33" s="1"/>
  <c r="L196" i="33"/>
  <c r="M196" i="33" s="1"/>
  <c r="L189" i="33"/>
  <c r="M189" i="33" s="1"/>
  <c r="L221" i="33"/>
  <c r="M221" i="33" s="1"/>
  <c r="L247" i="33"/>
  <c r="M247" i="33" s="1"/>
  <c r="L246" i="33"/>
  <c r="M246" i="33" s="1"/>
  <c r="L301" i="33"/>
  <c r="M301" i="33" s="1"/>
  <c r="L242" i="33"/>
  <c r="M242" i="33" s="1"/>
  <c r="L295" i="33"/>
  <c r="M295" i="33" s="1"/>
  <c r="L310" i="33"/>
  <c r="M310" i="33" s="1"/>
  <c r="L211" i="33"/>
  <c r="M211" i="33" s="1"/>
  <c r="L179" i="33"/>
  <c r="M179" i="33" s="1"/>
  <c r="L153" i="33"/>
  <c r="M153" i="33" s="1"/>
  <c r="L34" i="33"/>
  <c r="M34" i="33" s="1"/>
  <c r="L218" i="33"/>
  <c r="M218" i="33" s="1"/>
  <c r="L115" i="33"/>
  <c r="M115" i="33" s="1"/>
  <c r="L46" i="33"/>
  <c r="M46" i="33" s="1"/>
  <c r="L162" i="33"/>
  <c r="M162" i="33" s="1"/>
  <c r="L7" i="33"/>
  <c r="M7" i="33" s="1"/>
  <c r="L54" i="33"/>
  <c r="M54" i="33" s="1"/>
  <c r="L143" i="33"/>
  <c r="M143" i="33" s="1"/>
  <c r="L306" i="33"/>
  <c r="M306" i="33" s="1"/>
  <c r="L72" i="33"/>
  <c r="M72" i="33" s="1"/>
  <c r="L126" i="33"/>
  <c r="M126" i="33" s="1"/>
  <c r="L199" i="33"/>
  <c r="M199" i="33" s="1"/>
  <c r="L252" i="33"/>
  <c r="M252" i="33" s="1"/>
  <c r="L145" i="33"/>
  <c r="M145" i="33" s="1"/>
  <c r="L210" i="33"/>
  <c r="M210" i="33" s="1"/>
  <c r="L98" i="33"/>
  <c r="M98" i="33" s="1"/>
  <c r="L144" i="33"/>
  <c r="M144" i="33" s="1"/>
  <c r="L140" i="33"/>
  <c r="M140" i="33" s="1"/>
  <c r="L67" i="33"/>
  <c r="M67" i="33" s="1"/>
  <c r="L134" i="33"/>
  <c r="M134" i="33" s="1"/>
  <c r="L119" i="33"/>
  <c r="M119" i="33" s="1"/>
  <c r="L24" i="33"/>
  <c r="M24" i="33" s="1"/>
  <c r="L102" i="33"/>
  <c r="M102" i="33" s="1"/>
  <c r="L79" i="33"/>
  <c r="M79" i="33" s="1"/>
  <c r="L49" i="33"/>
  <c r="M49" i="33" s="1"/>
  <c r="L227" i="33"/>
  <c r="M227" i="33" s="1"/>
  <c r="L254" i="33"/>
  <c r="M254" i="33" s="1"/>
  <c r="L302" i="33"/>
  <c r="M302" i="33" s="1"/>
  <c r="L56" i="33"/>
  <c r="M56" i="33" s="1"/>
  <c r="L117" i="33"/>
  <c r="M117" i="33" s="1"/>
  <c r="L258" i="33"/>
  <c r="M258" i="33" s="1"/>
  <c r="L286" i="33"/>
  <c r="M286" i="33" s="1"/>
  <c r="L141" i="33"/>
  <c r="M141" i="33" s="1"/>
  <c r="L257" i="33"/>
  <c r="M257" i="33" s="1"/>
  <c r="L312" i="33"/>
  <c r="M312" i="33" s="1"/>
  <c r="L151" i="33"/>
  <c r="M151" i="33" s="1"/>
  <c r="L183" i="33"/>
  <c r="M183" i="33" s="1"/>
  <c r="L271" i="33"/>
  <c r="M271" i="33" s="1"/>
  <c r="L282" i="33"/>
  <c r="M282" i="33" s="1"/>
  <c r="L203" i="33"/>
  <c r="M203" i="33" s="1"/>
  <c r="L178" i="33"/>
  <c r="M178" i="33" s="1"/>
  <c r="L260" i="33"/>
  <c r="M260" i="33" s="1"/>
  <c r="L21" i="33"/>
  <c r="M21" i="33" s="1"/>
  <c r="L272" i="33"/>
  <c r="M272" i="33" s="1"/>
  <c r="L186" i="33"/>
  <c r="M186" i="33" s="1"/>
  <c r="L222" i="33"/>
  <c r="M222" i="33" s="1"/>
  <c r="L29" i="33"/>
  <c r="M29" i="33" s="1"/>
  <c r="L25" i="33"/>
  <c r="M25" i="33" s="1"/>
  <c r="L16" i="33"/>
  <c r="M16" i="33" s="1"/>
  <c r="L6" i="33"/>
  <c r="M6" i="33" s="1"/>
  <c r="L53" i="33"/>
  <c r="M53" i="33" s="1"/>
  <c r="L70" i="33"/>
  <c r="M70" i="33" s="1"/>
  <c r="L146" i="33"/>
  <c r="M146" i="33" s="1"/>
  <c r="L139" i="33"/>
  <c r="M139" i="33" s="1"/>
  <c r="L30" i="33"/>
  <c r="M30" i="33" s="1"/>
  <c r="L68" i="33"/>
  <c r="M68" i="33" s="1"/>
  <c r="L96" i="33"/>
  <c r="M96" i="33" s="1"/>
  <c r="L106" i="33"/>
  <c r="M106" i="33" s="1"/>
  <c r="L11" i="33"/>
  <c r="M11" i="33" s="1"/>
  <c r="L55" i="33"/>
  <c r="M55" i="33" s="1"/>
  <c r="L86" i="33"/>
  <c r="M86" i="33" s="1"/>
  <c r="L147" i="33"/>
  <c r="M147" i="33" s="1"/>
  <c r="L120" i="33"/>
  <c r="M120" i="33" s="1"/>
  <c r="L82" i="33"/>
  <c r="M82" i="33" s="1"/>
  <c r="L125" i="33"/>
  <c r="M125" i="33" s="1"/>
  <c r="L15" i="33"/>
  <c r="M15" i="33" s="1"/>
  <c r="L38" i="33"/>
  <c r="M38" i="33" s="1"/>
  <c r="L60" i="33"/>
  <c r="M60" i="33" s="1"/>
  <c r="L58" i="33"/>
  <c r="M58" i="33" s="1"/>
  <c r="L66" i="33"/>
  <c r="M66" i="33" s="1"/>
  <c r="L111" i="33"/>
  <c r="M111" i="33" s="1"/>
  <c r="L97" i="33"/>
  <c r="M97" i="33" s="1"/>
  <c r="L122" i="33"/>
  <c r="M122" i="33" s="1"/>
  <c r="L105" i="33"/>
  <c r="M105" i="33" s="1"/>
  <c r="L157" i="33"/>
  <c r="M157" i="33" s="1"/>
  <c r="L175" i="33"/>
  <c r="M175" i="33" s="1"/>
  <c r="L243" i="33"/>
  <c r="M243" i="33" s="1"/>
  <c r="L266" i="33"/>
  <c r="M266" i="33" s="1"/>
  <c r="L250" i="33"/>
  <c r="M250" i="33" s="1"/>
  <c r="L275" i="33"/>
  <c r="M275" i="33" s="1"/>
  <c r="L294" i="33"/>
  <c r="M294" i="33" s="1"/>
  <c r="L59" i="33"/>
  <c r="M59" i="33" s="1"/>
  <c r="L40" i="33"/>
  <c r="M40" i="33" s="1"/>
  <c r="L63" i="33"/>
  <c r="M63" i="33" s="1"/>
  <c r="L74" i="33"/>
  <c r="M74" i="33" s="1"/>
  <c r="L107" i="33"/>
  <c r="M107" i="33" s="1"/>
  <c r="L130" i="33"/>
  <c r="M130" i="33" s="1"/>
  <c r="L149" i="33"/>
  <c r="M149" i="33" s="1"/>
  <c r="L220" i="33"/>
  <c r="M220" i="33" s="1"/>
  <c r="L217" i="33"/>
  <c r="M217" i="33" s="1"/>
  <c r="L248" i="33"/>
  <c r="M248" i="33" s="1"/>
  <c r="L289" i="33"/>
  <c r="M289" i="33" s="1"/>
  <c r="L226" i="33"/>
  <c r="M226" i="33" s="1"/>
  <c r="L287" i="33"/>
  <c r="M287" i="33" s="1"/>
  <c r="L290" i="33"/>
  <c r="M290" i="33" s="1"/>
  <c r="L159" i="33"/>
  <c r="M159" i="33" s="1"/>
  <c r="L224" i="33"/>
  <c r="M224" i="33" s="1"/>
  <c r="L209" i="33"/>
  <c r="M209" i="33" s="1"/>
  <c r="L263" i="33"/>
  <c r="M263" i="33" s="1"/>
  <c r="L259" i="33"/>
  <c r="M259" i="33" s="1"/>
  <c r="L253" i="33"/>
  <c r="M253" i="33" s="1"/>
  <c r="L308" i="33"/>
  <c r="M308" i="33" s="1"/>
  <c r="L267" i="33"/>
  <c r="M267" i="33" s="1"/>
  <c r="L165" i="33"/>
  <c r="M165" i="33" s="1"/>
  <c r="L173" i="33"/>
  <c r="M173" i="33" s="1"/>
  <c r="L205" i="33"/>
  <c r="M205" i="33" s="1"/>
  <c r="L215" i="33"/>
  <c r="M215" i="33" s="1"/>
  <c r="L232" i="33"/>
  <c r="M232" i="33" s="1"/>
  <c r="L285" i="33"/>
  <c r="M285" i="33" s="1"/>
  <c r="L228" i="33"/>
  <c r="M228" i="33" s="1"/>
  <c r="L291" i="33"/>
  <c r="M291" i="33" s="1"/>
  <c r="L283" i="33"/>
  <c r="M283" i="33" s="1"/>
  <c r="L225" i="33"/>
  <c r="M225" i="33" s="1"/>
  <c r="L195" i="33"/>
  <c r="M195" i="33" s="1"/>
  <c r="L167" i="33"/>
  <c r="M167" i="33" s="1"/>
  <c r="L137" i="33"/>
  <c r="M137" i="33" s="1"/>
  <c r="L18" i="33"/>
  <c r="M18" i="33" s="1"/>
  <c r="L17" i="33"/>
  <c r="M17" i="33" s="1"/>
  <c r="L52" i="33"/>
  <c r="M52" i="33" s="1"/>
  <c r="L42" i="33"/>
  <c r="M42" i="33" s="1"/>
  <c r="L23" i="33"/>
  <c r="M23" i="33" s="1"/>
  <c r="L127" i="33"/>
  <c r="M127" i="33" s="1"/>
  <c r="L150" i="33"/>
  <c r="M150" i="33" s="1"/>
  <c r="L240" i="33"/>
  <c r="M240" i="33" s="1"/>
  <c r="L303" i="33"/>
  <c r="M303" i="33" s="1"/>
  <c r="L278" i="33"/>
  <c r="M278" i="33" s="1"/>
  <c r="L39" i="33"/>
  <c r="M39" i="33" s="1"/>
  <c r="L93" i="33"/>
  <c r="M93" i="33" s="1"/>
  <c r="L123" i="33"/>
  <c r="M123" i="33" s="1"/>
  <c r="L273" i="33"/>
  <c r="M273" i="33" s="1"/>
  <c r="L268" i="33"/>
  <c r="M268" i="33" s="1"/>
  <c r="L299" i="33"/>
  <c r="M299" i="33" s="1"/>
  <c r="L233" i="33"/>
  <c r="M233" i="33" s="1"/>
  <c r="L292" i="33"/>
  <c r="M292" i="33" s="1"/>
  <c r="L219" i="33"/>
  <c r="M219" i="33" s="1"/>
  <c r="L187" i="33"/>
  <c r="M187" i="33" s="1"/>
  <c r="L161" i="33"/>
  <c r="M161" i="33" s="1"/>
  <c r="L5" i="33"/>
  <c r="M5" i="33"/>
  <c r="D18" i="48" l="1"/>
  <c r="H5" i="11"/>
  <c r="I5" i="11" s="1"/>
  <c r="F18" i="48"/>
  <c r="E11" i="9"/>
  <c r="M314" i="33"/>
  <c r="C6" i="9" s="1"/>
  <c r="C7" i="9" s="1"/>
  <c r="L16" i="11" l="1"/>
  <c r="M16" i="11" s="1"/>
  <c r="H16" i="11"/>
  <c r="I16" i="11" s="1"/>
  <c r="L44" i="11"/>
  <c r="M44" i="11" s="1"/>
  <c r="H44" i="11"/>
  <c r="I44" i="11" s="1"/>
  <c r="L15" i="11"/>
  <c r="M15" i="11" s="1"/>
  <c r="H15" i="11"/>
  <c r="I15" i="11" s="1"/>
  <c r="L49" i="11"/>
  <c r="M49" i="11" s="1"/>
  <c r="H49" i="11"/>
  <c r="I49" i="11" s="1"/>
  <c r="L59" i="11"/>
  <c r="M59" i="11" s="1"/>
  <c r="H59" i="11"/>
  <c r="I59" i="11" s="1"/>
  <c r="L13" i="11"/>
  <c r="M13" i="11" s="1"/>
  <c r="H13" i="11"/>
  <c r="I13" i="11" s="1"/>
  <c r="L65" i="11"/>
  <c r="M65" i="11" s="1"/>
  <c r="H65" i="11"/>
  <c r="I65" i="11" s="1"/>
  <c r="L47" i="11"/>
  <c r="M47" i="11" s="1"/>
  <c r="H47" i="11"/>
  <c r="I47" i="11" s="1"/>
  <c r="L68" i="11"/>
  <c r="M68" i="11" s="1"/>
  <c r="H68" i="11"/>
  <c r="I68" i="11" s="1"/>
  <c r="L19" i="11"/>
  <c r="M19" i="11" s="1"/>
  <c r="H19" i="11"/>
  <c r="I19" i="11" s="1"/>
  <c r="L22" i="11"/>
  <c r="M22" i="11" s="1"/>
  <c r="H22" i="11"/>
  <c r="I22" i="11" s="1"/>
  <c r="L62" i="11"/>
  <c r="M62" i="11" s="1"/>
  <c r="H62" i="11"/>
  <c r="I62" i="11" s="1"/>
  <c r="L20" i="11"/>
  <c r="M20" i="11" s="1"/>
  <c r="H20" i="11"/>
  <c r="I20" i="11" s="1"/>
  <c r="L17" i="11"/>
  <c r="M17" i="11" s="1"/>
  <c r="H17" i="11"/>
  <c r="I17" i="11" s="1"/>
  <c r="L10" i="11"/>
  <c r="M10" i="11" s="1"/>
  <c r="H10" i="11"/>
  <c r="I10" i="11" s="1"/>
  <c r="L6" i="11"/>
  <c r="M6" i="11" s="1"/>
  <c r="H6" i="11"/>
  <c r="I6" i="11" s="1"/>
  <c r="L18" i="11"/>
  <c r="M18" i="11" s="1"/>
  <c r="H18" i="11"/>
  <c r="I18" i="11" s="1"/>
  <c r="L45" i="11"/>
  <c r="M45" i="11" s="1"/>
  <c r="H45" i="11"/>
  <c r="I45" i="11" s="1"/>
  <c r="L39" i="11"/>
  <c r="M39" i="11" s="1"/>
  <c r="H39" i="11"/>
  <c r="I39" i="11" s="1"/>
  <c r="L76" i="11"/>
  <c r="M76" i="11" s="1"/>
  <c r="H76" i="11"/>
  <c r="I76" i="11" s="1"/>
  <c r="L61" i="11"/>
  <c r="M61" i="11" s="1"/>
  <c r="H61" i="11"/>
  <c r="I61" i="11" s="1"/>
  <c r="L28" i="11"/>
  <c r="M28" i="11" s="1"/>
  <c r="H28" i="11"/>
  <c r="I28" i="11" s="1"/>
  <c r="L41" i="11"/>
  <c r="M41" i="11" s="1"/>
  <c r="H41" i="11"/>
  <c r="I41" i="11" s="1"/>
  <c r="L21" i="11"/>
  <c r="M21" i="11" s="1"/>
  <c r="H21" i="11"/>
  <c r="I21" i="11" s="1"/>
  <c r="L67" i="11"/>
  <c r="M67" i="11" s="1"/>
  <c r="H67" i="11"/>
  <c r="I67" i="11" s="1"/>
  <c r="L24" i="11"/>
  <c r="M24" i="11" s="1"/>
  <c r="H24" i="11"/>
  <c r="I24" i="11" s="1"/>
  <c r="L51" i="11"/>
  <c r="M51" i="11" s="1"/>
  <c r="H51" i="11"/>
  <c r="I51" i="11" s="1"/>
  <c r="L8" i="11"/>
  <c r="M8" i="11" s="1"/>
  <c r="H8" i="11"/>
  <c r="I8" i="11" s="1"/>
  <c r="L37" i="11"/>
  <c r="M37" i="11" s="1"/>
  <c r="H37" i="11"/>
  <c r="I37" i="11" s="1"/>
  <c r="L58" i="11"/>
  <c r="M58" i="11" s="1"/>
  <c r="H58" i="11"/>
  <c r="I58" i="11" s="1"/>
  <c r="L30" i="11"/>
  <c r="M30" i="11" s="1"/>
  <c r="H30" i="11"/>
  <c r="I30" i="11" s="1"/>
  <c r="L27" i="11"/>
  <c r="M27" i="11" s="1"/>
  <c r="H27" i="11"/>
  <c r="I27" i="11" s="1"/>
  <c r="L46" i="11"/>
  <c r="M46" i="11" s="1"/>
  <c r="H46" i="11"/>
  <c r="I46" i="11" s="1"/>
  <c r="L52" i="11"/>
  <c r="M52" i="11" s="1"/>
  <c r="H52" i="11"/>
  <c r="I52" i="11" s="1"/>
  <c r="L31" i="11"/>
  <c r="M31" i="11" s="1"/>
  <c r="H31" i="11"/>
  <c r="I31" i="11" s="1"/>
  <c r="L43" i="11"/>
  <c r="M43" i="11" s="1"/>
  <c r="H43" i="11"/>
  <c r="I43" i="11" s="1"/>
  <c r="L73" i="11"/>
  <c r="M73" i="11" s="1"/>
  <c r="H73" i="11"/>
  <c r="I73" i="11" s="1"/>
  <c r="L57" i="11"/>
  <c r="M57" i="11" s="1"/>
  <c r="H57" i="11"/>
  <c r="I57" i="11" s="1"/>
  <c r="L23" i="11"/>
  <c r="M23" i="11" s="1"/>
  <c r="H23" i="11"/>
  <c r="I23" i="11" s="1"/>
  <c r="L25" i="11"/>
  <c r="M25" i="11" s="1"/>
  <c r="H25" i="11"/>
  <c r="I25" i="11" s="1"/>
  <c r="L33" i="11"/>
  <c r="M33" i="11" s="1"/>
  <c r="H33" i="11"/>
  <c r="I33" i="11" s="1"/>
  <c r="L35" i="11"/>
  <c r="M35" i="11" s="1"/>
  <c r="H35" i="11"/>
  <c r="I35" i="11" s="1"/>
  <c r="L32" i="11"/>
  <c r="M32" i="11" s="1"/>
  <c r="H32" i="11"/>
  <c r="I32" i="11" s="1"/>
  <c r="L70" i="11"/>
  <c r="M70" i="11" s="1"/>
  <c r="H70" i="11"/>
  <c r="I70" i="11" s="1"/>
  <c r="L55" i="11"/>
  <c r="M55" i="11" s="1"/>
  <c r="H55" i="11"/>
  <c r="I55" i="11" s="1"/>
  <c r="L12" i="11"/>
  <c r="M12" i="11" s="1"/>
  <c r="H12" i="11"/>
  <c r="I12" i="11" s="1"/>
  <c r="L74" i="11"/>
  <c r="M74" i="11" s="1"/>
  <c r="H74" i="11"/>
  <c r="I74" i="11" s="1"/>
  <c r="L53" i="11"/>
  <c r="M53" i="11" s="1"/>
  <c r="H53" i="11"/>
  <c r="I53" i="11" s="1"/>
  <c r="L9" i="11"/>
  <c r="M9" i="11" s="1"/>
  <c r="H9" i="11"/>
  <c r="I9" i="11" s="1"/>
  <c r="L11" i="11"/>
  <c r="M11" i="11" s="1"/>
  <c r="H11" i="11"/>
  <c r="I11" i="11" s="1"/>
  <c r="L36" i="11"/>
  <c r="M36" i="11" s="1"/>
  <c r="H36" i="11"/>
  <c r="I36" i="11" s="1"/>
  <c r="L63" i="11"/>
  <c r="M63" i="11" s="1"/>
  <c r="H63" i="11"/>
  <c r="I63" i="11" s="1"/>
  <c r="L50" i="11"/>
  <c r="M50" i="11" s="1"/>
  <c r="H50" i="11"/>
  <c r="I50" i="11" s="1"/>
  <c r="L72" i="11"/>
  <c r="M72" i="11" s="1"/>
  <c r="H72" i="11"/>
  <c r="I72" i="11" s="1"/>
  <c r="L26" i="11"/>
  <c r="M26" i="11" s="1"/>
  <c r="H26" i="11"/>
  <c r="I26" i="11" s="1"/>
  <c r="L66" i="11"/>
  <c r="M66" i="11" s="1"/>
  <c r="H66" i="11"/>
  <c r="I66" i="11" s="1"/>
  <c r="L75" i="11"/>
  <c r="M75" i="11" s="1"/>
  <c r="H75" i="11"/>
  <c r="I75" i="11" s="1"/>
  <c r="L64" i="11"/>
  <c r="M64" i="11" s="1"/>
  <c r="H64" i="11"/>
  <c r="I64" i="11" s="1"/>
  <c r="L56" i="11"/>
  <c r="M56" i="11" s="1"/>
  <c r="H56" i="11"/>
  <c r="I56" i="11" s="1"/>
  <c r="L38" i="11"/>
  <c r="M38" i="11" s="1"/>
  <c r="H38" i="11"/>
  <c r="I38" i="11" s="1"/>
  <c r="L71" i="11"/>
  <c r="M71" i="11" s="1"/>
  <c r="H71" i="11"/>
  <c r="I71" i="11" s="1"/>
  <c r="L34" i="11"/>
  <c r="M34" i="11" s="1"/>
  <c r="H34" i="11"/>
  <c r="I34" i="11" s="1"/>
  <c r="L42" i="11"/>
  <c r="M42" i="11" s="1"/>
  <c r="H42" i="11"/>
  <c r="I42" i="11" s="1"/>
  <c r="L60" i="11"/>
  <c r="M60" i="11" s="1"/>
  <c r="H60" i="11"/>
  <c r="I60" i="11" s="1"/>
  <c r="L48" i="11"/>
  <c r="M48" i="11" s="1"/>
  <c r="H48" i="11"/>
  <c r="I48" i="11" s="1"/>
  <c r="L40" i="11"/>
  <c r="M40" i="11" s="1"/>
  <c r="H40" i="11"/>
  <c r="I40" i="11" s="1"/>
  <c r="L69" i="11"/>
  <c r="M69" i="11" s="1"/>
  <c r="H69" i="11"/>
  <c r="I69" i="11" s="1"/>
  <c r="L14" i="11"/>
  <c r="M14" i="11" s="1"/>
  <c r="H14" i="11"/>
  <c r="I14" i="11" s="1"/>
  <c r="L54" i="11"/>
  <c r="M54" i="11" s="1"/>
  <c r="H54" i="11"/>
  <c r="I54" i="11" s="1"/>
  <c r="L7" i="11"/>
  <c r="M7" i="11" s="1"/>
  <c r="H7" i="11"/>
  <c r="I7" i="11" s="1"/>
  <c r="L29" i="11"/>
  <c r="M29" i="11" s="1"/>
  <c r="H29" i="11"/>
  <c r="I29" i="11" s="1"/>
  <c r="E320" i="9"/>
  <c r="C325" i="34" l="1"/>
  <c r="F15" i="34" s="1"/>
  <c r="E315" i="25"/>
  <c r="L5" i="11"/>
  <c r="M315" i="49"/>
  <c r="N5" i="49" s="1"/>
  <c r="D4" i="9"/>
  <c r="G42" i="40"/>
  <c r="C314" i="11"/>
  <c r="N7" i="49" l="1"/>
  <c r="O7" i="49" s="1"/>
  <c r="N8" i="49"/>
  <c r="O8" i="49" s="1"/>
  <c r="N9" i="49"/>
  <c r="O9" i="49" s="1"/>
  <c r="N10" i="49"/>
  <c r="O10" i="49" s="1"/>
  <c r="N11" i="49"/>
  <c r="O11" i="49" s="1"/>
  <c r="N12" i="49"/>
  <c r="O12" i="49" s="1"/>
  <c r="N13" i="49"/>
  <c r="O13" i="49" s="1"/>
  <c r="N14" i="49"/>
  <c r="O14" i="49" s="1"/>
  <c r="N15" i="49"/>
  <c r="O15" i="49" s="1"/>
  <c r="N16" i="49"/>
  <c r="O16" i="49" s="1"/>
  <c r="N17" i="49"/>
  <c r="O17" i="49" s="1"/>
  <c r="N18" i="49"/>
  <c r="O18" i="49" s="1"/>
  <c r="N19" i="49"/>
  <c r="O19" i="49" s="1"/>
  <c r="N20" i="49"/>
  <c r="O20" i="49" s="1"/>
  <c r="N21" i="49"/>
  <c r="O21" i="49" s="1"/>
  <c r="N22" i="49"/>
  <c r="O22" i="49" s="1"/>
  <c r="N23" i="49"/>
  <c r="O23" i="49" s="1"/>
  <c r="N24" i="49"/>
  <c r="O24" i="49" s="1"/>
  <c r="N25" i="49"/>
  <c r="O25" i="49" s="1"/>
  <c r="N26" i="49"/>
  <c r="O26" i="49" s="1"/>
  <c r="N27" i="49"/>
  <c r="O27" i="49" s="1"/>
  <c r="N28" i="49"/>
  <c r="O28" i="49" s="1"/>
  <c r="N29" i="49"/>
  <c r="O29" i="49" s="1"/>
  <c r="N30" i="49"/>
  <c r="O30" i="49" s="1"/>
  <c r="N31" i="49"/>
  <c r="O31" i="49" s="1"/>
  <c r="N32" i="49"/>
  <c r="O32" i="49" s="1"/>
  <c r="N33" i="49"/>
  <c r="O33" i="49" s="1"/>
  <c r="N34" i="49"/>
  <c r="O34" i="49" s="1"/>
  <c r="N35" i="49"/>
  <c r="O35" i="49" s="1"/>
  <c r="N36" i="49"/>
  <c r="O36" i="49" s="1"/>
  <c r="N37" i="49"/>
  <c r="O37" i="49" s="1"/>
  <c r="N38" i="49"/>
  <c r="O38" i="49" s="1"/>
  <c r="N39" i="49"/>
  <c r="O39" i="49" s="1"/>
  <c r="N40" i="49"/>
  <c r="O40" i="49" s="1"/>
  <c r="N41" i="49"/>
  <c r="O41" i="49" s="1"/>
  <c r="N42" i="49"/>
  <c r="O42" i="49" s="1"/>
  <c r="N43" i="49"/>
  <c r="O43" i="49" s="1"/>
  <c r="N44" i="49"/>
  <c r="O44" i="49" s="1"/>
  <c r="N45" i="49"/>
  <c r="O45" i="49" s="1"/>
  <c r="N46" i="49"/>
  <c r="O46" i="49" s="1"/>
  <c r="N47" i="49"/>
  <c r="O47" i="49" s="1"/>
  <c r="N48" i="49"/>
  <c r="O48" i="49" s="1"/>
  <c r="N49" i="49"/>
  <c r="O49" i="49" s="1"/>
  <c r="N50" i="49"/>
  <c r="O50" i="49" s="1"/>
  <c r="N51" i="49"/>
  <c r="O51" i="49" s="1"/>
  <c r="N52" i="49"/>
  <c r="O52" i="49" s="1"/>
  <c r="N53" i="49"/>
  <c r="O53" i="49" s="1"/>
  <c r="N54" i="49"/>
  <c r="O54" i="49" s="1"/>
  <c r="N55" i="49"/>
  <c r="O55" i="49" s="1"/>
  <c r="N56" i="49"/>
  <c r="O56" i="49" s="1"/>
  <c r="N57" i="49"/>
  <c r="O57" i="49" s="1"/>
  <c r="N58" i="49"/>
  <c r="O58" i="49" s="1"/>
  <c r="N59" i="49"/>
  <c r="O59" i="49" s="1"/>
  <c r="N60" i="49"/>
  <c r="O60" i="49" s="1"/>
  <c r="N61" i="49"/>
  <c r="O61" i="49" s="1"/>
  <c r="N62" i="49"/>
  <c r="O62" i="49" s="1"/>
  <c r="N63" i="49"/>
  <c r="O63" i="49" s="1"/>
  <c r="N64" i="49"/>
  <c r="O64" i="49" s="1"/>
  <c r="N65" i="49"/>
  <c r="O65" i="49" s="1"/>
  <c r="N66" i="49"/>
  <c r="O66" i="49" s="1"/>
  <c r="N67" i="49"/>
  <c r="O67" i="49" s="1"/>
  <c r="N68" i="49"/>
  <c r="O68" i="49" s="1"/>
  <c r="N69" i="49"/>
  <c r="O69" i="49" s="1"/>
  <c r="N70" i="49"/>
  <c r="O70" i="49" s="1"/>
  <c r="N71" i="49"/>
  <c r="O71" i="49" s="1"/>
  <c r="N72" i="49"/>
  <c r="O72" i="49" s="1"/>
  <c r="N73" i="49"/>
  <c r="O73" i="49" s="1"/>
  <c r="N74" i="49"/>
  <c r="O74" i="49" s="1"/>
  <c r="N75" i="49"/>
  <c r="O75" i="49" s="1"/>
  <c r="N76" i="49"/>
  <c r="O76" i="49" s="1"/>
  <c r="N77" i="49"/>
  <c r="O77" i="49" s="1"/>
  <c r="N78" i="49"/>
  <c r="O78" i="49" s="1"/>
  <c r="N79" i="49"/>
  <c r="O79" i="49" s="1"/>
  <c r="N80" i="49"/>
  <c r="O80" i="49" s="1"/>
  <c r="N81" i="49"/>
  <c r="O81" i="49" s="1"/>
  <c r="N82" i="49"/>
  <c r="O82" i="49" s="1"/>
  <c r="N83" i="49"/>
  <c r="O83" i="49" s="1"/>
  <c r="N84" i="49"/>
  <c r="O84" i="49" s="1"/>
  <c r="N85" i="49"/>
  <c r="O85" i="49" s="1"/>
  <c r="N86" i="49"/>
  <c r="O86" i="49" s="1"/>
  <c r="N87" i="49"/>
  <c r="O87" i="49" s="1"/>
  <c r="N88" i="49"/>
  <c r="O88" i="49" s="1"/>
  <c r="N89" i="49"/>
  <c r="O89" i="49" s="1"/>
  <c r="N90" i="49"/>
  <c r="O90" i="49" s="1"/>
  <c r="N91" i="49"/>
  <c r="O91" i="49" s="1"/>
  <c r="N92" i="49"/>
  <c r="O92" i="49" s="1"/>
  <c r="N93" i="49"/>
  <c r="O93" i="49" s="1"/>
  <c r="N94" i="49"/>
  <c r="O94" i="49" s="1"/>
  <c r="N95" i="49"/>
  <c r="O95" i="49" s="1"/>
  <c r="N96" i="49"/>
  <c r="O96" i="49" s="1"/>
  <c r="N97" i="49"/>
  <c r="O97" i="49" s="1"/>
  <c r="N98" i="49"/>
  <c r="O98" i="49" s="1"/>
  <c r="N99" i="49"/>
  <c r="O99" i="49" s="1"/>
  <c r="N100" i="49"/>
  <c r="O100" i="49" s="1"/>
  <c r="N101" i="49"/>
  <c r="O101" i="49" s="1"/>
  <c r="N102" i="49"/>
  <c r="O102" i="49" s="1"/>
  <c r="N103" i="49"/>
  <c r="O103" i="49" s="1"/>
  <c r="N104" i="49"/>
  <c r="O104" i="49" s="1"/>
  <c r="N105" i="49"/>
  <c r="O105" i="49" s="1"/>
  <c r="N106" i="49"/>
  <c r="O106" i="49" s="1"/>
  <c r="N107" i="49"/>
  <c r="O107" i="49" s="1"/>
  <c r="N108" i="49"/>
  <c r="O108" i="49" s="1"/>
  <c r="N109" i="49"/>
  <c r="O109" i="49" s="1"/>
  <c r="N110" i="49"/>
  <c r="O110" i="49" s="1"/>
  <c r="N111" i="49"/>
  <c r="O111" i="49" s="1"/>
  <c r="N112" i="49"/>
  <c r="O112" i="49" s="1"/>
  <c r="N113" i="49"/>
  <c r="O113" i="49" s="1"/>
  <c r="N114" i="49"/>
  <c r="O114" i="49" s="1"/>
  <c r="N115" i="49"/>
  <c r="O115" i="49" s="1"/>
  <c r="N116" i="49"/>
  <c r="O116" i="49" s="1"/>
  <c r="N117" i="49"/>
  <c r="O117" i="49" s="1"/>
  <c r="N118" i="49"/>
  <c r="O118" i="49" s="1"/>
  <c r="N119" i="49"/>
  <c r="O119" i="49" s="1"/>
  <c r="N120" i="49"/>
  <c r="O120" i="49" s="1"/>
  <c r="N121" i="49"/>
  <c r="O121" i="49" s="1"/>
  <c r="N122" i="49"/>
  <c r="O122" i="49" s="1"/>
  <c r="N123" i="49"/>
  <c r="O123" i="49" s="1"/>
  <c r="N124" i="49"/>
  <c r="O124" i="49" s="1"/>
  <c r="N125" i="49"/>
  <c r="O125" i="49" s="1"/>
  <c r="N126" i="49"/>
  <c r="O126" i="49" s="1"/>
  <c r="N127" i="49"/>
  <c r="O127" i="49" s="1"/>
  <c r="N128" i="49"/>
  <c r="O128" i="49" s="1"/>
  <c r="N129" i="49"/>
  <c r="O129" i="49" s="1"/>
  <c r="N130" i="49"/>
  <c r="O130" i="49" s="1"/>
  <c r="N134" i="49"/>
  <c r="O134" i="49" s="1"/>
  <c r="N138" i="49"/>
  <c r="O138" i="49" s="1"/>
  <c r="N142" i="49"/>
  <c r="O142" i="49" s="1"/>
  <c r="N133" i="49"/>
  <c r="O133" i="49" s="1"/>
  <c r="N137" i="49"/>
  <c r="O137" i="49" s="1"/>
  <c r="N141" i="49"/>
  <c r="O141" i="49" s="1"/>
  <c r="N145" i="49"/>
  <c r="O145" i="49" s="1"/>
  <c r="N146" i="49"/>
  <c r="O146" i="49" s="1"/>
  <c r="N147" i="49"/>
  <c r="O147" i="49" s="1"/>
  <c r="N148" i="49"/>
  <c r="O148" i="49" s="1"/>
  <c r="N149" i="49"/>
  <c r="O149" i="49" s="1"/>
  <c r="N150" i="49"/>
  <c r="O150" i="49" s="1"/>
  <c r="N151" i="49"/>
  <c r="O151" i="49" s="1"/>
  <c r="N152" i="49"/>
  <c r="O152" i="49" s="1"/>
  <c r="N153" i="49"/>
  <c r="O153" i="49" s="1"/>
  <c r="N154" i="49"/>
  <c r="O154" i="49" s="1"/>
  <c r="N155" i="49"/>
  <c r="O155" i="49" s="1"/>
  <c r="N156" i="49"/>
  <c r="O156" i="49" s="1"/>
  <c r="N157" i="49"/>
  <c r="O157" i="49" s="1"/>
  <c r="N158" i="49"/>
  <c r="O158" i="49" s="1"/>
  <c r="N159" i="49"/>
  <c r="O159" i="49" s="1"/>
  <c r="N160" i="49"/>
  <c r="O160" i="49" s="1"/>
  <c r="N161" i="49"/>
  <c r="O161" i="49" s="1"/>
  <c r="N162" i="49"/>
  <c r="O162" i="49" s="1"/>
  <c r="N163" i="49"/>
  <c r="O163" i="49" s="1"/>
  <c r="N164" i="49"/>
  <c r="O164" i="49" s="1"/>
  <c r="N165" i="49"/>
  <c r="O165" i="49" s="1"/>
  <c r="N166" i="49"/>
  <c r="O166" i="49" s="1"/>
  <c r="N167" i="49"/>
  <c r="O167" i="49" s="1"/>
  <c r="N168" i="49"/>
  <c r="O168" i="49" s="1"/>
  <c r="N169" i="49"/>
  <c r="O169" i="49" s="1"/>
  <c r="N170" i="49"/>
  <c r="O170" i="49" s="1"/>
  <c r="N171" i="49"/>
  <c r="O171" i="49" s="1"/>
  <c r="N172" i="49"/>
  <c r="O172" i="49" s="1"/>
  <c r="N173" i="49"/>
  <c r="O173" i="49" s="1"/>
  <c r="N174" i="49"/>
  <c r="O174" i="49" s="1"/>
  <c r="N175" i="49"/>
  <c r="O175" i="49" s="1"/>
  <c r="N176" i="49"/>
  <c r="O176" i="49" s="1"/>
  <c r="N177" i="49"/>
  <c r="O177" i="49" s="1"/>
  <c r="N178" i="49"/>
  <c r="O178" i="49" s="1"/>
  <c r="N179" i="49"/>
  <c r="O179" i="49" s="1"/>
  <c r="N180" i="49"/>
  <c r="O180" i="49" s="1"/>
  <c r="N181" i="49"/>
  <c r="O181" i="49" s="1"/>
  <c r="N132" i="49"/>
  <c r="O132" i="49" s="1"/>
  <c r="N136" i="49"/>
  <c r="O136" i="49" s="1"/>
  <c r="N140" i="49"/>
  <c r="O140" i="49" s="1"/>
  <c r="N144" i="49"/>
  <c r="O144" i="49" s="1"/>
  <c r="N131" i="49"/>
  <c r="O131" i="49" s="1"/>
  <c r="N135" i="49"/>
  <c r="O135" i="49" s="1"/>
  <c r="N139" i="49"/>
  <c r="O139" i="49" s="1"/>
  <c r="N143" i="49"/>
  <c r="O143" i="49" s="1"/>
  <c r="N182" i="49"/>
  <c r="O182" i="49" s="1"/>
  <c r="N183" i="49"/>
  <c r="O183" i="49" s="1"/>
  <c r="N184" i="49"/>
  <c r="O184" i="49" s="1"/>
  <c r="N185" i="49"/>
  <c r="O185" i="49" s="1"/>
  <c r="N186" i="49"/>
  <c r="O186" i="49" s="1"/>
  <c r="N187" i="49"/>
  <c r="O187" i="49" s="1"/>
  <c r="N188" i="49"/>
  <c r="O188" i="49" s="1"/>
  <c r="N189" i="49"/>
  <c r="O189" i="49" s="1"/>
  <c r="N190" i="49"/>
  <c r="O190" i="49" s="1"/>
  <c r="N191" i="49"/>
  <c r="O191" i="49" s="1"/>
  <c r="N192" i="49"/>
  <c r="O192" i="49" s="1"/>
  <c r="N193" i="49"/>
  <c r="O193" i="49" s="1"/>
  <c r="N194" i="49"/>
  <c r="O194" i="49" s="1"/>
  <c r="N195" i="49"/>
  <c r="O195" i="49" s="1"/>
  <c r="N196" i="49"/>
  <c r="O196" i="49" s="1"/>
  <c r="N197" i="49"/>
  <c r="O197" i="49" s="1"/>
  <c r="N198" i="49"/>
  <c r="O198" i="49" s="1"/>
  <c r="N199" i="49"/>
  <c r="O199" i="49" s="1"/>
  <c r="N200" i="49"/>
  <c r="O200" i="49" s="1"/>
  <c r="N201" i="49"/>
  <c r="O201" i="49" s="1"/>
  <c r="N202" i="49"/>
  <c r="O202" i="49" s="1"/>
  <c r="N203" i="49"/>
  <c r="O203" i="49" s="1"/>
  <c r="N204" i="49"/>
  <c r="O204" i="49" s="1"/>
  <c r="N205" i="49"/>
  <c r="O205" i="49" s="1"/>
  <c r="N206" i="49"/>
  <c r="O206" i="49" s="1"/>
  <c r="N207" i="49"/>
  <c r="O207" i="49" s="1"/>
  <c r="N208" i="49"/>
  <c r="O208" i="49" s="1"/>
  <c r="N209" i="49"/>
  <c r="O209" i="49" s="1"/>
  <c r="N210" i="49"/>
  <c r="O210" i="49" s="1"/>
  <c r="N211" i="49"/>
  <c r="O211" i="49" s="1"/>
  <c r="N212" i="49"/>
  <c r="O212" i="49" s="1"/>
  <c r="N213" i="49"/>
  <c r="O213" i="49" s="1"/>
  <c r="N214" i="49"/>
  <c r="O214" i="49" s="1"/>
  <c r="N215" i="49"/>
  <c r="O215" i="49" s="1"/>
  <c r="N216" i="49"/>
  <c r="O216" i="49" s="1"/>
  <c r="N217" i="49"/>
  <c r="O217" i="49" s="1"/>
  <c r="N218" i="49"/>
  <c r="O218" i="49" s="1"/>
  <c r="N219" i="49"/>
  <c r="O219" i="49" s="1"/>
  <c r="N220" i="49"/>
  <c r="O220" i="49" s="1"/>
  <c r="N221" i="49"/>
  <c r="O221" i="49" s="1"/>
  <c r="N222" i="49"/>
  <c r="O222" i="49" s="1"/>
  <c r="N223" i="49"/>
  <c r="O223" i="49" s="1"/>
  <c r="N224" i="49"/>
  <c r="O224" i="49" s="1"/>
  <c r="N225" i="49"/>
  <c r="O225" i="49" s="1"/>
  <c r="N226" i="49"/>
  <c r="O226" i="49" s="1"/>
  <c r="N227" i="49"/>
  <c r="O227" i="49" s="1"/>
  <c r="N228" i="49"/>
  <c r="O228" i="49" s="1"/>
  <c r="N229" i="49"/>
  <c r="O229" i="49" s="1"/>
  <c r="N230" i="49"/>
  <c r="O230" i="49" s="1"/>
  <c r="N231" i="49"/>
  <c r="O231" i="49" s="1"/>
  <c r="N232" i="49"/>
  <c r="O232" i="49" s="1"/>
  <c r="N233" i="49"/>
  <c r="O233" i="49" s="1"/>
  <c r="N234" i="49"/>
  <c r="O234" i="49" s="1"/>
  <c r="N235" i="49"/>
  <c r="O235" i="49" s="1"/>
  <c r="N236" i="49"/>
  <c r="O236" i="49" s="1"/>
  <c r="N237" i="49"/>
  <c r="O237" i="49" s="1"/>
  <c r="N238" i="49"/>
  <c r="O238" i="49" s="1"/>
  <c r="N239" i="49"/>
  <c r="O239" i="49" s="1"/>
  <c r="N240" i="49"/>
  <c r="O240" i="49" s="1"/>
  <c r="N241" i="49"/>
  <c r="O241" i="49" s="1"/>
  <c r="N242" i="49"/>
  <c r="O242" i="49" s="1"/>
  <c r="N243" i="49"/>
  <c r="O243" i="49" s="1"/>
  <c r="N244" i="49"/>
  <c r="O244" i="49" s="1"/>
  <c r="N245" i="49"/>
  <c r="O245" i="49" s="1"/>
  <c r="N246" i="49"/>
  <c r="O246" i="49" s="1"/>
  <c r="N247" i="49"/>
  <c r="O247" i="49" s="1"/>
  <c r="N248" i="49"/>
  <c r="O248" i="49" s="1"/>
  <c r="N249" i="49"/>
  <c r="O249" i="49" s="1"/>
  <c r="N250" i="49"/>
  <c r="O250" i="49" s="1"/>
  <c r="N251" i="49"/>
  <c r="O251" i="49" s="1"/>
  <c r="N252" i="49"/>
  <c r="O252" i="49" s="1"/>
  <c r="N253" i="49"/>
  <c r="O253" i="49" s="1"/>
  <c r="N254" i="49"/>
  <c r="O254" i="49" s="1"/>
  <c r="N255" i="49"/>
  <c r="O255" i="49" s="1"/>
  <c r="N256" i="49"/>
  <c r="O256" i="49" s="1"/>
  <c r="N257" i="49"/>
  <c r="O257" i="49" s="1"/>
  <c r="N258" i="49"/>
  <c r="O258" i="49" s="1"/>
  <c r="N259" i="49"/>
  <c r="O259" i="49" s="1"/>
  <c r="N260" i="49"/>
  <c r="O260" i="49" s="1"/>
  <c r="N261" i="49"/>
  <c r="O261" i="49" s="1"/>
  <c r="N268" i="49"/>
  <c r="O268" i="49" s="1"/>
  <c r="N270" i="49"/>
  <c r="O270" i="49" s="1"/>
  <c r="N275" i="49"/>
  <c r="O275" i="49" s="1"/>
  <c r="N279" i="49"/>
  <c r="O279" i="49" s="1"/>
  <c r="N280" i="49"/>
  <c r="O280" i="49" s="1"/>
  <c r="N283" i="49"/>
  <c r="O283" i="49" s="1"/>
  <c r="N286" i="49"/>
  <c r="O286" i="49" s="1"/>
  <c r="N291" i="49"/>
  <c r="O291" i="49" s="1"/>
  <c r="N297" i="49"/>
  <c r="O297" i="49" s="1"/>
  <c r="N302" i="49"/>
  <c r="O302" i="49" s="1"/>
  <c r="N307" i="49"/>
  <c r="O307" i="49" s="1"/>
  <c r="N310" i="49"/>
  <c r="O310" i="49" s="1"/>
  <c r="N313" i="49"/>
  <c r="O313" i="49" s="1"/>
  <c r="N262" i="49"/>
  <c r="O262" i="49" s="1"/>
  <c r="N263" i="49"/>
  <c r="O263" i="49" s="1"/>
  <c r="N264" i="49"/>
  <c r="O264" i="49" s="1"/>
  <c r="N265" i="49"/>
  <c r="O265" i="49" s="1"/>
  <c r="N266" i="49"/>
  <c r="O266" i="49" s="1"/>
  <c r="N267" i="49"/>
  <c r="O267" i="49" s="1"/>
  <c r="N269" i="49"/>
  <c r="O269" i="49" s="1"/>
  <c r="N271" i="49"/>
  <c r="O271" i="49" s="1"/>
  <c r="N272" i="49"/>
  <c r="O272" i="49" s="1"/>
  <c r="N273" i="49"/>
  <c r="O273" i="49" s="1"/>
  <c r="N274" i="49"/>
  <c r="O274" i="49" s="1"/>
  <c r="N276" i="49"/>
  <c r="O276" i="49" s="1"/>
  <c r="N277" i="49"/>
  <c r="O277" i="49" s="1"/>
  <c r="N278" i="49"/>
  <c r="O278" i="49" s="1"/>
  <c r="N281" i="49"/>
  <c r="O281" i="49" s="1"/>
  <c r="N282" i="49"/>
  <c r="O282" i="49" s="1"/>
  <c r="N284" i="49"/>
  <c r="O284" i="49" s="1"/>
  <c r="N285" i="49"/>
  <c r="O285" i="49" s="1"/>
  <c r="N287" i="49"/>
  <c r="O287" i="49" s="1"/>
  <c r="N288" i="49"/>
  <c r="O288" i="49" s="1"/>
  <c r="N289" i="49"/>
  <c r="O289" i="49" s="1"/>
  <c r="N290" i="49"/>
  <c r="O290" i="49" s="1"/>
  <c r="N292" i="49"/>
  <c r="O292" i="49" s="1"/>
  <c r="N293" i="49"/>
  <c r="O293" i="49" s="1"/>
  <c r="N294" i="49"/>
  <c r="O294" i="49" s="1"/>
  <c r="N295" i="49"/>
  <c r="O295" i="49" s="1"/>
  <c r="N296" i="49"/>
  <c r="O296" i="49" s="1"/>
  <c r="N298" i="49"/>
  <c r="O298" i="49" s="1"/>
  <c r="N299" i="49"/>
  <c r="O299" i="49" s="1"/>
  <c r="N300" i="49"/>
  <c r="O300" i="49" s="1"/>
  <c r="N301" i="49"/>
  <c r="O301" i="49" s="1"/>
  <c r="N303" i="49"/>
  <c r="O303" i="49" s="1"/>
  <c r="N304" i="49"/>
  <c r="O304" i="49" s="1"/>
  <c r="N305" i="49"/>
  <c r="O305" i="49" s="1"/>
  <c r="N306" i="49"/>
  <c r="O306" i="49" s="1"/>
  <c r="N308" i="49"/>
  <c r="O308" i="49" s="1"/>
  <c r="N309" i="49"/>
  <c r="O309" i="49" s="1"/>
  <c r="N311" i="49"/>
  <c r="O311" i="49" s="1"/>
  <c r="N312" i="49"/>
  <c r="O312" i="49" s="1"/>
  <c r="N314" i="49"/>
  <c r="O314" i="49" s="1"/>
  <c r="D6" i="34"/>
  <c r="D8" i="34"/>
  <c r="D5" i="34"/>
  <c r="N6" i="49"/>
  <c r="E5" i="37"/>
  <c r="F5" i="37" s="1"/>
  <c r="I5" i="37" s="1"/>
  <c r="D5" i="9"/>
  <c r="D7" i="9"/>
  <c r="B21" i="48" s="1"/>
  <c r="D6" i="9"/>
  <c r="I314" i="11"/>
  <c r="H314" i="11"/>
  <c r="M5" i="11"/>
  <c r="L314" i="11"/>
  <c r="M244" i="25" l="1"/>
  <c r="J244" i="51" s="1"/>
  <c r="K244" i="51" s="1"/>
  <c r="M105" i="25"/>
  <c r="J105" i="51" s="1"/>
  <c r="K105" i="51" s="1"/>
  <c r="M170" i="25"/>
  <c r="J170" i="51" s="1"/>
  <c r="K170" i="51" s="1"/>
  <c r="M219" i="25"/>
  <c r="J219" i="51" s="1"/>
  <c r="K219" i="51" s="1"/>
  <c r="K40" i="40"/>
  <c r="M314" i="11"/>
  <c r="F10" i="9"/>
  <c r="G16" i="34"/>
  <c r="H16" i="34" s="1"/>
  <c r="F11" i="9" l="1"/>
  <c r="M211" i="25"/>
  <c r="J211" i="51" s="1"/>
  <c r="M231" i="25"/>
  <c r="J231" i="51" s="1"/>
  <c r="M43" i="25"/>
  <c r="J43" i="51" s="1"/>
  <c r="M215" i="25"/>
  <c r="J215" i="51" s="1"/>
  <c r="M24" i="25"/>
  <c r="J24" i="51" s="1"/>
  <c r="M314" i="25"/>
  <c r="J314" i="51" s="1"/>
  <c r="M70" i="25"/>
  <c r="J70" i="51" s="1"/>
  <c r="M52" i="25"/>
  <c r="J52" i="51" s="1"/>
  <c r="M297" i="25"/>
  <c r="J297" i="51" s="1"/>
  <c r="M37" i="25"/>
  <c r="J37" i="51" s="1"/>
  <c r="M167" i="25"/>
  <c r="J167" i="51" s="1"/>
  <c r="M145" i="25"/>
  <c r="J145" i="51" s="1"/>
  <c r="M150" i="25"/>
  <c r="J150" i="51" s="1"/>
  <c r="M142" i="25"/>
  <c r="J142" i="51" s="1"/>
  <c r="M283" i="25"/>
  <c r="J283" i="51" s="1"/>
  <c r="M149" i="25"/>
  <c r="J149" i="51" s="1"/>
  <c r="M151" i="25"/>
  <c r="J151" i="51" s="1"/>
  <c r="M196" i="25"/>
  <c r="J196" i="51" s="1"/>
  <c r="M261" i="25"/>
  <c r="J261" i="51" s="1"/>
  <c r="M71" i="25"/>
  <c r="J71" i="51" s="1"/>
  <c r="M263" i="25"/>
  <c r="J263" i="51" s="1"/>
  <c r="M187" i="25"/>
  <c r="J187" i="51" s="1"/>
  <c r="M264" i="25"/>
  <c r="J264" i="51" s="1"/>
  <c r="M133" i="25"/>
  <c r="J133" i="51" s="1"/>
  <c r="M139" i="25"/>
  <c r="J139" i="51" s="1"/>
  <c r="M262" i="25"/>
  <c r="J262" i="51" s="1"/>
  <c r="M294" i="25"/>
  <c r="J294" i="51" s="1"/>
  <c r="M96" i="25"/>
  <c r="J96" i="51" s="1"/>
  <c r="M121" i="25"/>
  <c r="J121" i="51" s="1"/>
  <c r="M271" i="25"/>
  <c r="J271" i="51" s="1"/>
  <c r="M228" i="25"/>
  <c r="J228" i="51" s="1"/>
  <c r="M221" i="25"/>
  <c r="J221" i="51" s="1"/>
  <c r="M236" i="25"/>
  <c r="J236" i="51" s="1"/>
  <c r="M252" i="25"/>
  <c r="J252" i="51" s="1"/>
  <c r="M269" i="25"/>
  <c r="J269" i="51" s="1"/>
  <c r="M268" i="25"/>
  <c r="J268" i="51" s="1"/>
  <c r="M200" i="25"/>
  <c r="J200" i="51" s="1"/>
  <c r="M308" i="25"/>
  <c r="J308" i="51" s="1"/>
  <c r="M46" i="25"/>
  <c r="J46" i="51" s="1"/>
  <c r="M41" i="25"/>
  <c r="J41" i="51" s="1"/>
  <c r="M238" i="25"/>
  <c r="J238" i="51" s="1"/>
  <c r="M25" i="25"/>
  <c r="J25" i="51" s="1"/>
  <c r="M27" i="25"/>
  <c r="J27" i="51" s="1"/>
  <c r="M204" i="25"/>
  <c r="J204" i="51" s="1"/>
  <c r="M89" i="25"/>
  <c r="J89" i="51" s="1"/>
  <c r="M42" i="25"/>
  <c r="J42" i="51" s="1"/>
  <c r="M72" i="25"/>
  <c r="J72" i="51" s="1"/>
  <c r="M83" i="25"/>
  <c r="J83" i="51" s="1"/>
  <c r="M135" i="25"/>
  <c r="J135" i="51" s="1"/>
  <c r="M278" i="25"/>
  <c r="J278" i="51" s="1"/>
  <c r="M162" i="25"/>
  <c r="J162" i="51" s="1"/>
  <c r="M13" i="25"/>
  <c r="J13" i="51" s="1"/>
  <c r="M251" i="25"/>
  <c r="J251" i="51" s="1"/>
  <c r="M195" i="25"/>
  <c r="J195" i="51" s="1"/>
  <c r="M119" i="25"/>
  <c r="J119" i="51" s="1"/>
  <c r="M207" i="25"/>
  <c r="J207" i="51" s="1"/>
  <c r="M108" i="25"/>
  <c r="J108" i="51" s="1"/>
  <c r="M92" i="25"/>
  <c r="J92" i="51" s="1"/>
  <c r="M36" i="25"/>
  <c r="J36" i="51" s="1"/>
  <c r="M30" i="25"/>
  <c r="J30" i="51" s="1"/>
  <c r="M176" i="25"/>
  <c r="J176" i="51" s="1"/>
  <c r="M125" i="25"/>
  <c r="J125" i="51" s="1"/>
  <c r="M146" i="25"/>
  <c r="J146" i="51" s="1"/>
  <c r="M122" i="25"/>
  <c r="J122" i="51" s="1"/>
  <c r="M21" i="25"/>
  <c r="J21" i="51" s="1"/>
  <c r="M286" i="25"/>
  <c r="J286" i="51" s="1"/>
  <c r="M85" i="25"/>
  <c r="J85" i="51" s="1"/>
  <c r="M257" i="25"/>
  <c r="J257" i="51" s="1"/>
  <c r="M157" i="25"/>
  <c r="J157" i="51" s="1"/>
  <c r="M34" i="25"/>
  <c r="J34" i="51" s="1"/>
  <c r="M91" i="25"/>
  <c r="J91" i="51" s="1"/>
  <c r="M120" i="25"/>
  <c r="J120" i="51" s="1"/>
  <c r="M8" i="25"/>
  <c r="J8" i="51" s="1"/>
  <c r="M155" i="25"/>
  <c r="J155" i="51" s="1"/>
  <c r="M16" i="25"/>
  <c r="J16" i="51" s="1"/>
  <c r="M55" i="25"/>
  <c r="J55" i="51" s="1"/>
  <c r="M123" i="25"/>
  <c r="J123" i="51" s="1"/>
  <c r="M82" i="25"/>
  <c r="J82" i="51" s="1"/>
  <c r="M258" i="25"/>
  <c r="J258" i="51" s="1"/>
  <c r="M10" i="25"/>
  <c r="J10" i="51" s="1"/>
  <c r="M253" i="25"/>
  <c r="J253" i="51" s="1"/>
  <c r="M65" i="25"/>
  <c r="J65" i="51" s="1"/>
  <c r="M161" i="25"/>
  <c r="J161" i="51" s="1"/>
  <c r="M274" i="25"/>
  <c r="J274" i="51" s="1"/>
  <c r="M62" i="25"/>
  <c r="J62" i="51" s="1"/>
  <c r="M33" i="25"/>
  <c r="J33" i="51" s="1"/>
  <c r="M312" i="25"/>
  <c r="J312" i="51" s="1"/>
  <c r="M74" i="25"/>
  <c r="J74" i="51" s="1"/>
  <c r="M214" i="25"/>
  <c r="J214" i="51" s="1"/>
  <c r="M241" i="25"/>
  <c r="J241" i="51" s="1"/>
  <c r="M192" i="25"/>
  <c r="J192" i="51" s="1"/>
  <c r="M7" i="25"/>
  <c r="J7" i="51" s="1"/>
  <c r="M35" i="25"/>
  <c r="J35" i="51" s="1"/>
  <c r="M300" i="25"/>
  <c r="J300" i="51" s="1"/>
  <c r="M75" i="25"/>
  <c r="J75" i="51" s="1"/>
  <c r="M301" i="25"/>
  <c r="J301" i="51" s="1"/>
  <c r="M11" i="25"/>
  <c r="J11" i="51" s="1"/>
  <c r="M285" i="25"/>
  <c r="J285" i="51" s="1"/>
  <c r="M276" i="25"/>
  <c r="J276" i="51" s="1"/>
  <c r="M172" i="25"/>
  <c r="J172" i="51" s="1"/>
  <c r="M94" i="25"/>
  <c r="J94" i="51" s="1"/>
  <c r="M194" i="25"/>
  <c r="J194" i="51" s="1"/>
  <c r="M56" i="25"/>
  <c r="J56" i="51" s="1"/>
  <c r="M201" i="25"/>
  <c r="J201" i="51" s="1"/>
  <c r="M28" i="25"/>
  <c r="J28" i="51" s="1"/>
  <c r="M44" i="25"/>
  <c r="J44" i="51" s="1"/>
  <c r="M203" i="25"/>
  <c r="J203" i="51" s="1"/>
  <c r="M78" i="25"/>
  <c r="J78" i="51" s="1"/>
  <c r="M166" i="25"/>
  <c r="J166" i="51" s="1"/>
  <c r="M81" i="25"/>
  <c r="J81" i="51" s="1"/>
  <c r="M240" i="25"/>
  <c r="J240" i="51" s="1"/>
  <c r="M49" i="25"/>
  <c r="J49" i="51" s="1"/>
  <c r="M116" i="25"/>
  <c r="J116" i="51" s="1"/>
  <c r="M189" i="25"/>
  <c r="J189" i="51" s="1"/>
  <c r="M310" i="25"/>
  <c r="J310" i="51" s="1"/>
  <c r="M64" i="25"/>
  <c r="J64" i="51" s="1"/>
  <c r="M302" i="25"/>
  <c r="J302" i="51" s="1"/>
  <c r="M178" i="25"/>
  <c r="J178" i="51" s="1"/>
  <c r="M156" i="25"/>
  <c r="J156" i="51" s="1"/>
  <c r="M270" i="25"/>
  <c r="J270" i="51" s="1"/>
  <c r="M22" i="25"/>
  <c r="J22" i="51" s="1"/>
  <c r="M177" i="25"/>
  <c r="J177" i="51" s="1"/>
  <c r="M179" i="25"/>
  <c r="J179" i="51" s="1"/>
  <c r="M15" i="25"/>
  <c r="J15" i="51" s="1"/>
  <c r="M242" i="25"/>
  <c r="J242" i="51" s="1"/>
  <c r="M280" i="25"/>
  <c r="J280" i="51" s="1"/>
  <c r="M190" i="25"/>
  <c r="J190" i="51" s="1"/>
  <c r="M237" i="25"/>
  <c r="J237" i="51" s="1"/>
  <c r="M165" i="25"/>
  <c r="J165" i="51" s="1"/>
  <c r="M158" i="25"/>
  <c r="J158" i="51" s="1"/>
  <c r="M102" i="25"/>
  <c r="J102" i="51" s="1"/>
  <c r="M144" i="25"/>
  <c r="J144" i="51" s="1"/>
  <c r="M275" i="25"/>
  <c r="J275" i="51" s="1"/>
  <c r="M152" i="25"/>
  <c r="J152" i="51" s="1"/>
  <c r="M232" i="25"/>
  <c r="J232" i="51" s="1"/>
  <c r="M31" i="25"/>
  <c r="J31" i="51" s="1"/>
  <c r="M47" i="25"/>
  <c r="J47" i="51" s="1"/>
  <c r="M163" i="25"/>
  <c r="J163" i="51" s="1"/>
  <c r="M305" i="25"/>
  <c r="J305" i="51" s="1"/>
  <c r="M88" i="25"/>
  <c r="J88" i="51" s="1"/>
  <c r="M87" i="25"/>
  <c r="J87" i="51" s="1"/>
  <c r="M250" i="25"/>
  <c r="J250" i="51" s="1"/>
  <c r="M154" i="25"/>
  <c r="J154" i="51" s="1"/>
  <c r="M266" i="25"/>
  <c r="J266" i="51" s="1"/>
  <c r="M140" i="25"/>
  <c r="J140" i="51" s="1"/>
  <c r="M303" i="25"/>
  <c r="J303" i="51" s="1"/>
  <c r="M212" i="25"/>
  <c r="J212" i="51" s="1"/>
  <c r="M208" i="25"/>
  <c r="J208" i="51" s="1"/>
  <c r="M284" i="25"/>
  <c r="J284" i="51" s="1"/>
  <c r="M223" i="25"/>
  <c r="J223" i="51" s="1"/>
  <c r="M29" i="25"/>
  <c r="J29" i="51" s="1"/>
  <c r="M175" i="25"/>
  <c r="J175" i="51" s="1"/>
  <c r="M23" i="25"/>
  <c r="J23" i="51" s="1"/>
  <c r="M117" i="25"/>
  <c r="J117" i="51" s="1"/>
  <c r="M277" i="25"/>
  <c r="J277" i="51" s="1"/>
  <c r="M169" i="25"/>
  <c r="J169" i="51" s="1"/>
  <c r="M281" i="25"/>
  <c r="J281" i="51" s="1"/>
  <c r="M185" i="25"/>
  <c r="J185" i="51" s="1"/>
  <c r="M68" i="25"/>
  <c r="J68" i="51" s="1"/>
  <c r="M51" i="25"/>
  <c r="J51" i="51" s="1"/>
  <c r="M73" i="25"/>
  <c r="J73" i="51" s="1"/>
  <c r="M205" i="25"/>
  <c r="J205" i="51" s="1"/>
  <c r="M153" i="25"/>
  <c r="J153" i="51" s="1"/>
  <c r="M54" i="25"/>
  <c r="J54" i="51" s="1"/>
  <c r="M101" i="25"/>
  <c r="J101" i="51" s="1"/>
  <c r="M137" i="25"/>
  <c r="J137" i="51" s="1"/>
  <c r="M243" i="25"/>
  <c r="J243" i="51" s="1"/>
  <c r="M220" i="25"/>
  <c r="J220" i="51" s="1"/>
  <c r="M193" i="25"/>
  <c r="J193" i="51" s="1"/>
  <c r="M184" i="25"/>
  <c r="J184" i="51" s="1"/>
  <c r="M39" i="25"/>
  <c r="J39" i="51" s="1"/>
  <c r="M217" i="25"/>
  <c r="J217" i="51" s="1"/>
  <c r="M114" i="25"/>
  <c r="J114" i="51" s="1"/>
  <c r="M168" i="25"/>
  <c r="J168" i="51" s="1"/>
  <c r="M79" i="25"/>
  <c r="J79" i="51" s="1"/>
  <c r="M227" i="25"/>
  <c r="J227" i="51" s="1"/>
  <c r="M98" i="25"/>
  <c r="J98" i="51" s="1"/>
  <c r="M134" i="25"/>
  <c r="J134" i="51" s="1"/>
  <c r="M104" i="25"/>
  <c r="J104" i="51" s="1"/>
  <c r="M77" i="25"/>
  <c r="J77" i="51" s="1"/>
  <c r="M279" i="25"/>
  <c r="J279" i="51" s="1"/>
  <c r="M164" i="25"/>
  <c r="J164" i="51" s="1"/>
  <c r="M306" i="25"/>
  <c r="J306" i="51" s="1"/>
  <c r="M313" i="25"/>
  <c r="J313" i="51" s="1"/>
  <c r="M132" i="25"/>
  <c r="J132" i="51" s="1"/>
  <c r="M222" i="25"/>
  <c r="J222" i="51" s="1"/>
  <c r="M255" i="25"/>
  <c r="J255" i="51" s="1"/>
  <c r="M80" i="25"/>
  <c r="J80" i="51" s="1"/>
  <c r="M186" i="25"/>
  <c r="J186" i="51" s="1"/>
  <c r="M118" i="25"/>
  <c r="J118" i="51" s="1"/>
  <c r="M291" i="25"/>
  <c r="J291" i="51" s="1"/>
  <c r="M18" i="25"/>
  <c r="J18" i="51" s="1"/>
  <c r="M99" i="25"/>
  <c r="J99" i="51" s="1"/>
  <c r="M181" i="25"/>
  <c r="J181" i="51" s="1"/>
  <c r="M66" i="25"/>
  <c r="J66" i="51" s="1"/>
  <c r="M124" i="25"/>
  <c r="J124" i="51" s="1"/>
  <c r="M183" i="25"/>
  <c r="J183" i="51" s="1"/>
  <c r="M273" i="25"/>
  <c r="J273" i="51" s="1"/>
  <c r="M188" i="25"/>
  <c r="J188" i="51" s="1"/>
  <c r="M113" i="25"/>
  <c r="J113" i="51" s="1"/>
  <c r="M256" i="25"/>
  <c r="J256" i="51" s="1"/>
  <c r="M93" i="25"/>
  <c r="J93" i="51" s="1"/>
  <c r="M224" i="25"/>
  <c r="J224" i="51" s="1"/>
  <c r="M218" i="25"/>
  <c r="J218" i="51" s="1"/>
  <c r="M182" i="25"/>
  <c r="J182" i="51" s="1"/>
  <c r="M259" i="25"/>
  <c r="J259" i="51" s="1"/>
  <c r="M230" i="25"/>
  <c r="J230" i="51" s="1"/>
  <c r="M50" i="25"/>
  <c r="J50" i="51" s="1"/>
  <c r="M216" i="25"/>
  <c r="J216" i="51" s="1"/>
  <c r="M298" i="25"/>
  <c r="J298" i="51" s="1"/>
  <c r="M111" i="25"/>
  <c r="J111" i="51" s="1"/>
  <c r="M229" i="25"/>
  <c r="J229" i="51" s="1"/>
  <c r="M69" i="25"/>
  <c r="J69" i="51" s="1"/>
  <c r="M226" i="25"/>
  <c r="J226" i="51" s="1"/>
  <c r="M209" i="25"/>
  <c r="J209" i="51" s="1"/>
  <c r="M12" i="25"/>
  <c r="J12" i="51" s="1"/>
  <c r="M180" i="25"/>
  <c r="J180" i="51" s="1"/>
  <c r="M14" i="25"/>
  <c r="J14" i="51" s="1"/>
  <c r="M38" i="25"/>
  <c r="J38" i="51" s="1"/>
  <c r="M103" i="25"/>
  <c r="J103" i="51" s="1"/>
  <c r="M307" i="25"/>
  <c r="J307" i="51" s="1"/>
  <c r="M57" i="25"/>
  <c r="J57" i="51" s="1"/>
  <c r="M289" i="25"/>
  <c r="J289" i="51" s="1"/>
  <c r="M141" i="25"/>
  <c r="J141" i="51" s="1"/>
  <c r="M97" i="25"/>
  <c r="J97" i="51" s="1"/>
  <c r="M225" i="25"/>
  <c r="J225" i="51" s="1"/>
  <c r="M110" i="25"/>
  <c r="J110" i="51" s="1"/>
  <c r="M76" i="25"/>
  <c r="J76" i="51" s="1"/>
  <c r="M210" i="25"/>
  <c r="J210" i="51" s="1"/>
  <c r="M90" i="25"/>
  <c r="J90" i="51" s="1"/>
  <c r="M171" i="25"/>
  <c r="J171" i="51" s="1"/>
  <c r="M282" i="25"/>
  <c r="J282" i="51" s="1"/>
  <c r="M136" i="25"/>
  <c r="J136" i="51" s="1"/>
  <c r="M84" i="25"/>
  <c r="J84" i="51" s="1"/>
  <c r="M138" i="25"/>
  <c r="J138" i="51" s="1"/>
  <c r="M147" i="25"/>
  <c r="J147" i="51" s="1"/>
  <c r="M160" i="25"/>
  <c r="J160" i="51" s="1"/>
  <c r="M174" i="25"/>
  <c r="J174" i="51" s="1"/>
  <c r="M202" i="25"/>
  <c r="J202" i="51" s="1"/>
  <c r="M53" i="25"/>
  <c r="J53" i="51" s="1"/>
  <c r="M233" i="25"/>
  <c r="J233" i="51" s="1"/>
  <c r="M265" i="25"/>
  <c r="J265" i="51" s="1"/>
  <c r="M249" i="25"/>
  <c r="J249" i="51" s="1"/>
  <c r="M107" i="25"/>
  <c r="J107" i="51" s="1"/>
  <c r="M173" i="25"/>
  <c r="J173" i="51" s="1"/>
  <c r="M197" i="25"/>
  <c r="J197" i="51" s="1"/>
  <c r="M246" i="25"/>
  <c r="J246" i="51" s="1"/>
  <c r="M309" i="25"/>
  <c r="J309" i="51" s="1"/>
  <c r="M61" i="25"/>
  <c r="J61" i="51" s="1"/>
  <c r="M106" i="25"/>
  <c r="J106" i="51" s="1"/>
  <c r="M112" i="25"/>
  <c r="J112" i="51" s="1"/>
  <c r="M109" i="25"/>
  <c r="J109" i="51" s="1"/>
  <c r="M198" i="25"/>
  <c r="J198" i="51" s="1"/>
  <c r="M126" i="25"/>
  <c r="J126" i="51" s="1"/>
  <c r="M60" i="25"/>
  <c r="J60" i="51" s="1"/>
  <c r="M267" i="25"/>
  <c r="J267" i="51" s="1"/>
  <c r="M235" i="25"/>
  <c r="J235" i="51" s="1"/>
  <c r="M260" i="25"/>
  <c r="J260" i="51" s="1"/>
  <c r="M296" i="25"/>
  <c r="J296" i="51" s="1"/>
  <c r="M67" i="25"/>
  <c r="J67" i="51" s="1"/>
  <c r="M131" i="25"/>
  <c r="J131" i="51" s="1"/>
  <c r="M63" i="25"/>
  <c r="J63" i="51" s="1"/>
  <c r="M115" i="25"/>
  <c r="J115" i="51" s="1"/>
  <c r="M311" i="25"/>
  <c r="J311" i="51" s="1"/>
  <c r="M213" i="25"/>
  <c r="J213" i="51" s="1"/>
  <c r="M20" i="25"/>
  <c r="J20" i="51" s="1"/>
  <c r="M48" i="25"/>
  <c r="J48" i="51" s="1"/>
  <c r="M254" i="25"/>
  <c r="J254" i="51" s="1"/>
  <c r="M287" i="25"/>
  <c r="J287" i="51" s="1"/>
  <c r="M159" i="25"/>
  <c r="J159" i="51" s="1"/>
  <c r="M206" i="25"/>
  <c r="J206" i="51" s="1"/>
  <c r="M95" i="25"/>
  <c r="J95" i="51" s="1"/>
  <c r="M248" i="25"/>
  <c r="J248" i="51" s="1"/>
  <c r="M143" i="25"/>
  <c r="J143" i="51" s="1"/>
  <c r="M86" i="25"/>
  <c r="J86" i="51" s="1"/>
  <c r="M295" i="25"/>
  <c r="J295" i="51" s="1"/>
  <c r="M299" i="25"/>
  <c r="J299" i="51" s="1"/>
  <c r="M239" i="25"/>
  <c r="J239" i="51" s="1"/>
  <c r="M234" i="25"/>
  <c r="J234" i="51" s="1"/>
  <c r="M130" i="25"/>
  <c r="J130" i="51" s="1"/>
  <c r="M32" i="25"/>
  <c r="J32" i="51" s="1"/>
  <c r="M199" i="25"/>
  <c r="J199" i="51" s="1"/>
  <c r="M19" i="25"/>
  <c r="J19" i="51" s="1"/>
  <c r="M9" i="25"/>
  <c r="J9" i="51" s="1"/>
  <c r="M128" i="25"/>
  <c r="J128" i="51" s="1"/>
  <c r="M127" i="25"/>
  <c r="J127" i="51" s="1"/>
  <c r="M148" i="25"/>
  <c r="J148" i="51" s="1"/>
  <c r="M45" i="25"/>
  <c r="J45" i="51" s="1"/>
  <c r="M191" i="25"/>
  <c r="J191" i="51" s="1"/>
  <c r="M293" i="25"/>
  <c r="J293" i="51" s="1"/>
  <c r="M304" i="25"/>
  <c r="J304" i="51" s="1"/>
  <c r="M247" i="25"/>
  <c r="J247" i="51" s="1"/>
  <c r="M26" i="25"/>
  <c r="J26" i="51" s="1"/>
  <c r="M272" i="25"/>
  <c r="J272" i="51" s="1"/>
  <c r="M292" i="25"/>
  <c r="J292" i="51" s="1"/>
  <c r="M290" i="25"/>
  <c r="J290" i="51" s="1"/>
  <c r="M129" i="25"/>
  <c r="J129" i="51" s="1"/>
  <c r="M59" i="25"/>
  <c r="J59" i="51" s="1"/>
  <c r="M100" i="25"/>
  <c r="J100" i="51" s="1"/>
  <c r="M17" i="25"/>
  <c r="J17" i="51" s="1"/>
  <c r="M245" i="25"/>
  <c r="J245" i="51" s="1"/>
  <c r="M288" i="25"/>
  <c r="J288" i="51" s="1"/>
  <c r="M40" i="25"/>
  <c r="J40" i="51" s="1"/>
  <c r="M58" i="25"/>
  <c r="J58" i="51" s="1"/>
  <c r="K41" i="40"/>
  <c r="K42" i="40" s="1"/>
  <c r="H42" i="40" s="1"/>
  <c r="C42" i="40" s="1"/>
  <c r="I314" i="37"/>
  <c r="F30" i="48"/>
  <c r="F314" i="37"/>
  <c r="O6" i="49"/>
  <c r="E48" i="48"/>
  <c r="F48" i="48" s="1"/>
  <c r="F50" i="48" s="1"/>
  <c r="K100" i="51" l="1"/>
  <c r="K234" i="51"/>
  <c r="K86" i="51"/>
  <c r="K206" i="51"/>
  <c r="K48" i="51"/>
  <c r="K115" i="51"/>
  <c r="K296" i="51"/>
  <c r="K60" i="51"/>
  <c r="K112" i="51"/>
  <c r="K246" i="51"/>
  <c r="K249" i="51"/>
  <c r="K202" i="51"/>
  <c r="K138" i="51"/>
  <c r="K171" i="51"/>
  <c r="K110" i="51"/>
  <c r="K289" i="51"/>
  <c r="K38" i="51"/>
  <c r="K209" i="51"/>
  <c r="K111" i="51"/>
  <c r="K230" i="51"/>
  <c r="K224" i="51"/>
  <c r="K188" i="51"/>
  <c r="K66" i="51"/>
  <c r="K291" i="51"/>
  <c r="K255" i="51"/>
  <c r="K306" i="51"/>
  <c r="K104" i="51"/>
  <c r="K79" i="51"/>
  <c r="K39" i="51"/>
  <c r="K243" i="51"/>
  <c r="K153" i="51"/>
  <c r="K68" i="51"/>
  <c r="K277" i="51"/>
  <c r="K29" i="51"/>
  <c r="K212" i="51"/>
  <c r="K154" i="51"/>
  <c r="K305" i="51"/>
  <c r="K232" i="51"/>
  <c r="K102" i="51"/>
  <c r="K190" i="51"/>
  <c r="K179" i="51"/>
  <c r="K156" i="51"/>
  <c r="K310" i="51"/>
  <c r="K240" i="51"/>
  <c r="K203" i="51"/>
  <c r="K56" i="51"/>
  <c r="K276" i="51"/>
  <c r="K75" i="51"/>
  <c r="K192" i="51"/>
  <c r="K312" i="51"/>
  <c r="K161" i="51"/>
  <c r="K258" i="51"/>
  <c r="K16" i="51"/>
  <c r="K91" i="51"/>
  <c r="K85" i="51"/>
  <c r="K146" i="51"/>
  <c r="K36" i="51"/>
  <c r="K119" i="51"/>
  <c r="K162" i="51"/>
  <c r="K72" i="51"/>
  <c r="K27" i="51"/>
  <c r="K46" i="51"/>
  <c r="K269" i="51"/>
  <c r="K228" i="51"/>
  <c r="K294" i="51"/>
  <c r="K264" i="51"/>
  <c r="K261" i="51"/>
  <c r="K283" i="51"/>
  <c r="K167" i="51"/>
  <c r="K70" i="51"/>
  <c r="K43" i="51"/>
  <c r="K304" i="51"/>
  <c r="K19" i="51"/>
  <c r="K288" i="51"/>
  <c r="K59" i="51"/>
  <c r="K239" i="51"/>
  <c r="K63" i="51"/>
  <c r="K265" i="51"/>
  <c r="K84" i="51"/>
  <c r="K90" i="51"/>
  <c r="K225" i="51"/>
  <c r="K57" i="51"/>
  <c r="K14" i="51"/>
  <c r="K226" i="51"/>
  <c r="K298" i="51"/>
  <c r="K259" i="51"/>
  <c r="K93" i="51"/>
  <c r="K273" i="51"/>
  <c r="K181" i="51"/>
  <c r="K118" i="51"/>
  <c r="K222" i="51"/>
  <c r="K164" i="51"/>
  <c r="K134" i="51"/>
  <c r="K168" i="51"/>
  <c r="K184" i="51"/>
  <c r="K137" i="51"/>
  <c r="K205" i="51"/>
  <c r="K185" i="51"/>
  <c r="K117" i="51"/>
  <c r="K223" i="51"/>
  <c r="K303" i="51"/>
  <c r="K250" i="51"/>
  <c r="K163" i="51"/>
  <c r="K152" i="51"/>
  <c r="K158" i="51"/>
  <c r="K280" i="51"/>
  <c r="K177" i="51"/>
  <c r="K178" i="51"/>
  <c r="K189" i="51"/>
  <c r="K81" i="51"/>
  <c r="K44" i="51"/>
  <c r="K194" i="51"/>
  <c r="K285" i="51"/>
  <c r="K300" i="51"/>
  <c r="K241" i="51"/>
  <c r="K33" i="51"/>
  <c r="K65" i="51"/>
  <c r="K82" i="51"/>
  <c r="K155" i="51"/>
  <c r="K34" i="51"/>
  <c r="K286" i="51"/>
  <c r="K125" i="51"/>
  <c r="K92" i="51"/>
  <c r="K195" i="51"/>
  <c r="K278" i="51"/>
  <c r="K42" i="51"/>
  <c r="K25" i="51"/>
  <c r="K308" i="51"/>
  <c r="K252" i="51"/>
  <c r="K271" i="51"/>
  <c r="K262" i="51"/>
  <c r="K187" i="51"/>
  <c r="K196" i="51"/>
  <c r="K142" i="51"/>
  <c r="K37" i="51"/>
  <c r="K314" i="51"/>
  <c r="K231" i="51"/>
  <c r="K292" i="51"/>
  <c r="K272" i="51"/>
  <c r="K199" i="51"/>
  <c r="K260" i="51"/>
  <c r="K197" i="51"/>
  <c r="K245" i="51"/>
  <c r="K129" i="51"/>
  <c r="K191" i="51"/>
  <c r="K128" i="51"/>
  <c r="K32" i="51"/>
  <c r="K299" i="51"/>
  <c r="K248" i="51"/>
  <c r="K287" i="51"/>
  <c r="K213" i="51"/>
  <c r="K131" i="51"/>
  <c r="K235" i="51"/>
  <c r="K198" i="51"/>
  <c r="K61" i="51"/>
  <c r="K173" i="51"/>
  <c r="K233" i="51"/>
  <c r="K160" i="51"/>
  <c r="K136" i="51"/>
  <c r="K210" i="51"/>
  <c r="K97" i="51"/>
  <c r="K307" i="51"/>
  <c r="K180" i="51"/>
  <c r="K69" i="51"/>
  <c r="K216" i="51"/>
  <c r="K182" i="51"/>
  <c r="K256" i="51"/>
  <c r="K183" i="51"/>
  <c r="K99" i="51"/>
  <c r="K186" i="51"/>
  <c r="K132" i="51"/>
  <c r="K279" i="51"/>
  <c r="K98" i="51"/>
  <c r="K114" i="51"/>
  <c r="K193" i="51"/>
  <c r="K101" i="51"/>
  <c r="K73" i="51"/>
  <c r="K281" i="51"/>
  <c r="K23" i="51"/>
  <c r="K284" i="51"/>
  <c r="K140" i="51"/>
  <c r="K87" i="51"/>
  <c r="K47" i="51"/>
  <c r="K275" i="51"/>
  <c r="K165" i="51"/>
  <c r="K242" i="51"/>
  <c r="K22" i="51"/>
  <c r="K302" i="51"/>
  <c r="K116" i="51"/>
  <c r="K166" i="51"/>
  <c r="K28" i="51"/>
  <c r="K94" i="51"/>
  <c r="K11" i="51"/>
  <c r="K35" i="51"/>
  <c r="K214" i="51"/>
  <c r="K62" i="51"/>
  <c r="K253" i="51"/>
  <c r="K123" i="51"/>
  <c r="K8" i="51"/>
  <c r="K157" i="51"/>
  <c r="K21" i="51"/>
  <c r="K176" i="51"/>
  <c r="K108" i="51"/>
  <c r="K251" i="51"/>
  <c r="K135" i="51"/>
  <c r="K89" i="51"/>
  <c r="K238" i="51"/>
  <c r="K200" i="51"/>
  <c r="K236" i="51"/>
  <c r="K121" i="51"/>
  <c r="K139" i="51"/>
  <c r="K263" i="51"/>
  <c r="K151" i="51"/>
  <c r="K150" i="51"/>
  <c r="K297" i="51"/>
  <c r="K24" i="51"/>
  <c r="K211" i="51"/>
  <c r="K40" i="51"/>
  <c r="K148" i="51"/>
  <c r="K293" i="51"/>
  <c r="K127" i="51"/>
  <c r="K143" i="51"/>
  <c r="K159" i="51"/>
  <c r="K20" i="51"/>
  <c r="K126" i="51"/>
  <c r="K106" i="51"/>
  <c r="K174" i="51"/>
  <c r="K58" i="51"/>
  <c r="K17" i="51"/>
  <c r="K290" i="51"/>
  <c r="K247" i="51"/>
  <c r="K45" i="51"/>
  <c r="K9" i="51"/>
  <c r="K130" i="51"/>
  <c r="K295" i="51"/>
  <c r="K95" i="51"/>
  <c r="K254" i="51"/>
  <c r="K311" i="51"/>
  <c r="K67" i="51"/>
  <c r="K267" i="51"/>
  <c r="K109" i="51"/>
  <c r="K309" i="51"/>
  <c r="K107" i="51"/>
  <c r="K53" i="51"/>
  <c r="K147" i="51"/>
  <c r="K282" i="51"/>
  <c r="K76" i="51"/>
  <c r="K141" i="51"/>
  <c r="K103" i="51"/>
  <c r="K12" i="51"/>
  <c r="K229" i="51"/>
  <c r="K50" i="51"/>
  <c r="K218" i="51"/>
  <c r="K113" i="51"/>
  <c r="K124" i="51"/>
  <c r="K18" i="51"/>
  <c r="K80" i="51"/>
  <c r="K313" i="51"/>
  <c r="K77" i="51"/>
  <c r="K227" i="51"/>
  <c r="K217" i="51"/>
  <c r="K220" i="51"/>
  <c r="K54" i="51"/>
  <c r="K51" i="51"/>
  <c r="K169" i="51"/>
  <c r="K175" i="51"/>
  <c r="K208" i="51"/>
  <c r="K266" i="51"/>
  <c r="K88" i="51"/>
  <c r="K31" i="51"/>
  <c r="K144" i="51"/>
  <c r="K237" i="51"/>
  <c r="K15" i="51"/>
  <c r="K270" i="51"/>
  <c r="K64" i="51"/>
  <c r="K49" i="51"/>
  <c r="K78" i="51"/>
  <c r="K201" i="51"/>
  <c r="K172" i="51"/>
  <c r="K301" i="51"/>
  <c r="K7" i="51"/>
  <c r="K74" i="51"/>
  <c r="K274" i="51"/>
  <c r="K10" i="51"/>
  <c r="K55" i="51"/>
  <c r="K120" i="51"/>
  <c r="K257" i="51"/>
  <c r="K122" i="51"/>
  <c r="K30" i="51"/>
  <c r="K207" i="51"/>
  <c r="K13" i="51"/>
  <c r="K83" i="51"/>
  <c r="K204" i="51"/>
  <c r="K41" i="51"/>
  <c r="K268" i="51"/>
  <c r="K221" i="51"/>
  <c r="K96" i="51"/>
  <c r="K133" i="51"/>
  <c r="K71" i="51"/>
  <c r="K149" i="51"/>
  <c r="K145" i="51"/>
  <c r="K52" i="51"/>
  <c r="K215" i="51"/>
  <c r="K26" i="51"/>
  <c r="F60" i="48"/>
  <c r="F61" i="48" s="1"/>
  <c r="M6" i="25"/>
  <c r="C41" i="40"/>
  <c r="J4" i="11" s="1"/>
  <c r="F145" i="25"/>
  <c r="D145" i="51" s="1"/>
  <c r="F159" i="25"/>
  <c r="D159" i="51" s="1"/>
  <c r="F289" i="25"/>
  <c r="D289" i="51" s="1"/>
  <c r="F306" i="25"/>
  <c r="D306" i="51" s="1"/>
  <c r="F290" i="25"/>
  <c r="D290" i="51" s="1"/>
  <c r="F274" i="25"/>
  <c r="D274" i="51" s="1"/>
  <c r="F19" i="25"/>
  <c r="D19" i="51" s="1"/>
  <c r="F86" i="25"/>
  <c r="D86" i="51" s="1"/>
  <c r="F70" i="25"/>
  <c r="D70" i="51" s="1"/>
  <c r="F54" i="25"/>
  <c r="D54" i="51" s="1"/>
  <c r="F38" i="25"/>
  <c r="D38" i="51" s="1"/>
  <c r="F22" i="25"/>
  <c r="D22" i="51" s="1"/>
  <c r="F259" i="25"/>
  <c r="D259" i="51" s="1"/>
  <c r="F195" i="25"/>
  <c r="D195" i="51" s="1"/>
  <c r="F131" i="25"/>
  <c r="D131" i="51" s="1"/>
  <c r="F205" i="25"/>
  <c r="D205" i="51" s="1"/>
  <c r="F133" i="25"/>
  <c r="D133" i="51" s="1"/>
  <c r="F215" i="25"/>
  <c r="D215" i="51" s="1"/>
  <c r="F151" i="25"/>
  <c r="D151" i="51" s="1"/>
  <c r="F273" i="25"/>
  <c r="D273" i="51" s="1"/>
  <c r="F117" i="25"/>
  <c r="D117" i="51" s="1"/>
  <c r="F39" i="25"/>
  <c r="D39" i="51" s="1"/>
  <c r="F304" i="25"/>
  <c r="D304" i="51" s="1"/>
  <c r="F288" i="25"/>
  <c r="D288" i="51" s="1"/>
  <c r="F256" i="25"/>
  <c r="D256" i="51" s="1"/>
  <c r="F240" i="25"/>
  <c r="D240" i="51" s="1"/>
  <c r="F224" i="25"/>
  <c r="D224" i="51" s="1"/>
  <c r="F208" i="25"/>
  <c r="D208" i="51" s="1"/>
  <c r="F192" i="25"/>
  <c r="D192" i="51" s="1"/>
  <c r="F176" i="25"/>
  <c r="D176" i="51" s="1"/>
  <c r="F160" i="25"/>
  <c r="D160" i="51" s="1"/>
  <c r="F144" i="25"/>
  <c r="D144" i="51" s="1"/>
  <c r="F128" i="25"/>
  <c r="D128" i="51" s="1"/>
  <c r="F112" i="25"/>
  <c r="D112" i="51" s="1"/>
  <c r="F96" i="25"/>
  <c r="D96" i="51" s="1"/>
  <c r="F9" i="25"/>
  <c r="D9" i="51" s="1"/>
  <c r="F87" i="25"/>
  <c r="D87" i="51" s="1"/>
  <c r="F139" i="25"/>
  <c r="D139" i="51" s="1"/>
  <c r="F45" i="25"/>
  <c r="D45" i="51" s="1"/>
  <c r="F307" i="25"/>
  <c r="D307" i="51" s="1"/>
  <c r="F179" i="25"/>
  <c r="D179" i="51" s="1"/>
  <c r="F193" i="25"/>
  <c r="D193" i="51" s="1"/>
  <c r="F263" i="25"/>
  <c r="D263" i="51" s="1"/>
  <c r="F209" i="25"/>
  <c r="D209" i="51" s="1"/>
  <c r="F252" i="25"/>
  <c r="D252" i="51" s="1"/>
  <c r="F204" i="25"/>
  <c r="D204" i="51" s="1"/>
  <c r="F156" i="25"/>
  <c r="D156" i="51" s="1"/>
  <c r="F108" i="25"/>
  <c r="D108" i="51" s="1"/>
  <c r="F55" i="25"/>
  <c r="D55" i="51" s="1"/>
  <c r="F48" i="25"/>
  <c r="D48" i="51" s="1"/>
  <c r="F299" i="25"/>
  <c r="D299" i="51" s="1"/>
  <c r="F229" i="25"/>
  <c r="D229" i="51" s="1"/>
  <c r="F53" i="25"/>
  <c r="D53" i="51" s="1"/>
  <c r="F62" i="25"/>
  <c r="D62" i="51" s="1"/>
  <c r="F14" i="25"/>
  <c r="D14" i="51" s="1"/>
  <c r="F267" i="25"/>
  <c r="D267" i="51" s="1"/>
  <c r="F245" i="25"/>
  <c r="D245" i="51" s="1"/>
  <c r="F213" i="25"/>
  <c r="D213" i="51" s="1"/>
  <c r="F237" i="25"/>
  <c r="D237" i="51" s="1"/>
  <c r="F199" i="25"/>
  <c r="D199" i="51" s="1"/>
  <c r="F97" i="25"/>
  <c r="D97" i="51" s="1"/>
  <c r="F268" i="25"/>
  <c r="D268" i="51" s="1"/>
  <c r="F236" i="25"/>
  <c r="D236" i="51" s="1"/>
  <c r="F172" i="25"/>
  <c r="D172" i="51" s="1"/>
  <c r="F140" i="25"/>
  <c r="D140" i="51" s="1"/>
  <c r="F92" i="25"/>
  <c r="D92" i="51" s="1"/>
  <c r="F80" i="25"/>
  <c r="D80" i="51" s="1"/>
  <c r="F16" i="25"/>
  <c r="D16" i="51" s="1"/>
  <c r="F305" i="25"/>
  <c r="D305" i="51" s="1"/>
  <c r="F149" i="25"/>
  <c r="D149" i="51" s="1"/>
  <c r="F83" i="25"/>
  <c r="D83" i="51" s="1"/>
  <c r="F78" i="25"/>
  <c r="D78" i="51" s="1"/>
  <c r="F30" i="25"/>
  <c r="D30" i="51" s="1"/>
  <c r="F203" i="25"/>
  <c r="D203" i="51" s="1"/>
  <c r="F101" i="25"/>
  <c r="D101" i="51" s="1"/>
  <c r="F103" i="25"/>
  <c r="D103" i="51" s="1"/>
  <c r="F157" i="25"/>
  <c r="D157" i="51" s="1"/>
  <c r="F223" i="25"/>
  <c r="D223" i="51" s="1"/>
  <c r="F13" i="25"/>
  <c r="D13" i="51" s="1"/>
  <c r="F243" i="25"/>
  <c r="D243" i="51" s="1"/>
  <c r="F115" i="25"/>
  <c r="D115" i="51" s="1"/>
  <c r="F181" i="25"/>
  <c r="D181" i="51" s="1"/>
  <c r="F95" i="25"/>
  <c r="D95" i="51" s="1"/>
  <c r="F135" i="25"/>
  <c r="D135" i="51" s="1"/>
  <c r="F35" i="25"/>
  <c r="D35" i="51" s="1"/>
  <c r="F220" i="25"/>
  <c r="D220" i="51" s="1"/>
  <c r="F188" i="25"/>
  <c r="D188" i="51" s="1"/>
  <c r="F124" i="25"/>
  <c r="D124" i="51" s="1"/>
  <c r="F69" i="25"/>
  <c r="D69" i="51" s="1"/>
  <c r="F64" i="25"/>
  <c r="D64" i="51" s="1"/>
  <c r="F32" i="25"/>
  <c r="D32" i="51" s="1"/>
  <c r="F99" i="25"/>
  <c r="D99" i="51" s="1"/>
  <c r="F301" i="25"/>
  <c r="D301" i="51" s="1"/>
  <c r="F37" i="25"/>
  <c r="D37" i="51" s="1"/>
  <c r="F46" i="25"/>
  <c r="D46" i="51" s="1"/>
  <c r="F217" i="25"/>
  <c r="D217" i="51" s="1"/>
  <c r="F210" i="25"/>
  <c r="D210" i="51" s="1"/>
  <c r="F302" i="25"/>
  <c r="D302" i="51" s="1"/>
  <c r="F286" i="25"/>
  <c r="D286" i="51" s="1"/>
  <c r="F313" i="25"/>
  <c r="D313" i="51" s="1"/>
  <c r="F297" i="25"/>
  <c r="D297" i="51" s="1"/>
  <c r="F281" i="25"/>
  <c r="D281" i="51" s="1"/>
  <c r="F264" i="25"/>
  <c r="D264" i="51" s="1"/>
  <c r="F248" i="25"/>
  <c r="D248" i="51" s="1"/>
  <c r="F232" i="25"/>
  <c r="D232" i="51" s="1"/>
  <c r="F216" i="25"/>
  <c r="D216" i="51" s="1"/>
  <c r="F200" i="25"/>
  <c r="D200" i="51" s="1"/>
  <c r="F184" i="25"/>
  <c r="D184" i="51" s="1"/>
  <c r="F168" i="25"/>
  <c r="D168" i="51" s="1"/>
  <c r="F152" i="25"/>
  <c r="D152" i="51" s="1"/>
  <c r="F136" i="25"/>
  <c r="D136" i="51" s="1"/>
  <c r="F120" i="25"/>
  <c r="D120" i="51" s="1"/>
  <c r="F104" i="25"/>
  <c r="D104" i="51" s="1"/>
  <c r="F88" i="25"/>
  <c r="D88" i="51" s="1"/>
  <c r="F72" i="25"/>
  <c r="D72" i="51" s="1"/>
  <c r="F56" i="25"/>
  <c r="D56" i="51" s="1"/>
  <c r="F40" i="25"/>
  <c r="D40" i="51" s="1"/>
  <c r="F24" i="25"/>
  <c r="D24" i="51" s="1"/>
  <c r="F271" i="25"/>
  <c r="D271" i="51" s="1"/>
  <c r="F255" i="25"/>
  <c r="D255" i="51" s="1"/>
  <c r="F239" i="25"/>
  <c r="D239" i="51" s="1"/>
  <c r="F207" i="25"/>
  <c r="D207" i="51" s="1"/>
  <c r="F191" i="25"/>
  <c r="D191" i="51" s="1"/>
  <c r="F175" i="25"/>
  <c r="D175" i="51" s="1"/>
  <c r="F143" i="25"/>
  <c r="D143" i="51" s="1"/>
  <c r="F127" i="25"/>
  <c r="D127" i="51" s="1"/>
  <c r="F111" i="25"/>
  <c r="D111" i="51" s="1"/>
  <c r="F79" i="25"/>
  <c r="D79" i="51" s="1"/>
  <c r="F63" i="25"/>
  <c r="D63" i="51" s="1"/>
  <c r="F47" i="25"/>
  <c r="D47" i="51" s="1"/>
  <c r="F31" i="25"/>
  <c r="D31" i="51" s="1"/>
  <c r="F15" i="25"/>
  <c r="D15" i="51" s="1"/>
  <c r="F283" i="25"/>
  <c r="D283" i="51" s="1"/>
  <c r="F312" i="25"/>
  <c r="D312" i="51" s="1"/>
  <c r="F296" i="25"/>
  <c r="D296" i="51" s="1"/>
  <c r="F280" i="25"/>
  <c r="D280" i="51" s="1"/>
  <c r="F261" i="25"/>
  <c r="D261" i="51" s="1"/>
  <c r="F197" i="25"/>
  <c r="D197" i="51" s="1"/>
  <c r="F165" i="25"/>
  <c r="D165" i="51" s="1"/>
  <c r="F85" i="25"/>
  <c r="D85" i="51" s="1"/>
  <c r="F21" i="25"/>
  <c r="D21" i="51" s="1"/>
  <c r="F270" i="25"/>
  <c r="D270" i="51" s="1"/>
  <c r="F254" i="25"/>
  <c r="D254" i="51" s="1"/>
  <c r="F238" i="25"/>
  <c r="D238" i="51" s="1"/>
  <c r="F222" i="25"/>
  <c r="D222" i="51" s="1"/>
  <c r="F206" i="25"/>
  <c r="D206" i="51" s="1"/>
  <c r="F190" i="25"/>
  <c r="D190" i="51" s="1"/>
  <c r="F174" i="25"/>
  <c r="D174" i="51" s="1"/>
  <c r="F158" i="25"/>
  <c r="D158" i="51" s="1"/>
  <c r="F142" i="25"/>
  <c r="D142" i="51" s="1"/>
  <c r="F126" i="25"/>
  <c r="D126" i="51" s="1"/>
  <c r="F110" i="25"/>
  <c r="D110" i="51" s="1"/>
  <c r="F94" i="25"/>
  <c r="D94" i="51" s="1"/>
  <c r="F287" i="25"/>
  <c r="D287" i="51" s="1"/>
  <c r="F300" i="25"/>
  <c r="D300" i="51" s="1"/>
  <c r="F265" i="25"/>
  <c r="D265" i="51" s="1"/>
  <c r="F233" i="25"/>
  <c r="D233" i="51" s="1"/>
  <c r="F185" i="25"/>
  <c r="D185" i="51" s="1"/>
  <c r="F153" i="25"/>
  <c r="D153" i="51" s="1"/>
  <c r="F121" i="25"/>
  <c r="D121" i="51" s="1"/>
  <c r="F105" i="25"/>
  <c r="D105" i="51" s="1"/>
  <c r="F73" i="25"/>
  <c r="D73" i="51" s="1"/>
  <c r="F41" i="25"/>
  <c r="D41" i="51" s="1"/>
  <c r="F7" i="25"/>
  <c r="D7" i="51" s="1"/>
  <c r="F226" i="25"/>
  <c r="D226" i="51" s="1"/>
  <c r="F178" i="25"/>
  <c r="D178" i="51" s="1"/>
  <c r="F146" i="25"/>
  <c r="D146" i="51" s="1"/>
  <c r="F114" i="25"/>
  <c r="D114" i="51" s="1"/>
  <c r="F82" i="25"/>
  <c r="D82" i="51" s="1"/>
  <c r="F50" i="25"/>
  <c r="D50" i="51" s="1"/>
  <c r="F34" i="25"/>
  <c r="D34" i="51" s="1"/>
  <c r="F314" i="25"/>
  <c r="D314" i="51" s="1"/>
  <c r="F309" i="25"/>
  <c r="D309" i="51" s="1"/>
  <c r="F260" i="25"/>
  <c r="D260" i="51" s="1"/>
  <c r="F212" i="25"/>
  <c r="D212" i="51" s="1"/>
  <c r="F148" i="25"/>
  <c r="D148" i="51" s="1"/>
  <c r="F100" i="25"/>
  <c r="D100" i="51" s="1"/>
  <c r="F52" i="25"/>
  <c r="D52" i="51" s="1"/>
  <c r="F219" i="25"/>
  <c r="D219" i="51" s="1"/>
  <c r="F171" i="25"/>
  <c r="D171" i="51" s="1"/>
  <c r="F123" i="25"/>
  <c r="D123" i="51" s="1"/>
  <c r="F75" i="25"/>
  <c r="D75" i="51" s="1"/>
  <c r="F27" i="25"/>
  <c r="D27" i="51" s="1"/>
  <c r="F311" i="25"/>
  <c r="D311" i="51" s="1"/>
  <c r="F292" i="25"/>
  <c r="D292" i="51" s="1"/>
  <c r="F241" i="25"/>
  <c r="D241" i="51" s="1"/>
  <c r="F129" i="25"/>
  <c r="D129" i="51" s="1"/>
  <c r="F65" i="25"/>
  <c r="D65" i="51" s="1"/>
  <c r="F266" i="25"/>
  <c r="D266" i="51" s="1"/>
  <c r="F186" i="25"/>
  <c r="D186" i="51" s="1"/>
  <c r="F106" i="25"/>
  <c r="D106" i="51" s="1"/>
  <c r="F58" i="25"/>
  <c r="D58" i="51" s="1"/>
  <c r="F10" i="25"/>
  <c r="D10" i="51" s="1"/>
  <c r="F310" i="25"/>
  <c r="D310" i="51" s="1"/>
  <c r="F294" i="25"/>
  <c r="D294" i="51" s="1"/>
  <c r="F278" i="25"/>
  <c r="D278" i="51" s="1"/>
  <c r="F247" i="25"/>
  <c r="D247" i="51" s="1"/>
  <c r="F231" i="25"/>
  <c r="D231" i="51" s="1"/>
  <c r="F183" i="25"/>
  <c r="D183" i="51" s="1"/>
  <c r="F167" i="25"/>
  <c r="D167" i="51" s="1"/>
  <c r="F119" i="25"/>
  <c r="D119" i="51" s="1"/>
  <c r="F71" i="25"/>
  <c r="D71" i="51" s="1"/>
  <c r="F23" i="25"/>
  <c r="D23" i="51" s="1"/>
  <c r="F303" i="25"/>
  <c r="D303" i="51" s="1"/>
  <c r="F272" i="25"/>
  <c r="D272" i="51" s="1"/>
  <c r="F284" i="25"/>
  <c r="D284" i="51" s="1"/>
  <c r="F249" i="25"/>
  <c r="D249" i="51" s="1"/>
  <c r="F201" i="25"/>
  <c r="D201" i="51" s="1"/>
  <c r="F169" i="25"/>
  <c r="D169" i="51" s="1"/>
  <c r="F137" i="25"/>
  <c r="D137" i="51" s="1"/>
  <c r="F89" i="25"/>
  <c r="D89" i="51" s="1"/>
  <c r="F57" i="25"/>
  <c r="D57" i="51" s="1"/>
  <c r="F25" i="25"/>
  <c r="D25" i="51" s="1"/>
  <c r="F258" i="25"/>
  <c r="D258" i="51" s="1"/>
  <c r="F242" i="25"/>
  <c r="D242" i="51" s="1"/>
  <c r="F194" i="25"/>
  <c r="D194" i="51" s="1"/>
  <c r="F162" i="25"/>
  <c r="D162" i="51" s="1"/>
  <c r="F130" i="25"/>
  <c r="D130" i="51" s="1"/>
  <c r="F98" i="25"/>
  <c r="D98" i="51" s="1"/>
  <c r="F66" i="25"/>
  <c r="D66" i="51" s="1"/>
  <c r="F18" i="25"/>
  <c r="D18" i="51" s="1"/>
  <c r="F282" i="25"/>
  <c r="D282" i="51" s="1"/>
  <c r="F277" i="25"/>
  <c r="D277" i="51" s="1"/>
  <c r="F228" i="25"/>
  <c r="D228" i="51" s="1"/>
  <c r="F180" i="25"/>
  <c r="D180" i="51" s="1"/>
  <c r="F132" i="25"/>
  <c r="D132" i="51" s="1"/>
  <c r="F84" i="25"/>
  <c r="D84" i="51" s="1"/>
  <c r="F36" i="25"/>
  <c r="D36" i="51" s="1"/>
  <c r="F251" i="25"/>
  <c r="D251" i="51" s="1"/>
  <c r="F155" i="25"/>
  <c r="D155" i="51" s="1"/>
  <c r="F107" i="25"/>
  <c r="D107" i="51" s="1"/>
  <c r="F59" i="25"/>
  <c r="D59" i="51" s="1"/>
  <c r="F11" i="25"/>
  <c r="D11" i="51" s="1"/>
  <c r="F279" i="25"/>
  <c r="D279" i="51" s="1"/>
  <c r="F276" i="25"/>
  <c r="D276" i="51" s="1"/>
  <c r="F225" i="25"/>
  <c r="D225" i="51" s="1"/>
  <c r="F177" i="25"/>
  <c r="D177" i="51" s="1"/>
  <c r="F81" i="25"/>
  <c r="D81" i="51" s="1"/>
  <c r="F33" i="25"/>
  <c r="D33" i="51" s="1"/>
  <c r="F250" i="25"/>
  <c r="D250" i="51" s="1"/>
  <c r="F202" i="25"/>
  <c r="D202" i="51" s="1"/>
  <c r="F138" i="25"/>
  <c r="D138" i="51" s="1"/>
  <c r="F74" i="25"/>
  <c r="D74" i="51" s="1"/>
  <c r="F26" i="25"/>
  <c r="D26" i="51" s="1"/>
  <c r="F291" i="25"/>
  <c r="D291" i="51" s="1"/>
  <c r="F275" i="25"/>
  <c r="D275" i="51" s="1"/>
  <c r="F269" i="25"/>
  <c r="D269" i="51" s="1"/>
  <c r="F253" i="25"/>
  <c r="D253" i="51" s="1"/>
  <c r="F221" i="25"/>
  <c r="D221" i="51" s="1"/>
  <c r="F189" i="25"/>
  <c r="D189" i="51" s="1"/>
  <c r="F173" i="25"/>
  <c r="D173" i="51" s="1"/>
  <c r="F141" i="25"/>
  <c r="D141" i="51" s="1"/>
  <c r="F125" i="25"/>
  <c r="D125" i="51" s="1"/>
  <c r="F109" i="25"/>
  <c r="D109" i="51" s="1"/>
  <c r="F93" i="25"/>
  <c r="D93" i="51" s="1"/>
  <c r="F77" i="25"/>
  <c r="D77" i="51" s="1"/>
  <c r="F61" i="25"/>
  <c r="D61" i="51" s="1"/>
  <c r="F29" i="25"/>
  <c r="D29" i="51" s="1"/>
  <c r="F262" i="25"/>
  <c r="D262" i="51" s="1"/>
  <c r="F246" i="25"/>
  <c r="D246" i="51" s="1"/>
  <c r="F230" i="25"/>
  <c r="D230" i="51" s="1"/>
  <c r="F214" i="25"/>
  <c r="D214" i="51" s="1"/>
  <c r="F198" i="25"/>
  <c r="D198" i="51" s="1"/>
  <c r="F182" i="25"/>
  <c r="D182" i="51" s="1"/>
  <c r="F166" i="25"/>
  <c r="D166" i="51" s="1"/>
  <c r="F150" i="25"/>
  <c r="D150" i="51" s="1"/>
  <c r="F134" i="25"/>
  <c r="D134" i="51" s="1"/>
  <c r="F118" i="25"/>
  <c r="D118" i="51" s="1"/>
  <c r="F102" i="25"/>
  <c r="D102" i="51" s="1"/>
  <c r="F8" i="25"/>
  <c r="D8" i="51" s="1"/>
  <c r="F298" i="25"/>
  <c r="D298" i="51" s="1"/>
  <c r="F293" i="25"/>
  <c r="D293" i="51" s="1"/>
  <c r="F244" i="25"/>
  <c r="D244" i="51" s="1"/>
  <c r="F196" i="25"/>
  <c r="D196" i="51" s="1"/>
  <c r="F164" i="25"/>
  <c r="D164" i="51" s="1"/>
  <c r="F116" i="25"/>
  <c r="D116" i="51" s="1"/>
  <c r="F68" i="25"/>
  <c r="D68" i="51" s="1"/>
  <c r="F20" i="25"/>
  <c r="D20" i="51" s="1"/>
  <c r="F235" i="25"/>
  <c r="D235" i="51" s="1"/>
  <c r="F187" i="25"/>
  <c r="D187" i="51" s="1"/>
  <c r="F91" i="25"/>
  <c r="D91" i="51" s="1"/>
  <c r="F43" i="25"/>
  <c r="D43" i="51" s="1"/>
  <c r="F295" i="25"/>
  <c r="D295" i="51" s="1"/>
  <c r="F308" i="25"/>
  <c r="D308" i="51" s="1"/>
  <c r="F257" i="25"/>
  <c r="D257" i="51" s="1"/>
  <c r="F161" i="25"/>
  <c r="D161" i="51" s="1"/>
  <c r="F113" i="25"/>
  <c r="D113" i="51" s="1"/>
  <c r="F49" i="25"/>
  <c r="D49" i="51" s="1"/>
  <c r="F17" i="25"/>
  <c r="D17" i="51" s="1"/>
  <c r="F234" i="25"/>
  <c r="D234" i="51" s="1"/>
  <c r="F218" i="25"/>
  <c r="D218" i="51" s="1"/>
  <c r="F170" i="25"/>
  <c r="D170" i="51" s="1"/>
  <c r="F154" i="25"/>
  <c r="D154" i="51" s="1"/>
  <c r="F122" i="25"/>
  <c r="D122" i="51" s="1"/>
  <c r="F90" i="25"/>
  <c r="D90" i="51" s="1"/>
  <c r="F42" i="25"/>
  <c r="D42" i="51" s="1"/>
  <c r="F285" i="25"/>
  <c r="D285" i="51" s="1"/>
  <c r="F76" i="25"/>
  <c r="D76" i="51" s="1"/>
  <c r="F60" i="25"/>
  <c r="D60" i="51" s="1"/>
  <c r="F44" i="25"/>
  <c r="D44" i="51" s="1"/>
  <c r="F28" i="25"/>
  <c r="D28" i="51" s="1"/>
  <c r="F12" i="25"/>
  <c r="D12" i="51" s="1"/>
  <c r="F227" i="25"/>
  <c r="D227" i="51" s="1"/>
  <c r="F211" i="25"/>
  <c r="D211" i="51" s="1"/>
  <c r="F163" i="25"/>
  <c r="D163" i="51" s="1"/>
  <c r="F147" i="25"/>
  <c r="D147" i="51" s="1"/>
  <c r="F67" i="25"/>
  <c r="D67" i="51" s="1"/>
  <c r="F51" i="25"/>
  <c r="D51" i="51" s="1"/>
  <c r="G325" i="34"/>
  <c r="H325" i="34" s="1"/>
  <c r="F22" i="48"/>
  <c r="F24" i="48" s="1"/>
  <c r="N4" i="11"/>
  <c r="G11" i="9"/>
  <c r="F6" i="25" s="1"/>
  <c r="D6" i="51" s="1"/>
  <c r="F320" i="9"/>
  <c r="O315" i="49"/>
  <c r="E154" i="51" l="1"/>
  <c r="E91" i="51"/>
  <c r="E51" i="51"/>
  <c r="E211" i="51"/>
  <c r="E44" i="51"/>
  <c r="E42" i="51"/>
  <c r="E49" i="51"/>
  <c r="E187" i="51"/>
  <c r="E116" i="51"/>
  <c r="E293" i="51"/>
  <c r="E118" i="51"/>
  <c r="E182" i="51"/>
  <c r="E246" i="51"/>
  <c r="E77" i="51"/>
  <c r="E141" i="51"/>
  <c r="E253" i="51"/>
  <c r="E250" i="51"/>
  <c r="E225" i="51"/>
  <c r="E59" i="51"/>
  <c r="E36" i="51"/>
  <c r="E228" i="51"/>
  <c r="E66" i="51"/>
  <c r="E194" i="51"/>
  <c r="E57" i="51"/>
  <c r="E201" i="51"/>
  <c r="E303" i="51"/>
  <c r="E167" i="51"/>
  <c r="E278" i="51"/>
  <c r="E58" i="51"/>
  <c r="E65" i="51"/>
  <c r="E311" i="51"/>
  <c r="E171" i="51"/>
  <c r="E148" i="51"/>
  <c r="E314" i="51"/>
  <c r="E114" i="51"/>
  <c r="E7" i="51"/>
  <c r="E121" i="51"/>
  <c r="E265" i="51"/>
  <c r="E110" i="51"/>
  <c r="E174" i="51"/>
  <c r="E238" i="51"/>
  <c r="E85" i="51"/>
  <c r="E280" i="51"/>
  <c r="E15" i="51"/>
  <c r="E79" i="51"/>
  <c r="E175" i="51"/>
  <c r="E255" i="51"/>
  <c r="E56" i="51"/>
  <c r="E120" i="51"/>
  <c r="E184" i="51"/>
  <c r="E248" i="51"/>
  <c r="E313" i="51"/>
  <c r="E217" i="51"/>
  <c r="E99" i="51"/>
  <c r="E124" i="51"/>
  <c r="E135" i="51"/>
  <c r="E243" i="51"/>
  <c r="E103" i="51"/>
  <c r="E78" i="51"/>
  <c r="E16" i="51"/>
  <c r="E172" i="51"/>
  <c r="E199" i="51"/>
  <c r="E267" i="51"/>
  <c r="E229" i="51"/>
  <c r="E108" i="51"/>
  <c r="E209" i="51"/>
  <c r="E307" i="51"/>
  <c r="E9" i="51"/>
  <c r="E144" i="51"/>
  <c r="E208" i="51"/>
  <c r="E288" i="51"/>
  <c r="E273" i="51"/>
  <c r="E205" i="51"/>
  <c r="E22" i="51"/>
  <c r="E86" i="51"/>
  <c r="E306" i="51"/>
  <c r="E285" i="51"/>
  <c r="E17" i="51"/>
  <c r="E68" i="51"/>
  <c r="E170" i="51"/>
  <c r="E227" i="51"/>
  <c r="E218" i="51"/>
  <c r="E295" i="51"/>
  <c r="E235" i="51"/>
  <c r="E164" i="51"/>
  <c r="E298" i="51"/>
  <c r="E134" i="51"/>
  <c r="E198" i="51"/>
  <c r="E262" i="51"/>
  <c r="E93" i="51"/>
  <c r="E173" i="51"/>
  <c r="E269" i="51"/>
  <c r="E74" i="51"/>
  <c r="E33" i="51"/>
  <c r="E276" i="51"/>
  <c r="E107" i="51"/>
  <c r="E84" i="51"/>
  <c r="E277" i="51"/>
  <c r="E98" i="51"/>
  <c r="E242" i="51"/>
  <c r="E89" i="51"/>
  <c r="E249" i="51"/>
  <c r="E23" i="51"/>
  <c r="E183" i="51"/>
  <c r="E294" i="51"/>
  <c r="E106" i="51"/>
  <c r="E129" i="51"/>
  <c r="E27" i="51"/>
  <c r="E219" i="51"/>
  <c r="E212" i="51"/>
  <c r="E34" i="51"/>
  <c r="E146" i="51"/>
  <c r="E41" i="51"/>
  <c r="E153" i="51"/>
  <c r="E300" i="51"/>
  <c r="E126" i="51"/>
  <c r="E190" i="51"/>
  <c r="E254" i="51"/>
  <c r="E165" i="51"/>
  <c r="E296" i="51"/>
  <c r="E31" i="51"/>
  <c r="E111" i="51"/>
  <c r="E191" i="51"/>
  <c r="E271" i="51"/>
  <c r="E72" i="51"/>
  <c r="E136" i="51"/>
  <c r="E200" i="51"/>
  <c r="E264" i="51"/>
  <c r="E286" i="51"/>
  <c r="E46" i="51"/>
  <c r="E32" i="51"/>
  <c r="E188" i="51"/>
  <c r="E95" i="51"/>
  <c r="E13" i="51"/>
  <c r="E101" i="51"/>
  <c r="E83" i="51"/>
  <c r="E80" i="51"/>
  <c r="E236" i="51"/>
  <c r="E237" i="51"/>
  <c r="E14" i="51"/>
  <c r="E299" i="51"/>
  <c r="E156" i="51"/>
  <c r="E263" i="51"/>
  <c r="E45" i="51"/>
  <c r="E96" i="51"/>
  <c r="E160" i="51"/>
  <c r="E224" i="51"/>
  <c r="E304" i="51"/>
  <c r="E151" i="51"/>
  <c r="E131" i="51"/>
  <c r="E38" i="51"/>
  <c r="E19" i="51"/>
  <c r="E289" i="51"/>
  <c r="E163" i="51"/>
  <c r="E28" i="51"/>
  <c r="E244" i="51"/>
  <c r="E308" i="51"/>
  <c r="E67" i="51"/>
  <c r="E60" i="51"/>
  <c r="E90" i="51"/>
  <c r="E113" i="51"/>
  <c r="E147" i="51"/>
  <c r="E12" i="51"/>
  <c r="E76" i="51"/>
  <c r="E122" i="51"/>
  <c r="E234" i="51"/>
  <c r="E161" i="51"/>
  <c r="E43" i="51"/>
  <c r="E20" i="51"/>
  <c r="E196" i="51"/>
  <c r="E8" i="51"/>
  <c r="E150" i="51"/>
  <c r="E214" i="51"/>
  <c r="E29" i="51"/>
  <c r="E109" i="51"/>
  <c r="E189" i="51"/>
  <c r="E275" i="51"/>
  <c r="E138" i="51"/>
  <c r="E81" i="51"/>
  <c r="E279" i="51"/>
  <c r="E155" i="51"/>
  <c r="E132" i="51"/>
  <c r="E282" i="51"/>
  <c r="E130" i="51"/>
  <c r="E258" i="51"/>
  <c r="E137" i="51"/>
  <c r="E284" i="51"/>
  <c r="E71" i="51"/>
  <c r="E231" i="51"/>
  <c r="E310" i="51"/>
  <c r="E186" i="51"/>
  <c r="E241" i="51"/>
  <c r="E75" i="51"/>
  <c r="E52" i="51"/>
  <c r="E260" i="51"/>
  <c r="E50" i="51"/>
  <c r="E178" i="51"/>
  <c r="E73" i="51"/>
  <c r="E185" i="51"/>
  <c r="E287" i="51"/>
  <c r="E142" i="51"/>
  <c r="E206" i="51"/>
  <c r="E270" i="51"/>
  <c r="E197" i="51"/>
  <c r="E312" i="51"/>
  <c r="E47" i="51"/>
  <c r="E127" i="51"/>
  <c r="E207" i="51"/>
  <c r="E24" i="51"/>
  <c r="E88" i="51"/>
  <c r="E152" i="51"/>
  <c r="E216" i="51"/>
  <c r="E281" i="51"/>
  <c r="E302" i="51"/>
  <c r="E37" i="51"/>
  <c r="E64" i="51"/>
  <c r="E220" i="51"/>
  <c r="E181" i="51"/>
  <c r="E223" i="51"/>
  <c r="E203" i="51"/>
  <c r="E149" i="51"/>
  <c r="E92" i="51"/>
  <c r="E268" i="51"/>
  <c r="E213" i="51"/>
  <c r="E62" i="51"/>
  <c r="E48" i="51"/>
  <c r="E204" i="51"/>
  <c r="E193" i="51"/>
  <c r="E139" i="51"/>
  <c r="E112" i="51"/>
  <c r="E176" i="51"/>
  <c r="E240" i="51"/>
  <c r="E39" i="51"/>
  <c r="E215" i="51"/>
  <c r="E195" i="51"/>
  <c r="E54" i="51"/>
  <c r="E274" i="51"/>
  <c r="E159" i="51"/>
  <c r="E257" i="51"/>
  <c r="E102" i="51"/>
  <c r="E166" i="51"/>
  <c r="E230" i="51"/>
  <c r="E61" i="51"/>
  <c r="E125" i="51"/>
  <c r="E221" i="51"/>
  <c r="E291" i="51"/>
  <c r="E202" i="51"/>
  <c r="E177" i="51"/>
  <c r="E11" i="51"/>
  <c r="E251" i="51"/>
  <c r="E180" i="51"/>
  <c r="E18" i="51"/>
  <c r="E162" i="51"/>
  <c r="E25" i="51"/>
  <c r="E169" i="51"/>
  <c r="E272" i="51"/>
  <c r="E119" i="51"/>
  <c r="E247" i="51"/>
  <c r="E10" i="51"/>
  <c r="E266" i="51"/>
  <c r="E292" i="51"/>
  <c r="E123" i="51"/>
  <c r="E100" i="51"/>
  <c r="E309" i="51"/>
  <c r="E82" i="51"/>
  <c r="E226" i="51"/>
  <c r="E105" i="51"/>
  <c r="E233" i="51"/>
  <c r="E94" i="51"/>
  <c r="E158" i="51"/>
  <c r="E222" i="51"/>
  <c r="E21" i="51"/>
  <c r="E261" i="51"/>
  <c r="E283" i="51"/>
  <c r="E63" i="51"/>
  <c r="E143" i="51"/>
  <c r="E239" i="51"/>
  <c r="E40" i="51"/>
  <c r="E104" i="51"/>
  <c r="E168" i="51"/>
  <c r="E232" i="51"/>
  <c r="E297" i="51"/>
  <c r="E210" i="51"/>
  <c r="E301" i="51"/>
  <c r="E69" i="51"/>
  <c r="E35" i="51"/>
  <c r="E115" i="51"/>
  <c r="E157" i="51"/>
  <c r="E30" i="51"/>
  <c r="E305" i="51"/>
  <c r="E140" i="51"/>
  <c r="E97" i="51"/>
  <c r="E245" i="51"/>
  <c r="E53" i="51"/>
  <c r="E55" i="51"/>
  <c r="E252" i="51"/>
  <c r="E179" i="51"/>
  <c r="E87" i="51"/>
  <c r="E128" i="51"/>
  <c r="E192" i="51"/>
  <c r="E256" i="51"/>
  <c r="E117" i="51"/>
  <c r="E133" i="51"/>
  <c r="E259" i="51"/>
  <c r="E70" i="51"/>
  <c r="E290" i="51"/>
  <c r="E145" i="51"/>
  <c r="N8" i="11"/>
  <c r="N16" i="11"/>
  <c r="N24" i="11"/>
  <c r="N32" i="11"/>
  <c r="N40" i="11"/>
  <c r="N48" i="11"/>
  <c r="N56" i="11"/>
  <c r="N64" i="11"/>
  <c r="N72" i="11"/>
  <c r="N80" i="11"/>
  <c r="N88" i="11"/>
  <c r="N10" i="11"/>
  <c r="N18" i="11"/>
  <c r="N26" i="11"/>
  <c r="N34" i="11"/>
  <c r="N42" i="11"/>
  <c r="N50" i="11"/>
  <c r="N58" i="11"/>
  <c r="N66" i="11"/>
  <c r="N74" i="11"/>
  <c r="N82" i="11"/>
  <c r="N90" i="11"/>
  <c r="N266" i="11"/>
  <c r="N270" i="11"/>
  <c r="N274" i="11"/>
  <c r="N278" i="11"/>
  <c r="N282" i="11"/>
  <c r="N286" i="11"/>
  <c r="N290" i="11"/>
  <c r="N294" i="11"/>
  <c r="N298" i="11"/>
  <c r="N302" i="11"/>
  <c r="N306" i="11"/>
  <c r="N310" i="11"/>
  <c r="N313" i="11"/>
  <c r="N297" i="11"/>
  <c r="N281" i="11"/>
  <c r="N312" i="11"/>
  <c r="N296" i="11"/>
  <c r="N280" i="11"/>
  <c r="N311" i="11"/>
  <c r="N295" i="11"/>
  <c r="N279" i="11"/>
  <c r="N264" i="11"/>
  <c r="N256" i="11"/>
  <c r="N245" i="11"/>
  <c r="N229" i="11"/>
  <c r="N240" i="11"/>
  <c r="N224" i="11"/>
  <c r="N208" i="11"/>
  <c r="N192" i="11"/>
  <c r="N259" i="11"/>
  <c r="N251" i="11"/>
  <c r="N235" i="11"/>
  <c r="N246" i="11"/>
  <c r="N230" i="11"/>
  <c r="N214" i="11"/>
  <c r="N198" i="11"/>
  <c r="N221" i="11"/>
  <c r="N213" i="11"/>
  <c r="N205" i="11"/>
  <c r="N197" i="11"/>
  <c r="N189" i="11"/>
  <c r="N181" i="11"/>
  <c r="N173" i="11"/>
  <c r="N165" i="11"/>
  <c r="N157" i="11"/>
  <c r="N149" i="11"/>
  <c r="N141" i="11"/>
  <c r="N84" i="11"/>
  <c r="N52" i="11"/>
  <c r="N20" i="11"/>
  <c r="N184" i="11"/>
  <c r="N176" i="11"/>
  <c r="N168" i="11"/>
  <c r="N160" i="11"/>
  <c r="N152" i="11"/>
  <c r="N144" i="11"/>
  <c r="N136" i="11"/>
  <c r="N70" i="11"/>
  <c r="N38" i="11"/>
  <c r="N6" i="11"/>
  <c r="N120" i="11"/>
  <c r="N104" i="11"/>
  <c r="N85" i="11"/>
  <c r="N53" i="11"/>
  <c r="N21" i="11"/>
  <c r="N125" i="11"/>
  <c r="N109" i="11"/>
  <c r="N93" i="11"/>
  <c r="N63" i="11"/>
  <c r="N31" i="11"/>
  <c r="N130" i="11"/>
  <c r="N114" i="11"/>
  <c r="N98" i="11"/>
  <c r="N73" i="11"/>
  <c r="N41" i="11"/>
  <c r="N9" i="11"/>
  <c r="N119" i="11"/>
  <c r="N103" i="11"/>
  <c r="N83" i="11"/>
  <c r="N51" i="11"/>
  <c r="N19" i="11"/>
  <c r="N309" i="11"/>
  <c r="N293" i="11"/>
  <c r="N277" i="11"/>
  <c r="N308" i="11"/>
  <c r="N292" i="11"/>
  <c r="N276" i="11"/>
  <c r="N307" i="11"/>
  <c r="N291" i="11"/>
  <c r="N275" i="11"/>
  <c r="N262" i="11"/>
  <c r="N254" i="11"/>
  <c r="N241" i="11"/>
  <c r="N225" i="11"/>
  <c r="N236" i="11"/>
  <c r="N220" i="11"/>
  <c r="N204" i="11"/>
  <c r="N265" i="11"/>
  <c r="N257" i="11"/>
  <c r="N247" i="11"/>
  <c r="N231" i="11"/>
  <c r="N242" i="11"/>
  <c r="N226" i="11"/>
  <c r="N210" i="11"/>
  <c r="N194" i="11"/>
  <c r="N219" i="11"/>
  <c r="N211" i="11"/>
  <c r="N203" i="11"/>
  <c r="N195" i="11"/>
  <c r="N187" i="11"/>
  <c r="N179" i="11"/>
  <c r="N171" i="11"/>
  <c r="N163" i="11"/>
  <c r="N155" i="11"/>
  <c r="N147" i="11"/>
  <c r="N139" i="11"/>
  <c r="N76" i="11"/>
  <c r="N44" i="11"/>
  <c r="N12" i="11"/>
  <c r="N182" i="11"/>
  <c r="N174" i="11"/>
  <c r="N166" i="11"/>
  <c r="N158" i="11"/>
  <c r="N150" i="11"/>
  <c r="N142" i="11"/>
  <c r="N134" i="11"/>
  <c r="N62" i="11"/>
  <c r="N30" i="11"/>
  <c r="N132" i="11"/>
  <c r="N116" i="11"/>
  <c r="N100" i="11"/>
  <c r="N77" i="11"/>
  <c r="N45" i="11"/>
  <c r="N13" i="11"/>
  <c r="N121" i="11"/>
  <c r="N105" i="11"/>
  <c r="N87" i="11"/>
  <c r="N55" i="11"/>
  <c r="N23" i="11"/>
  <c r="N126" i="11"/>
  <c r="N110" i="11"/>
  <c r="N94" i="11"/>
  <c r="N65" i="11"/>
  <c r="N33" i="11"/>
  <c r="N131" i="11"/>
  <c r="N115" i="11"/>
  <c r="N99" i="11"/>
  <c r="N75" i="11"/>
  <c r="N43" i="11"/>
  <c r="N11" i="11"/>
  <c r="N305" i="11"/>
  <c r="N289" i="11"/>
  <c r="N273" i="11"/>
  <c r="N304" i="11"/>
  <c r="N288" i="11"/>
  <c r="N272" i="11"/>
  <c r="N303" i="11"/>
  <c r="N287" i="11"/>
  <c r="N271" i="11"/>
  <c r="N260" i="11"/>
  <c r="N252" i="11"/>
  <c r="N237" i="11"/>
  <c r="N248" i="11"/>
  <c r="N232" i="11"/>
  <c r="N216" i="11"/>
  <c r="N200" i="11"/>
  <c r="N263" i="11"/>
  <c r="N255" i="11"/>
  <c r="N243" i="11"/>
  <c r="N227" i="11"/>
  <c r="N238" i="11"/>
  <c r="N222" i="11"/>
  <c r="N206" i="11"/>
  <c r="N190" i="11"/>
  <c r="N217" i="11"/>
  <c r="N209" i="11"/>
  <c r="N201" i="11"/>
  <c r="N193" i="11"/>
  <c r="N185" i="11"/>
  <c r="N177" i="11"/>
  <c r="N169" i="11"/>
  <c r="N161" i="11"/>
  <c r="N153" i="11"/>
  <c r="N145" i="11"/>
  <c r="N137" i="11"/>
  <c r="N68" i="11"/>
  <c r="N36" i="11"/>
  <c r="N188" i="11"/>
  <c r="N180" i="11"/>
  <c r="N172" i="11"/>
  <c r="N164" i="11"/>
  <c r="N156" i="11"/>
  <c r="N148" i="11"/>
  <c r="N140" i="11"/>
  <c r="N86" i="11"/>
  <c r="N54" i="11"/>
  <c r="N22" i="11"/>
  <c r="N128" i="11"/>
  <c r="N112" i="11"/>
  <c r="N96" i="11"/>
  <c r="N69" i="11"/>
  <c r="N37" i="11"/>
  <c r="N133" i="11"/>
  <c r="N117" i="11"/>
  <c r="N101" i="11"/>
  <c r="N79" i="11"/>
  <c r="N47" i="11"/>
  <c r="N15" i="11"/>
  <c r="N122" i="11"/>
  <c r="N106" i="11"/>
  <c r="N89" i="11"/>
  <c r="N57" i="11"/>
  <c r="N25" i="11"/>
  <c r="N127" i="11"/>
  <c r="N111" i="11"/>
  <c r="N95" i="11"/>
  <c r="N67" i="11"/>
  <c r="N35" i="11"/>
  <c r="N301" i="11"/>
  <c r="N285" i="11"/>
  <c r="N269" i="11"/>
  <c r="N300" i="11"/>
  <c r="N284" i="11"/>
  <c r="N268" i="11"/>
  <c r="N299" i="11"/>
  <c r="N283" i="11"/>
  <c r="N267" i="11"/>
  <c r="N258" i="11"/>
  <c r="N249" i="11"/>
  <c r="N233" i="11"/>
  <c r="N244" i="11"/>
  <c r="N228" i="11"/>
  <c r="N212" i="11"/>
  <c r="N196" i="11"/>
  <c r="N261" i="11"/>
  <c r="N253" i="11"/>
  <c r="N239" i="11"/>
  <c r="N250" i="11"/>
  <c r="N234" i="11"/>
  <c r="N218" i="11"/>
  <c r="N202" i="11"/>
  <c r="N223" i="11"/>
  <c r="N215" i="11"/>
  <c r="N207" i="11"/>
  <c r="N199" i="11"/>
  <c r="N191" i="11"/>
  <c r="N183" i="11"/>
  <c r="N175" i="11"/>
  <c r="N167" i="11"/>
  <c r="N159" i="11"/>
  <c r="N151" i="11"/>
  <c r="N143" i="11"/>
  <c r="N135" i="11"/>
  <c r="N60" i="11"/>
  <c r="N28" i="11"/>
  <c r="N186" i="11"/>
  <c r="N178" i="11"/>
  <c r="N170" i="11"/>
  <c r="N162" i="11"/>
  <c r="N154" i="11"/>
  <c r="N146" i="11"/>
  <c r="N138" i="11"/>
  <c r="N78" i="11"/>
  <c r="N46" i="11"/>
  <c r="N14" i="11"/>
  <c r="N124" i="11"/>
  <c r="N108" i="11"/>
  <c r="N92" i="11"/>
  <c r="N61" i="11"/>
  <c r="N29" i="11"/>
  <c r="N129" i="11"/>
  <c r="N113" i="11"/>
  <c r="N97" i="11"/>
  <c r="N71" i="11"/>
  <c r="N39" i="11"/>
  <c r="N7" i="11"/>
  <c r="N118" i="11"/>
  <c r="N102" i="11"/>
  <c r="N81" i="11"/>
  <c r="N49" i="11"/>
  <c r="N17" i="11"/>
  <c r="N123" i="11"/>
  <c r="N107" i="11"/>
  <c r="N91" i="11"/>
  <c r="N59" i="11"/>
  <c r="N27" i="11"/>
  <c r="J261" i="11"/>
  <c r="J313" i="11"/>
  <c r="J297" i="11"/>
  <c r="J281" i="11"/>
  <c r="J265" i="11"/>
  <c r="J300" i="11"/>
  <c r="J284" i="11"/>
  <c r="J268" i="11"/>
  <c r="J303" i="11"/>
  <c r="J287" i="11"/>
  <c r="J271" i="11"/>
  <c r="J306" i="11"/>
  <c r="J290" i="11"/>
  <c r="J274" i="11"/>
  <c r="J253" i="11"/>
  <c r="J237" i="11"/>
  <c r="J221" i="11"/>
  <c r="J205" i="11"/>
  <c r="J189" i="11"/>
  <c r="J260" i="11"/>
  <c r="J244" i="11"/>
  <c r="J228" i="11"/>
  <c r="J212" i="11"/>
  <c r="J196" i="11"/>
  <c r="J180" i="11"/>
  <c r="J164" i="11"/>
  <c r="J148" i="11"/>
  <c r="J132" i="11"/>
  <c r="J116" i="11"/>
  <c r="J100" i="11"/>
  <c r="J84" i="11"/>
  <c r="J262" i="11"/>
  <c r="J247" i="11"/>
  <c r="J231" i="11"/>
  <c r="J215" i="11"/>
  <c r="J199" i="11"/>
  <c r="J183" i="11"/>
  <c r="J250" i="11"/>
  <c r="J234" i="11"/>
  <c r="J218" i="11"/>
  <c r="J202" i="11"/>
  <c r="J186" i="11"/>
  <c r="J170" i="11"/>
  <c r="J154" i="11"/>
  <c r="J138" i="11"/>
  <c r="J122" i="11"/>
  <c r="J106" i="11"/>
  <c r="J90" i="11"/>
  <c r="J74" i="11"/>
  <c r="J165" i="11"/>
  <c r="J149" i="11"/>
  <c r="J133" i="11"/>
  <c r="J117" i="11"/>
  <c r="J101" i="11"/>
  <c r="J85" i="11"/>
  <c r="J69" i="11"/>
  <c r="J53" i="11"/>
  <c r="J37" i="11"/>
  <c r="J21" i="11"/>
  <c r="J68" i="11"/>
  <c r="J52" i="11"/>
  <c r="J36" i="11"/>
  <c r="J20" i="11"/>
  <c r="J175" i="11"/>
  <c r="J159" i="11"/>
  <c r="J143" i="11"/>
  <c r="J127" i="11"/>
  <c r="J111" i="11"/>
  <c r="J95" i="11"/>
  <c r="J79" i="11"/>
  <c r="J63" i="11"/>
  <c r="J47" i="11"/>
  <c r="J31" i="11"/>
  <c r="J15" i="11"/>
  <c r="J62" i="11"/>
  <c r="J46" i="11"/>
  <c r="J30" i="11"/>
  <c r="J14" i="11"/>
  <c r="J309" i="11"/>
  <c r="J293" i="11"/>
  <c r="J277" i="11"/>
  <c r="J312" i="11"/>
  <c r="J296" i="11"/>
  <c r="J280" i="11"/>
  <c r="J264" i="11"/>
  <c r="J299" i="11"/>
  <c r="J283" i="11"/>
  <c r="J267" i="11"/>
  <c r="J302" i="11"/>
  <c r="J286" i="11"/>
  <c r="J270" i="11"/>
  <c r="J249" i="11"/>
  <c r="J233" i="11"/>
  <c r="J217" i="11"/>
  <c r="J201" i="11"/>
  <c r="J185" i="11"/>
  <c r="J256" i="11"/>
  <c r="J240" i="11"/>
  <c r="J224" i="11"/>
  <c r="J208" i="11"/>
  <c r="J192" i="11"/>
  <c r="J176" i="11"/>
  <c r="J160" i="11"/>
  <c r="J144" i="11"/>
  <c r="J128" i="11"/>
  <c r="J112" i="11"/>
  <c r="J96" i="11"/>
  <c r="J80" i="11"/>
  <c r="J259" i="11"/>
  <c r="J243" i="11"/>
  <c r="J227" i="11"/>
  <c r="J211" i="11"/>
  <c r="J195" i="11"/>
  <c r="J179" i="11"/>
  <c r="J246" i="11"/>
  <c r="J230" i="11"/>
  <c r="J214" i="11"/>
  <c r="J198" i="11"/>
  <c r="J182" i="11"/>
  <c r="J166" i="11"/>
  <c r="J150" i="11"/>
  <c r="J134" i="11"/>
  <c r="J118" i="11"/>
  <c r="J102" i="11"/>
  <c r="J86" i="11"/>
  <c r="J70" i="11"/>
  <c r="J161" i="11"/>
  <c r="J145" i="11"/>
  <c r="J129" i="11"/>
  <c r="J113" i="11"/>
  <c r="J97" i="11"/>
  <c r="J81" i="11"/>
  <c r="J65" i="11"/>
  <c r="J49" i="11"/>
  <c r="J33" i="11"/>
  <c r="J17" i="11"/>
  <c r="J64" i="11"/>
  <c r="J48" i="11"/>
  <c r="J32" i="11"/>
  <c r="J16" i="11"/>
  <c r="J171" i="11"/>
  <c r="J155" i="11"/>
  <c r="J139" i="11"/>
  <c r="J123" i="11"/>
  <c r="J107" i="11"/>
  <c r="J91" i="11"/>
  <c r="J75" i="11"/>
  <c r="J59" i="11"/>
  <c r="J43" i="11"/>
  <c r="J27" i="11"/>
  <c r="J11" i="11"/>
  <c r="J58" i="11"/>
  <c r="J42" i="11"/>
  <c r="J26" i="11"/>
  <c r="J10" i="11"/>
  <c r="J305" i="11"/>
  <c r="J289" i="11"/>
  <c r="J273" i="11"/>
  <c r="J308" i="11"/>
  <c r="J292" i="11"/>
  <c r="J276" i="11"/>
  <c r="J311" i="11"/>
  <c r="J295" i="11"/>
  <c r="J279" i="11"/>
  <c r="J263" i="11"/>
  <c r="J298" i="11"/>
  <c r="J282" i="11"/>
  <c r="J266" i="11"/>
  <c r="J245" i="11"/>
  <c r="J229" i="11"/>
  <c r="J213" i="11"/>
  <c r="J197" i="11"/>
  <c r="J181" i="11"/>
  <c r="J252" i="11"/>
  <c r="J236" i="11"/>
  <c r="J220" i="11"/>
  <c r="J204" i="11"/>
  <c r="J188" i="11"/>
  <c r="J172" i="11"/>
  <c r="J156" i="11"/>
  <c r="J140" i="11"/>
  <c r="J124" i="11"/>
  <c r="J108" i="11"/>
  <c r="J92" i="11"/>
  <c r="J76" i="11"/>
  <c r="J255" i="11"/>
  <c r="J239" i="11"/>
  <c r="J223" i="11"/>
  <c r="J207" i="11"/>
  <c r="J191" i="11"/>
  <c r="J258" i="11"/>
  <c r="J242" i="11"/>
  <c r="J226" i="11"/>
  <c r="J210" i="11"/>
  <c r="J194" i="11"/>
  <c r="J178" i="11"/>
  <c r="J162" i="11"/>
  <c r="J146" i="11"/>
  <c r="J130" i="11"/>
  <c r="J114" i="11"/>
  <c r="J98" i="11"/>
  <c r="J82" i="11"/>
  <c r="J173" i="11"/>
  <c r="J157" i="11"/>
  <c r="J141" i="11"/>
  <c r="J125" i="11"/>
  <c r="J109" i="11"/>
  <c r="J93" i="11"/>
  <c r="J77" i="11"/>
  <c r="J61" i="11"/>
  <c r="J45" i="11"/>
  <c r="J29" i="11"/>
  <c r="J13" i="11"/>
  <c r="J60" i="11"/>
  <c r="J44" i="11"/>
  <c r="J28" i="11"/>
  <c r="J12" i="11"/>
  <c r="J167" i="11"/>
  <c r="J151" i="11"/>
  <c r="J135" i="11"/>
  <c r="J119" i="11"/>
  <c r="J103" i="11"/>
  <c r="J87" i="11"/>
  <c r="J71" i="11"/>
  <c r="J55" i="11"/>
  <c r="J39" i="11"/>
  <c r="J23" i="11"/>
  <c r="J7" i="11"/>
  <c r="J54" i="11"/>
  <c r="J38" i="11"/>
  <c r="J22" i="11"/>
  <c r="J6" i="11"/>
  <c r="J301" i="11"/>
  <c r="J285" i="11"/>
  <c r="J269" i="11"/>
  <c r="J304" i="11"/>
  <c r="J288" i="11"/>
  <c r="J272" i="11"/>
  <c r="J307" i="11"/>
  <c r="J291" i="11"/>
  <c r="J275" i="11"/>
  <c r="J310" i="11"/>
  <c r="J294" i="11"/>
  <c r="J278" i="11"/>
  <c r="J257" i="11"/>
  <c r="J241" i="11"/>
  <c r="J225" i="11"/>
  <c r="J209" i="11"/>
  <c r="J193" i="11"/>
  <c r="J177" i="11"/>
  <c r="J248" i="11"/>
  <c r="J232" i="11"/>
  <c r="J216" i="11"/>
  <c r="J200" i="11"/>
  <c r="J184" i="11"/>
  <c r="J168" i="11"/>
  <c r="J152" i="11"/>
  <c r="J136" i="11"/>
  <c r="J120" i="11"/>
  <c r="J104" i="11"/>
  <c r="J88" i="11"/>
  <c r="J72" i="11"/>
  <c r="J251" i="11"/>
  <c r="J235" i="11"/>
  <c r="J219" i="11"/>
  <c r="J203" i="11"/>
  <c r="J187" i="11"/>
  <c r="J254" i="11"/>
  <c r="J238" i="11"/>
  <c r="J222" i="11"/>
  <c r="J206" i="11"/>
  <c r="J190" i="11"/>
  <c r="J174" i="11"/>
  <c r="J158" i="11"/>
  <c r="J142" i="11"/>
  <c r="J126" i="11"/>
  <c r="J110" i="11"/>
  <c r="J94" i="11"/>
  <c r="J78" i="11"/>
  <c r="J169" i="11"/>
  <c r="J153" i="11"/>
  <c r="J137" i="11"/>
  <c r="J121" i="11"/>
  <c r="J105" i="11"/>
  <c r="J89" i="11"/>
  <c r="J73" i="11"/>
  <c r="J57" i="11"/>
  <c r="J41" i="11"/>
  <c r="J25" i="11"/>
  <c r="J9" i="11"/>
  <c r="J56" i="11"/>
  <c r="J40" i="11"/>
  <c r="J24" i="11"/>
  <c r="J8" i="11"/>
  <c r="J163" i="11"/>
  <c r="J147" i="11"/>
  <c r="J131" i="11"/>
  <c r="J115" i="11"/>
  <c r="J99" i="11"/>
  <c r="J83" i="11"/>
  <c r="J67" i="11"/>
  <c r="J51" i="11"/>
  <c r="J35" i="11"/>
  <c r="J19" i="11"/>
  <c r="J66" i="11"/>
  <c r="J50" i="11"/>
  <c r="J34" i="11"/>
  <c r="J18" i="11"/>
  <c r="D60" i="48"/>
  <c r="E26" i="51"/>
  <c r="E6" i="51"/>
  <c r="D315" i="51"/>
  <c r="M315" i="25"/>
  <c r="J6" i="51"/>
  <c r="G15" i="34"/>
  <c r="D5" i="12"/>
  <c r="N5" i="11"/>
  <c r="J5" i="11"/>
  <c r="D5" i="39"/>
  <c r="G320" i="9"/>
  <c r="O81" i="11" l="1"/>
  <c r="P81" i="11" s="1"/>
  <c r="O267" i="11"/>
  <c r="P267" i="11" s="1"/>
  <c r="O7" i="11"/>
  <c r="O92" i="11"/>
  <c r="O46" i="11"/>
  <c r="O154" i="11"/>
  <c r="O175" i="11"/>
  <c r="O218" i="11"/>
  <c r="O253" i="11"/>
  <c r="O268" i="11"/>
  <c r="O108" i="11"/>
  <c r="O78" i="11"/>
  <c r="O28" i="11"/>
  <c r="O151" i="11"/>
  <c r="O215" i="11"/>
  <c r="O234" i="11"/>
  <c r="F267" i="12"/>
  <c r="O284" i="11"/>
  <c r="O27" i="11"/>
  <c r="O123" i="11"/>
  <c r="O102" i="11"/>
  <c r="O71" i="11"/>
  <c r="O29" i="11"/>
  <c r="O124" i="11"/>
  <c r="O138" i="11"/>
  <c r="O170" i="11"/>
  <c r="O60" i="11"/>
  <c r="O159" i="11"/>
  <c r="O191" i="11"/>
  <c r="O223" i="11"/>
  <c r="O250" i="11"/>
  <c r="O196" i="11"/>
  <c r="O233" i="11"/>
  <c r="O283" i="11"/>
  <c r="O300" i="11"/>
  <c r="O35" i="11"/>
  <c r="O127" i="11"/>
  <c r="O106" i="11"/>
  <c r="O79" i="11"/>
  <c r="O37" i="11"/>
  <c r="O128" i="11"/>
  <c r="O140" i="11"/>
  <c r="O172" i="11"/>
  <c r="O68" i="11"/>
  <c r="O161" i="11"/>
  <c r="O193" i="11"/>
  <c r="O190" i="11"/>
  <c r="O227" i="11"/>
  <c r="O200" i="11"/>
  <c r="O237" i="11"/>
  <c r="O287" i="11"/>
  <c r="O304" i="11"/>
  <c r="O11" i="11"/>
  <c r="O115" i="11"/>
  <c r="O94" i="11"/>
  <c r="O55" i="11"/>
  <c r="O13" i="11"/>
  <c r="O116" i="11"/>
  <c r="O134" i="11"/>
  <c r="O166" i="11"/>
  <c r="O44" i="11"/>
  <c r="O155" i="11"/>
  <c r="O187" i="11"/>
  <c r="O219" i="11"/>
  <c r="O242" i="11"/>
  <c r="O265" i="11"/>
  <c r="O225" i="11"/>
  <c r="O275" i="11"/>
  <c r="O292" i="11"/>
  <c r="O309" i="11"/>
  <c r="O103" i="11"/>
  <c r="O73" i="11"/>
  <c r="O31" i="11"/>
  <c r="O125" i="11"/>
  <c r="O104" i="11"/>
  <c r="O70" i="11"/>
  <c r="O160" i="11"/>
  <c r="O20" i="11"/>
  <c r="O149" i="11"/>
  <c r="O181" i="11"/>
  <c r="O213" i="11"/>
  <c r="O230" i="11"/>
  <c r="O259" i="11"/>
  <c r="O240" i="11"/>
  <c r="O264" i="11"/>
  <c r="O280" i="11"/>
  <c r="O297" i="11"/>
  <c r="O302" i="11"/>
  <c r="O286" i="11"/>
  <c r="O270" i="11"/>
  <c r="O74" i="11"/>
  <c r="O42" i="11"/>
  <c r="O10" i="11"/>
  <c r="O64" i="11"/>
  <c r="O32" i="11"/>
  <c r="O59" i="11"/>
  <c r="O17" i="11"/>
  <c r="O118" i="11"/>
  <c r="O97" i="11"/>
  <c r="O61" i="11"/>
  <c r="O14" i="11"/>
  <c r="O146" i="11"/>
  <c r="O178" i="11"/>
  <c r="O135" i="11"/>
  <c r="O167" i="11"/>
  <c r="O199" i="11"/>
  <c r="O202" i="11"/>
  <c r="O239" i="11"/>
  <c r="O212" i="11"/>
  <c r="O249" i="11"/>
  <c r="O299" i="11"/>
  <c r="O269" i="11"/>
  <c r="O67" i="11"/>
  <c r="O25" i="11"/>
  <c r="O122" i="11"/>
  <c r="O101" i="11"/>
  <c r="O69" i="11"/>
  <c r="O22" i="11"/>
  <c r="O148" i="11"/>
  <c r="O180" i="11"/>
  <c r="O137" i="11"/>
  <c r="O169" i="11"/>
  <c r="O201" i="11"/>
  <c r="O206" i="11"/>
  <c r="O243" i="11"/>
  <c r="O216" i="11"/>
  <c r="O252" i="11"/>
  <c r="O303" i="11"/>
  <c r="O273" i="11"/>
  <c r="O43" i="11"/>
  <c r="O131" i="11"/>
  <c r="O110" i="11"/>
  <c r="O87" i="11"/>
  <c r="O45" i="11"/>
  <c r="O132" i="11"/>
  <c r="O142" i="11"/>
  <c r="O174" i="11"/>
  <c r="O76" i="11"/>
  <c r="O163" i="11"/>
  <c r="O195" i="11"/>
  <c r="O194" i="11"/>
  <c r="O231" i="11"/>
  <c r="O204" i="11"/>
  <c r="O241" i="11"/>
  <c r="O291" i="11"/>
  <c r="O308" i="11"/>
  <c r="O19" i="11"/>
  <c r="O119" i="11"/>
  <c r="O98" i="11"/>
  <c r="O63" i="11"/>
  <c r="O21" i="11"/>
  <c r="O120" i="11"/>
  <c r="O136" i="11"/>
  <c r="O168" i="11"/>
  <c r="O52" i="11"/>
  <c r="O157" i="11"/>
  <c r="O189" i="11"/>
  <c r="O221" i="11"/>
  <c r="O246" i="11"/>
  <c r="O192" i="11"/>
  <c r="O229" i="11"/>
  <c r="O279" i="11"/>
  <c r="O296" i="11"/>
  <c r="O313" i="11"/>
  <c r="O298" i="11"/>
  <c r="O282" i="11"/>
  <c r="O266" i="11"/>
  <c r="O66" i="11"/>
  <c r="O34" i="11"/>
  <c r="O88" i="11"/>
  <c r="O56" i="11"/>
  <c r="O24" i="11"/>
  <c r="O91" i="11"/>
  <c r="O49" i="11"/>
  <c r="O113" i="11"/>
  <c r="O186" i="11"/>
  <c r="O143" i="11"/>
  <c r="O207" i="11"/>
  <c r="O228" i="11"/>
  <c r="O258" i="11"/>
  <c r="O285" i="11"/>
  <c r="O95" i="11"/>
  <c r="O57" i="11"/>
  <c r="O15" i="11"/>
  <c r="O117" i="11"/>
  <c r="O96" i="11"/>
  <c r="O54" i="11"/>
  <c r="O156" i="11"/>
  <c r="O188" i="11"/>
  <c r="O145" i="11"/>
  <c r="O177" i="11"/>
  <c r="O209" i="11"/>
  <c r="O222" i="11"/>
  <c r="O255" i="11"/>
  <c r="O232" i="11"/>
  <c r="O260" i="11"/>
  <c r="O272" i="11"/>
  <c r="O289" i="11"/>
  <c r="O75" i="11"/>
  <c r="O33" i="11"/>
  <c r="O126" i="11"/>
  <c r="O105" i="11"/>
  <c r="O77" i="11"/>
  <c r="O30" i="11"/>
  <c r="O150" i="11"/>
  <c r="O182" i="11"/>
  <c r="O139" i="11"/>
  <c r="O171" i="11"/>
  <c r="O203" i="11"/>
  <c r="O210" i="11"/>
  <c r="O247" i="11"/>
  <c r="O220" i="11"/>
  <c r="O254" i="11"/>
  <c r="O307" i="11"/>
  <c r="O277" i="11"/>
  <c r="O51" i="11"/>
  <c r="O9" i="11"/>
  <c r="O114" i="11"/>
  <c r="O93" i="11"/>
  <c r="O53" i="11"/>
  <c r="O6" i="11"/>
  <c r="O144" i="11"/>
  <c r="O176" i="11"/>
  <c r="O84" i="11"/>
  <c r="O165" i="11"/>
  <c r="O197" i="11"/>
  <c r="O198" i="11"/>
  <c r="O235" i="11"/>
  <c r="O208" i="11"/>
  <c r="O245" i="11"/>
  <c r="O295" i="11"/>
  <c r="O312" i="11"/>
  <c r="O310" i="11"/>
  <c r="O294" i="11"/>
  <c r="O278" i="11"/>
  <c r="O90" i="11"/>
  <c r="O58" i="11"/>
  <c r="O26" i="11"/>
  <c r="O80" i="11"/>
  <c r="O48" i="11"/>
  <c r="O16" i="11"/>
  <c r="O107" i="11"/>
  <c r="O39" i="11"/>
  <c r="O129" i="11"/>
  <c r="O162" i="11"/>
  <c r="O183" i="11"/>
  <c r="O261" i="11"/>
  <c r="O244" i="11"/>
  <c r="O301" i="11"/>
  <c r="O111" i="11"/>
  <c r="O89" i="11"/>
  <c r="O47" i="11"/>
  <c r="O133" i="11"/>
  <c r="O112" i="11"/>
  <c r="O86" i="11"/>
  <c r="O164" i="11"/>
  <c r="O36" i="11"/>
  <c r="O153" i="11"/>
  <c r="O185" i="11"/>
  <c r="O217" i="11"/>
  <c r="O238" i="11"/>
  <c r="O263" i="11"/>
  <c r="O248" i="11"/>
  <c r="O271" i="11"/>
  <c r="O288" i="11"/>
  <c r="O305" i="11"/>
  <c r="O99" i="11"/>
  <c r="O65" i="11"/>
  <c r="O23" i="11"/>
  <c r="O121" i="11"/>
  <c r="O100" i="11"/>
  <c r="O62" i="11"/>
  <c r="O158" i="11"/>
  <c r="O12" i="11"/>
  <c r="O147" i="11"/>
  <c r="O179" i="11"/>
  <c r="O211" i="11"/>
  <c r="O226" i="11"/>
  <c r="O257" i="11"/>
  <c r="O236" i="11"/>
  <c r="O262" i="11"/>
  <c r="O276" i="11"/>
  <c r="O293" i="11"/>
  <c r="O83" i="11"/>
  <c r="O41" i="11"/>
  <c r="O130" i="11"/>
  <c r="O109" i="11"/>
  <c r="O85" i="11"/>
  <c r="O38" i="11"/>
  <c r="O152" i="11"/>
  <c r="O184" i="11"/>
  <c r="O141" i="11"/>
  <c r="O173" i="11"/>
  <c r="O205" i="11"/>
  <c r="O214" i="11"/>
  <c r="O251" i="11"/>
  <c r="O224" i="11"/>
  <c r="O256" i="11"/>
  <c r="O311" i="11"/>
  <c r="O281" i="11"/>
  <c r="O306" i="11"/>
  <c r="O290" i="11"/>
  <c r="O274" i="11"/>
  <c r="O82" i="11"/>
  <c r="O50" i="11"/>
  <c r="O18" i="11"/>
  <c r="O72" i="11"/>
  <c r="O40" i="11"/>
  <c r="O8" i="11"/>
  <c r="E315" i="51"/>
  <c r="D61" i="48"/>
  <c r="K6" i="51"/>
  <c r="K315" i="51" s="1"/>
  <c r="J315" i="51"/>
  <c r="E33" i="48"/>
  <c r="E34" i="48"/>
  <c r="D314" i="12"/>
  <c r="D314" i="39"/>
  <c r="O5" i="11"/>
  <c r="J314" i="11"/>
  <c r="N314" i="11"/>
  <c r="F315" i="25"/>
  <c r="F267" i="39" l="1"/>
  <c r="F81" i="12"/>
  <c r="F81" i="39"/>
  <c r="P50" i="11"/>
  <c r="F50" i="39"/>
  <c r="F50" i="12"/>
  <c r="P306" i="11"/>
  <c r="F306" i="39"/>
  <c r="F306" i="12"/>
  <c r="P173" i="11"/>
  <c r="F173" i="39"/>
  <c r="F173" i="12"/>
  <c r="P38" i="11"/>
  <c r="F38" i="39"/>
  <c r="F38" i="12"/>
  <c r="P262" i="11"/>
  <c r="F262" i="39"/>
  <c r="F262" i="12"/>
  <c r="P211" i="11"/>
  <c r="F211" i="39"/>
  <c r="F211" i="12"/>
  <c r="P23" i="11"/>
  <c r="F23" i="39"/>
  <c r="F23" i="12"/>
  <c r="P238" i="11"/>
  <c r="F238" i="39"/>
  <c r="F238" i="12"/>
  <c r="P16" i="11"/>
  <c r="F16" i="39"/>
  <c r="F16" i="12"/>
  <c r="P40" i="11"/>
  <c r="F40" i="39"/>
  <c r="F40" i="12"/>
  <c r="P82" i="11"/>
  <c r="F82" i="12"/>
  <c r="F82" i="39"/>
  <c r="P281" i="11"/>
  <c r="F281" i="12"/>
  <c r="F281" i="39"/>
  <c r="P251" i="11"/>
  <c r="F251" i="12"/>
  <c r="F251" i="39"/>
  <c r="P141" i="11"/>
  <c r="F141" i="39"/>
  <c r="F141" i="12"/>
  <c r="P85" i="11"/>
  <c r="F85" i="39"/>
  <c r="F85" i="12"/>
  <c r="P83" i="11"/>
  <c r="F83" i="39"/>
  <c r="F83" i="12"/>
  <c r="P236" i="11"/>
  <c r="F236" i="39"/>
  <c r="F236" i="12"/>
  <c r="P179" i="11"/>
  <c r="F179" i="39"/>
  <c r="F179" i="12"/>
  <c r="P62" i="11"/>
  <c r="F62" i="12"/>
  <c r="F62" i="39"/>
  <c r="P65" i="11"/>
  <c r="F65" i="39"/>
  <c r="F65" i="12"/>
  <c r="P271" i="11"/>
  <c r="F271" i="12"/>
  <c r="F271" i="39"/>
  <c r="P217" i="11"/>
  <c r="F217" i="39"/>
  <c r="F217" i="12"/>
  <c r="P164" i="11"/>
  <c r="F164" i="39"/>
  <c r="F164" i="12"/>
  <c r="P47" i="11"/>
  <c r="F47" i="39"/>
  <c r="F47" i="12"/>
  <c r="P244" i="11"/>
  <c r="F244" i="39"/>
  <c r="F244" i="12"/>
  <c r="P129" i="11"/>
  <c r="F129" i="39"/>
  <c r="F129" i="12"/>
  <c r="P48" i="11"/>
  <c r="F48" i="39"/>
  <c r="F48" i="12"/>
  <c r="P90" i="11"/>
  <c r="F90" i="12"/>
  <c r="F90" i="39"/>
  <c r="P312" i="11"/>
  <c r="F312" i="39"/>
  <c r="F312" i="12"/>
  <c r="P235" i="11"/>
  <c r="F235" i="39"/>
  <c r="F235" i="12"/>
  <c r="P84" i="11"/>
  <c r="F84" i="12"/>
  <c r="F84" i="39"/>
  <c r="P53" i="11"/>
  <c r="F53" i="39"/>
  <c r="F53" i="12"/>
  <c r="P51" i="11"/>
  <c r="F51" i="39"/>
  <c r="F51" i="12"/>
  <c r="P220" i="11"/>
  <c r="F220" i="39"/>
  <c r="F220" i="12"/>
  <c r="P171" i="11"/>
  <c r="F171" i="39"/>
  <c r="F171" i="12"/>
  <c r="P30" i="11"/>
  <c r="F30" i="39"/>
  <c r="F30" i="12"/>
  <c r="P33" i="11"/>
  <c r="F33" i="39"/>
  <c r="F33" i="12"/>
  <c r="P260" i="11"/>
  <c r="F260" i="39"/>
  <c r="F260" i="12"/>
  <c r="P209" i="11"/>
  <c r="F209" i="39"/>
  <c r="F209" i="12"/>
  <c r="P156" i="11"/>
  <c r="F156" i="39"/>
  <c r="F156" i="12"/>
  <c r="P15" i="11"/>
  <c r="F15" i="39"/>
  <c r="F15" i="12"/>
  <c r="P258" i="11"/>
  <c r="F258" i="39"/>
  <c r="F258" i="12"/>
  <c r="P186" i="11"/>
  <c r="F186" i="39"/>
  <c r="F186" i="12"/>
  <c r="P24" i="11"/>
  <c r="F24" i="12"/>
  <c r="F24" i="39"/>
  <c r="P66" i="11"/>
  <c r="F66" i="12"/>
  <c r="F66" i="39"/>
  <c r="P313" i="11"/>
  <c r="F313" i="12"/>
  <c r="F313" i="39"/>
  <c r="P192" i="11"/>
  <c r="F192" i="39"/>
  <c r="F192" i="12"/>
  <c r="P157" i="11"/>
  <c r="F157" i="39"/>
  <c r="F157" i="12"/>
  <c r="P120" i="11"/>
  <c r="F120" i="39"/>
  <c r="F120" i="12"/>
  <c r="P119" i="11"/>
  <c r="F119" i="39"/>
  <c r="F119" i="12"/>
  <c r="P241" i="11"/>
  <c r="F241" i="12"/>
  <c r="F241" i="39"/>
  <c r="P195" i="11"/>
  <c r="F195" i="39"/>
  <c r="F195" i="12"/>
  <c r="P142" i="11"/>
  <c r="F142" i="39"/>
  <c r="F142" i="12"/>
  <c r="P110" i="11"/>
  <c r="F110" i="39"/>
  <c r="F110" i="12"/>
  <c r="P303" i="11"/>
  <c r="F303" i="12"/>
  <c r="F303" i="39"/>
  <c r="P206" i="11"/>
  <c r="F206" i="39"/>
  <c r="F206" i="12"/>
  <c r="P180" i="11"/>
  <c r="F180" i="39"/>
  <c r="F180" i="12"/>
  <c r="P101" i="11"/>
  <c r="F101" i="39"/>
  <c r="F101" i="12"/>
  <c r="P269" i="11"/>
  <c r="F269" i="12"/>
  <c r="F269" i="39"/>
  <c r="P239" i="11"/>
  <c r="F239" i="12"/>
  <c r="F239" i="39"/>
  <c r="P135" i="11"/>
  <c r="F135" i="39"/>
  <c r="F135" i="12"/>
  <c r="P61" i="11"/>
  <c r="F61" i="39"/>
  <c r="F61" i="12"/>
  <c r="P59" i="11"/>
  <c r="F59" i="39"/>
  <c r="F59" i="12"/>
  <c r="P42" i="11"/>
  <c r="F42" i="39"/>
  <c r="F42" i="12"/>
  <c r="P302" i="11"/>
  <c r="F302" i="39"/>
  <c r="F302" i="12"/>
  <c r="P240" i="11"/>
  <c r="F240" i="39"/>
  <c r="F240" i="12"/>
  <c r="P181" i="11"/>
  <c r="F181" i="39"/>
  <c r="F181" i="12"/>
  <c r="P70" i="11"/>
  <c r="F70" i="12"/>
  <c r="F70" i="39"/>
  <c r="P73" i="11"/>
  <c r="F73" i="39"/>
  <c r="F73" i="12"/>
  <c r="P275" i="11"/>
  <c r="F275" i="12"/>
  <c r="F275" i="39"/>
  <c r="P219" i="11"/>
  <c r="F219" i="39"/>
  <c r="F219" i="12"/>
  <c r="P166" i="11"/>
  <c r="F166" i="39"/>
  <c r="F166" i="12"/>
  <c r="P55" i="11"/>
  <c r="F55" i="39"/>
  <c r="F55" i="12"/>
  <c r="P304" i="11"/>
  <c r="F304" i="39"/>
  <c r="F304" i="12"/>
  <c r="P227" i="11"/>
  <c r="F227" i="39"/>
  <c r="F227" i="12"/>
  <c r="P68" i="11"/>
  <c r="F68" i="12"/>
  <c r="F68" i="39"/>
  <c r="P37" i="11"/>
  <c r="F37" i="39"/>
  <c r="F37" i="12"/>
  <c r="P35" i="11"/>
  <c r="F35" i="39"/>
  <c r="F35" i="12"/>
  <c r="P196" i="11"/>
  <c r="F196" i="39"/>
  <c r="F196" i="12"/>
  <c r="P159" i="11"/>
  <c r="F159" i="39"/>
  <c r="F159" i="12"/>
  <c r="P124" i="11"/>
  <c r="F124" i="39"/>
  <c r="F124" i="12"/>
  <c r="P123" i="11"/>
  <c r="F123" i="39"/>
  <c r="F123" i="12"/>
  <c r="P215" i="11"/>
  <c r="F215" i="39"/>
  <c r="F215" i="12"/>
  <c r="P108" i="11"/>
  <c r="F108" i="39"/>
  <c r="F108" i="12"/>
  <c r="P268" i="11"/>
  <c r="F268" i="39"/>
  <c r="F268" i="12"/>
  <c r="P154" i="11"/>
  <c r="F154" i="39"/>
  <c r="F154" i="12"/>
  <c r="P72" i="11"/>
  <c r="F72" i="12"/>
  <c r="F72" i="39"/>
  <c r="P311" i="11"/>
  <c r="F311" i="12"/>
  <c r="F311" i="39"/>
  <c r="P214" i="11"/>
  <c r="F214" i="39"/>
  <c r="F214" i="12"/>
  <c r="P184" i="11"/>
  <c r="F184" i="39"/>
  <c r="F184" i="12"/>
  <c r="P109" i="11"/>
  <c r="F109" i="39"/>
  <c r="F109" i="12"/>
  <c r="P293" i="11"/>
  <c r="F293" i="12"/>
  <c r="F293" i="39"/>
  <c r="P257" i="11"/>
  <c r="F257" i="12"/>
  <c r="F257" i="39"/>
  <c r="P147" i="11"/>
  <c r="F147" i="39"/>
  <c r="F147" i="12"/>
  <c r="P100" i="11"/>
  <c r="F100" i="39"/>
  <c r="F100" i="12"/>
  <c r="P99" i="11"/>
  <c r="F99" i="39"/>
  <c r="F99" i="12"/>
  <c r="P248" i="11"/>
  <c r="F248" i="39"/>
  <c r="F248" i="12"/>
  <c r="P185" i="11"/>
  <c r="F185" i="39"/>
  <c r="F185" i="12"/>
  <c r="P86" i="11"/>
  <c r="F86" i="12"/>
  <c r="F86" i="39"/>
  <c r="P89" i="11"/>
  <c r="F89" i="39"/>
  <c r="F89" i="12"/>
  <c r="P261" i="11"/>
  <c r="F261" i="12"/>
  <c r="F261" i="39"/>
  <c r="P39" i="11"/>
  <c r="F39" i="39"/>
  <c r="F39" i="12"/>
  <c r="P80" i="11"/>
  <c r="F80" i="12"/>
  <c r="F80" i="39"/>
  <c r="P278" i="11"/>
  <c r="F278" i="39"/>
  <c r="F278" i="12"/>
  <c r="P295" i="11"/>
  <c r="F295" i="12"/>
  <c r="F295" i="39"/>
  <c r="P198" i="11"/>
  <c r="F198" i="39"/>
  <c r="F198" i="12"/>
  <c r="P176" i="11"/>
  <c r="F176" i="39"/>
  <c r="F176" i="12"/>
  <c r="P93" i="11"/>
  <c r="F93" i="39"/>
  <c r="F93" i="12"/>
  <c r="P277" i="11"/>
  <c r="F277" i="12"/>
  <c r="F277" i="39"/>
  <c r="P247" i="11"/>
  <c r="F247" i="12"/>
  <c r="F247" i="39"/>
  <c r="P139" i="11"/>
  <c r="F139" i="39"/>
  <c r="F139" i="12"/>
  <c r="P77" i="11"/>
  <c r="F77" i="39"/>
  <c r="F77" i="12"/>
  <c r="P75" i="11"/>
  <c r="F75" i="39"/>
  <c r="F75" i="12"/>
  <c r="P232" i="11"/>
  <c r="F232" i="39"/>
  <c r="F232" i="12"/>
  <c r="P177" i="11"/>
  <c r="F177" i="39"/>
  <c r="F177" i="12"/>
  <c r="P54" i="11"/>
  <c r="F54" i="39"/>
  <c r="F54" i="12"/>
  <c r="P57" i="11"/>
  <c r="F57" i="39"/>
  <c r="F57" i="12"/>
  <c r="P228" i="11"/>
  <c r="F228" i="39"/>
  <c r="F228" i="12"/>
  <c r="P113" i="11"/>
  <c r="F113" i="39"/>
  <c r="F113" i="12"/>
  <c r="P56" i="11"/>
  <c r="F56" i="39"/>
  <c r="F56" i="12"/>
  <c r="P266" i="11"/>
  <c r="F266" i="39"/>
  <c r="F266" i="12"/>
  <c r="P296" i="11"/>
  <c r="F296" i="39"/>
  <c r="F296" i="12"/>
  <c r="P246" i="11"/>
  <c r="F246" i="39"/>
  <c r="F246" i="12"/>
  <c r="P52" i="11"/>
  <c r="F52" i="39"/>
  <c r="F52" i="12"/>
  <c r="P21" i="11"/>
  <c r="F21" i="39"/>
  <c r="F21" i="12"/>
  <c r="P19" i="11"/>
  <c r="F19" i="39"/>
  <c r="F19" i="12"/>
  <c r="P204" i="11"/>
  <c r="F204" i="39"/>
  <c r="F204" i="12"/>
  <c r="P163" i="11"/>
  <c r="F163" i="39"/>
  <c r="F163" i="12"/>
  <c r="P132" i="11"/>
  <c r="F132" i="39"/>
  <c r="F132" i="12"/>
  <c r="P131" i="11"/>
  <c r="F131" i="39"/>
  <c r="F131" i="12"/>
  <c r="P252" i="11"/>
  <c r="F252" i="39"/>
  <c r="F252" i="12"/>
  <c r="P201" i="11"/>
  <c r="F201" i="39"/>
  <c r="F201" i="12"/>
  <c r="P148" i="11"/>
  <c r="F148" i="39"/>
  <c r="F148" i="12"/>
  <c r="P122" i="11"/>
  <c r="F122" i="39"/>
  <c r="F122" i="12"/>
  <c r="P299" i="11"/>
  <c r="F299" i="12"/>
  <c r="F299" i="39"/>
  <c r="P202" i="11"/>
  <c r="F202" i="39"/>
  <c r="F202" i="12"/>
  <c r="P178" i="11"/>
  <c r="F178" i="39"/>
  <c r="F178" i="12"/>
  <c r="P97" i="11"/>
  <c r="F97" i="39"/>
  <c r="F97" i="12"/>
  <c r="P32" i="11"/>
  <c r="F32" i="39"/>
  <c r="F32" i="12"/>
  <c r="P74" i="11"/>
  <c r="F74" i="12"/>
  <c r="F74" i="39"/>
  <c r="P297" i="11"/>
  <c r="F297" i="12"/>
  <c r="F297" i="39"/>
  <c r="P259" i="11"/>
  <c r="F259" i="12"/>
  <c r="F259" i="39"/>
  <c r="P149" i="11"/>
  <c r="F149" i="12"/>
  <c r="F149" i="39"/>
  <c r="P104" i="11"/>
  <c r="F104" i="39"/>
  <c r="F104" i="12"/>
  <c r="P103" i="11"/>
  <c r="F103" i="39"/>
  <c r="F103" i="12"/>
  <c r="P225" i="11"/>
  <c r="F225" i="39"/>
  <c r="F225" i="12"/>
  <c r="P187" i="11"/>
  <c r="F187" i="39"/>
  <c r="F187" i="12"/>
  <c r="P134" i="11"/>
  <c r="F134" i="39"/>
  <c r="F134" i="12"/>
  <c r="P94" i="11"/>
  <c r="F94" i="39"/>
  <c r="F94" i="12"/>
  <c r="P287" i="11"/>
  <c r="F287" i="12"/>
  <c r="F287" i="39"/>
  <c r="P190" i="11"/>
  <c r="F190" i="39"/>
  <c r="F190" i="12"/>
  <c r="P172" i="11"/>
  <c r="F172" i="39"/>
  <c r="F172" i="12"/>
  <c r="P79" i="11"/>
  <c r="F79" i="39"/>
  <c r="F79" i="12"/>
  <c r="P300" i="11"/>
  <c r="F300" i="39"/>
  <c r="F300" i="12"/>
  <c r="P250" i="11"/>
  <c r="F250" i="12"/>
  <c r="F250" i="39"/>
  <c r="P60" i="11"/>
  <c r="F60" i="12"/>
  <c r="F60" i="39"/>
  <c r="P29" i="11"/>
  <c r="F29" i="39"/>
  <c r="F29" i="12"/>
  <c r="P27" i="11"/>
  <c r="F27" i="12"/>
  <c r="F27" i="39"/>
  <c r="P151" i="11"/>
  <c r="F151" i="39"/>
  <c r="F151" i="12"/>
  <c r="P253" i="11"/>
  <c r="F253" i="12"/>
  <c r="F253" i="39"/>
  <c r="P46" i="11"/>
  <c r="F46" i="39"/>
  <c r="F46" i="12"/>
  <c r="P18" i="11"/>
  <c r="F18" i="39"/>
  <c r="F18" i="12"/>
  <c r="P290" i="11"/>
  <c r="F290" i="39"/>
  <c r="F290" i="12"/>
  <c r="P256" i="11"/>
  <c r="F256" i="39"/>
  <c r="F256" i="12"/>
  <c r="P205" i="11"/>
  <c r="F205" i="39"/>
  <c r="F205" i="12"/>
  <c r="P152" i="11"/>
  <c r="F152" i="39"/>
  <c r="F152" i="12"/>
  <c r="P130" i="11"/>
  <c r="F130" i="39"/>
  <c r="F130" i="12"/>
  <c r="P276" i="11"/>
  <c r="F276" i="39"/>
  <c r="F276" i="12"/>
  <c r="P226" i="11"/>
  <c r="F226" i="39"/>
  <c r="F226" i="12"/>
  <c r="P12" i="11"/>
  <c r="F12" i="39"/>
  <c r="F12" i="12"/>
  <c r="P121" i="11"/>
  <c r="F121" i="39"/>
  <c r="F121" i="12"/>
  <c r="P305" i="11"/>
  <c r="F305" i="12"/>
  <c r="F305" i="39"/>
  <c r="P263" i="11"/>
  <c r="F263" i="12"/>
  <c r="F263" i="39"/>
  <c r="P153" i="11"/>
  <c r="F153" i="39"/>
  <c r="F153" i="12"/>
  <c r="P112" i="11"/>
  <c r="F112" i="39"/>
  <c r="F112" i="12"/>
  <c r="P111" i="11"/>
  <c r="F111" i="39"/>
  <c r="F111" i="12"/>
  <c r="P183" i="11"/>
  <c r="F183" i="39"/>
  <c r="F183" i="12"/>
  <c r="P107" i="11"/>
  <c r="F107" i="39"/>
  <c r="F107" i="12"/>
  <c r="P26" i="11"/>
  <c r="F26" i="39"/>
  <c r="F26" i="12"/>
  <c r="P294" i="11"/>
  <c r="F294" i="39"/>
  <c r="F294" i="12"/>
  <c r="P245" i="11"/>
  <c r="F245" i="39"/>
  <c r="F245" i="12"/>
  <c r="P197" i="11"/>
  <c r="F197" i="39"/>
  <c r="F197" i="12"/>
  <c r="P144" i="11"/>
  <c r="F144" i="39"/>
  <c r="F144" i="12"/>
  <c r="P114" i="11"/>
  <c r="F114" i="39"/>
  <c r="F114" i="12"/>
  <c r="P307" i="11"/>
  <c r="F307" i="12"/>
  <c r="F307" i="39"/>
  <c r="P210" i="11"/>
  <c r="F210" i="39"/>
  <c r="F210" i="12"/>
  <c r="P182" i="11"/>
  <c r="F182" i="39"/>
  <c r="F182" i="12"/>
  <c r="P105" i="11"/>
  <c r="F105" i="39"/>
  <c r="F105" i="12"/>
  <c r="P289" i="11"/>
  <c r="F289" i="12"/>
  <c r="F289" i="39"/>
  <c r="P255" i="11"/>
  <c r="F255" i="12"/>
  <c r="F255" i="39"/>
  <c r="P145" i="11"/>
  <c r="F145" i="39"/>
  <c r="F145" i="12"/>
  <c r="P96" i="11"/>
  <c r="F96" i="39"/>
  <c r="F96" i="12"/>
  <c r="P95" i="11"/>
  <c r="F95" i="39"/>
  <c r="F95" i="12"/>
  <c r="P207" i="11"/>
  <c r="F207" i="39"/>
  <c r="F207" i="12"/>
  <c r="P49" i="11"/>
  <c r="F49" i="39"/>
  <c r="F49" i="12"/>
  <c r="P88" i="11"/>
  <c r="F88" i="12"/>
  <c r="F88" i="39"/>
  <c r="P282" i="11"/>
  <c r="F282" i="39"/>
  <c r="F282" i="12"/>
  <c r="P279" i="11"/>
  <c r="F279" i="12"/>
  <c r="F279" i="39"/>
  <c r="P221" i="11"/>
  <c r="F221" i="39"/>
  <c r="F221" i="12"/>
  <c r="P168" i="11"/>
  <c r="F168" i="39"/>
  <c r="F168" i="12"/>
  <c r="P63" i="11"/>
  <c r="F63" i="39"/>
  <c r="F63" i="12"/>
  <c r="P308" i="11"/>
  <c r="F308" i="39"/>
  <c r="F308" i="12"/>
  <c r="P231" i="11"/>
  <c r="F231" i="39"/>
  <c r="F231" i="12"/>
  <c r="P76" i="11"/>
  <c r="F76" i="12"/>
  <c r="F76" i="39"/>
  <c r="P45" i="11"/>
  <c r="F45" i="12"/>
  <c r="F45" i="39"/>
  <c r="P43" i="11"/>
  <c r="F43" i="39"/>
  <c r="F43" i="12"/>
  <c r="P216" i="11"/>
  <c r="F216" i="39"/>
  <c r="F216" i="12"/>
  <c r="P169" i="11"/>
  <c r="F169" i="39"/>
  <c r="F169" i="12"/>
  <c r="P22" i="11"/>
  <c r="F22" i="39"/>
  <c r="F22" i="12"/>
  <c r="P25" i="11"/>
  <c r="F25" i="39"/>
  <c r="F25" i="12"/>
  <c r="P249" i="11"/>
  <c r="F249" i="12"/>
  <c r="F249" i="39"/>
  <c r="P199" i="11"/>
  <c r="F199" i="39"/>
  <c r="F199" i="12"/>
  <c r="P146" i="11"/>
  <c r="F146" i="39"/>
  <c r="F146" i="12"/>
  <c r="P118" i="11"/>
  <c r="F118" i="39"/>
  <c r="F118" i="12"/>
  <c r="P64" i="11"/>
  <c r="F64" i="12"/>
  <c r="F64" i="39"/>
  <c r="P270" i="11"/>
  <c r="F270" i="39"/>
  <c r="F270" i="12"/>
  <c r="P280" i="11"/>
  <c r="F280" i="12"/>
  <c r="F280" i="39"/>
  <c r="P230" i="11"/>
  <c r="F230" i="39"/>
  <c r="F230" i="12"/>
  <c r="P20" i="11"/>
  <c r="F20" i="39"/>
  <c r="F20" i="12"/>
  <c r="P125" i="11"/>
  <c r="F125" i="39"/>
  <c r="F125" i="12"/>
  <c r="P309" i="11"/>
  <c r="F309" i="12"/>
  <c r="F309" i="39"/>
  <c r="P265" i="11"/>
  <c r="F265" i="12"/>
  <c r="F265" i="39"/>
  <c r="P155" i="11"/>
  <c r="F155" i="39"/>
  <c r="F155" i="12"/>
  <c r="P116" i="11"/>
  <c r="F116" i="39"/>
  <c r="F116" i="12"/>
  <c r="P115" i="11"/>
  <c r="F115" i="39"/>
  <c r="F115" i="12"/>
  <c r="P237" i="11"/>
  <c r="F237" i="39"/>
  <c r="F237" i="12"/>
  <c r="P193" i="11"/>
  <c r="F193" i="39"/>
  <c r="F193" i="12"/>
  <c r="P140" i="11"/>
  <c r="F140" i="39"/>
  <c r="F140" i="12"/>
  <c r="P106" i="11"/>
  <c r="F106" i="39"/>
  <c r="F106" i="12"/>
  <c r="P283" i="11"/>
  <c r="F283" i="39"/>
  <c r="F283" i="12"/>
  <c r="P223" i="11"/>
  <c r="F223" i="39"/>
  <c r="F223" i="12"/>
  <c r="P170" i="11"/>
  <c r="F170" i="39"/>
  <c r="F170" i="12"/>
  <c r="P71" i="11"/>
  <c r="F71" i="39"/>
  <c r="F71" i="12"/>
  <c r="P28" i="11"/>
  <c r="F28" i="39"/>
  <c r="F28" i="12"/>
  <c r="P218" i="11"/>
  <c r="F218" i="39"/>
  <c r="F218" i="12"/>
  <c r="P92" i="11"/>
  <c r="F92" i="39"/>
  <c r="F92" i="12"/>
  <c r="P274" i="11"/>
  <c r="F274" i="39"/>
  <c r="F274" i="12"/>
  <c r="P8" i="11"/>
  <c r="F8" i="39"/>
  <c r="F8" i="12"/>
  <c r="P224" i="11"/>
  <c r="F224" i="39"/>
  <c r="F224" i="12"/>
  <c r="P41" i="11"/>
  <c r="F41" i="39"/>
  <c r="F41" i="12"/>
  <c r="P158" i="11"/>
  <c r="F158" i="39"/>
  <c r="F158" i="12"/>
  <c r="P288" i="11"/>
  <c r="F288" i="39"/>
  <c r="F288" i="12"/>
  <c r="P36" i="11"/>
  <c r="F36" i="39"/>
  <c r="F36" i="12"/>
  <c r="P133" i="11"/>
  <c r="F133" i="39"/>
  <c r="F133" i="12"/>
  <c r="P301" i="11"/>
  <c r="F301" i="12"/>
  <c r="F301" i="39"/>
  <c r="P162" i="11"/>
  <c r="F162" i="39"/>
  <c r="F162" i="12"/>
  <c r="P58" i="11"/>
  <c r="F58" i="12"/>
  <c r="F58" i="39"/>
  <c r="P310" i="11"/>
  <c r="F310" i="39"/>
  <c r="F310" i="12"/>
  <c r="P208" i="11"/>
  <c r="F208" i="39"/>
  <c r="F208" i="12"/>
  <c r="P165" i="11"/>
  <c r="F165" i="39"/>
  <c r="F165" i="12"/>
  <c r="P6" i="11"/>
  <c r="F6" i="39"/>
  <c r="F6" i="12"/>
  <c r="P9" i="11"/>
  <c r="F9" i="39"/>
  <c r="F9" i="12"/>
  <c r="P254" i="11"/>
  <c r="F254" i="39"/>
  <c r="F254" i="12"/>
  <c r="P203" i="11"/>
  <c r="F203" i="39"/>
  <c r="F203" i="12"/>
  <c r="P150" i="11"/>
  <c r="F150" i="39"/>
  <c r="F150" i="12"/>
  <c r="P126" i="11"/>
  <c r="F126" i="39"/>
  <c r="F126" i="12"/>
  <c r="P272" i="11"/>
  <c r="F272" i="39"/>
  <c r="F272" i="12"/>
  <c r="P222" i="11"/>
  <c r="F222" i="39"/>
  <c r="F222" i="12"/>
  <c r="P188" i="11"/>
  <c r="F188" i="39"/>
  <c r="F188" i="12"/>
  <c r="P117" i="11"/>
  <c r="F117" i="39"/>
  <c r="F117" i="12"/>
  <c r="P285" i="11"/>
  <c r="F285" i="39"/>
  <c r="F285" i="12"/>
  <c r="P143" i="11"/>
  <c r="F143" i="39"/>
  <c r="F143" i="12"/>
  <c r="P91" i="11"/>
  <c r="F91" i="39"/>
  <c r="F91" i="12"/>
  <c r="P34" i="11"/>
  <c r="F34" i="39"/>
  <c r="F34" i="12"/>
  <c r="P298" i="11"/>
  <c r="F298" i="39"/>
  <c r="F298" i="12"/>
  <c r="P229" i="11"/>
  <c r="F229" i="39"/>
  <c r="F229" i="12"/>
  <c r="P189" i="11"/>
  <c r="F189" i="39"/>
  <c r="F189" i="12"/>
  <c r="P136" i="11"/>
  <c r="F136" i="39"/>
  <c r="F136" i="12"/>
  <c r="P98" i="11"/>
  <c r="F98" i="39"/>
  <c r="F98" i="12"/>
  <c r="P291" i="11"/>
  <c r="F291" i="12"/>
  <c r="F291" i="39"/>
  <c r="P194" i="11"/>
  <c r="F194" i="39"/>
  <c r="F194" i="12"/>
  <c r="P174" i="11"/>
  <c r="F174" i="39"/>
  <c r="F174" i="12"/>
  <c r="P87" i="11"/>
  <c r="F87" i="39"/>
  <c r="F87" i="12"/>
  <c r="P273" i="11"/>
  <c r="F273" i="12"/>
  <c r="F273" i="39"/>
  <c r="P243" i="11"/>
  <c r="F243" i="12"/>
  <c r="F243" i="39"/>
  <c r="P137" i="11"/>
  <c r="F137" i="39"/>
  <c r="F137" i="12"/>
  <c r="P69" i="11"/>
  <c r="F69" i="39"/>
  <c r="F69" i="12"/>
  <c r="P67" i="11"/>
  <c r="F67" i="39"/>
  <c r="F67" i="12"/>
  <c r="P212" i="11"/>
  <c r="F212" i="39"/>
  <c r="F212" i="12"/>
  <c r="P167" i="11"/>
  <c r="F167" i="39"/>
  <c r="F167" i="12"/>
  <c r="P14" i="11"/>
  <c r="F14" i="39"/>
  <c r="F14" i="12"/>
  <c r="P17" i="11"/>
  <c r="F17" i="39"/>
  <c r="F17" i="12"/>
  <c r="P10" i="11"/>
  <c r="F10" i="39"/>
  <c r="F10" i="12"/>
  <c r="P286" i="11"/>
  <c r="F286" i="39"/>
  <c r="F286" i="12"/>
  <c r="P264" i="11"/>
  <c r="F264" i="39"/>
  <c r="F264" i="12"/>
  <c r="P213" i="11"/>
  <c r="F213" i="39"/>
  <c r="F213" i="12"/>
  <c r="P160" i="11"/>
  <c r="F160" i="39"/>
  <c r="F160" i="12"/>
  <c r="P31" i="11"/>
  <c r="F31" i="39"/>
  <c r="F31" i="12"/>
  <c r="P292" i="11"/>
  <c r="F292" i="39"/>
  <c r="F292" i="12"/>
  <c r="P242" i="11"/>
  <c r="F242" i="39"/>
  <c r="F242" i="12"/>
  <c r="P44" i="11"/>
  <c r="F44" i="39"/>
  <c r="F44" i="12"/>
  <c r="P13" i="11"/>
  <c r="F13" i="39"/>
  <c r="F13" i="12"/>
  <c r="P11" i="11"/>
  <c r="F11" i="12"/>
  <c r="F11" i="39"/>
  <c r="P200" i="11"/>
  <c r="F200" i="39"/>
  <c r="F200" i="12"/>
  <c r="P161" i="11"/>
  <c r="F161" i="39"/>
  <c r="F161" i="12"/>
  <c r="P128" i="11"/>
  <c r="F128" i="39"/>
  <c r="F128" i="12"/>
  <c r="P127" i="11"/>
  <c r="F127" i="39"/>
  <c r="F127" i="12"/>
  <c r="P233" i="11"/>
  <c r="F233" i="39"/>
  <c r="F233" i="12"/>
  <c r="P191" i="11"/>
  <c r="F191" i="39"/>
  <c r="F191" i="12"/>
  <c r="P138" i="11"/>
  <c r="F138" i="39"/>
  <c r="F138" i="12"/>
  <c r="P102" i="11"/>
  <c r="F102" i="39"/>
  <c r="F102" i="12"/>
  <c r="P284" i="11"/>
  <c r="F284" i="39"/>
  <c r="F284" i="12"/>
  <c r="P234" i="11"/>
  <c r="F234" i="39"/>
  <c r="F234" i="12"/>
  <c r="P78" i="11"/>
  <c r="F78" i="12"/>
  <c r="F78" i="39"/>
  <c r="P175" i="11"/>
  <c r="F175" i="39"/>
  <c r="F175" i="12"/>
  <c r="P7" i="11"/>
  <c r="F7" i="39"/>
  <c r="F7" i="12"/>
  <c r="F34" i="48"/>
  <c r="F5" i="12"/>
  <c r="F5" i="39"/>
  <c r="H33" i="25"/>
  <c r="H206" i="25"/>
  <c r="H172" i="25"/>
  <c r="H155" i="25"/>
  <c r="H199" i="25"/>
  <c r="H166" i="25"/>
  <c r="H134" i="25"/>
  <c r="H17" i="25"/>
  <c r="H177" i="25"/>
  <c r="H300" i="25"/>
  <c r="H41" i="25"/>
  <c r="H197" i="25"/>
  <c r="H89" i="25"/>
  <c r="H215" i="25"/>
  <c r="H219" i="25"/>
  <c r="H223" i="25"/>
  <c r="H196" i="25"/>
  <c r="H180" i="25"/>
  <c r="H163" i="25"/>
  <c r="H147" i="25"/>
  <c r="H32" i="25"/>
  <c r="H191" i="25"/>
  <c r="H175" i="25"/>
  <c r="H158" i="25"/>
  <c r="H127" i="25"/>
  <c r="H112" i="25"/>
  <c r="H92" i="25"/>
  <c r="H190" i="25"/>
  <c r="H212" i="25"/>
  <c r="H7" i="25"/>
  <c r="H268" i="25"/>
  <c r="H25" i="25"/>
  <c r="H224" i="25"/>
  <c r="H210" i="25"/>
  <c r="H222" i="25"/>
  <c r="H214" i="25"/>
  <c r="H192" i="25"/>
  <c r="H176" i="25"/>
  <c r="H159" i="25"/>
  <c r="H143" i="25"/>
  <c r="H35" i="25"/>
  <c r="H203" i="25"/>
  <c r="H187" i="25"/>
  <c r="H171" i="25"/>
  <c r="H154" i="25"/>
  <c r="H138" i="25"/>
  <c r="H124" i="25"/>
  <c r="H108" i="25"/>
  <c r="H24" i="25"/>
  <c r="H91" i="25"/>
  <c r="H174" i="25"/>
  <c r="H193" i="25"/>
  <c r="H128" i="25"/>
  <c r="H64" i="25"/>
  <c r="H93" i="25"/>
  <c r="H252" i="25"/>
  <c r="H303" i="25"/>
  <c r="H237" i="25"/>
  <c r="H50" i="25"/>
  <c r="H80" i="25"/>
  <c r="H29" i="25"/>
  <c r="H153" i="25"/>
  <c r="H173" i="25"/>
  <c r="H306" i="25"/>
  <c r="H240" i="25"/>
  <c r="H145" i="25"/>
  <c r="H309" i="25"/>
  <c r="H245" i="25"/>
  <c r="H148" i="25"/>
  <c r="H304" i="25"/>
  <c r="H238" i="25"/>
  <c r="H291" i="25"/>
  <c r="H45" i="25"/>
  <c r="H95" i="25"/>
  <c r="H266" i="25"/>
  <c r="H301" i="25"/>
  <c r="H233" i="25"/>
  <c r="H26" i="25"/>
  <c r="H76" i="25"/>
  <c r="H254" i="25"/>
  <c r="H305" i="25"/>
  <c r="H239" i="25"/>
  <c r="H86" i="25"/>
  <c r="H47" i="25"/>
  <c r="H260" i="25"/>
  <c r="H295" i="25"/>
  <c r="H74" i="25"/>
  <c r="H122" i="25"/>
  <c r="H152" i="25"/>
  <c r="H264" i="25"/>
  <c r="H299" i="25"/>
  <c r="H37" i="25"/>
  <c r="H201" i="25"/>
  <c r="H36" i="25"/>
  <c r="H102" i="25"/>
  <c r="H68" i="25"/>
  <c r="H310" i="25"/>
  <c r="H246" i="25"/>
  <c r="H281" i="25"/>
  <c r="H51" i="25"/>
  <c r="H217" i="25"/>
  <c r="H69" i="25"/>
  <c r="H101" i="25"/>
  <c r="H77" i="25"/>
  <c r="H55" i="25"/>
  <c r="H65" i="25"/>
  <c r="H57" i="25"/>
  <c r="H113" i="25"/>
  <c r="H97" i="25"/>
  <c r="H42" i="25"/>
  <c r="H104" i="25"/>
  <c r="H114" i="25"/>
  <c r="H287" i="25"/>
  <c r="H48" i="25"/>
  <c r="H156" i="25"/>
  <c r="H194" i="25"/>
  <c r="H293" i="25"/>
  <c r="H132" i="25"/>
  <c r="H288" i="25"/>
  <c r="H126" i="25"/>
  <c r="H285" i="25"/>
  <c r="H314" i="25"/>
  <c r="H250" i="25"/>
  <c r="H269" i="25"/>
  <c r="H244" i="25"/>
  <c r="H60" i="25"/>
  <c r="H302" i="25"/>
  <c r="H236" i="25"/>
  <c r="H289" i="25"/>
  <c r="H43" i="25"/>
  <c r="H70" i="25"/>
  <c r="H308" i="25"/>
  <c r="H242" i="25"/>
  <c r="H279" i="25"/>
  <c r="H58" i="25"/>
  <c r="H182" i="25"/>
  <c r="H312" i="25"/>
  <c r="H248" i="25"/>
  <c r="H283" i="25"/>
  <c r="H198" i="25"/>
  <c r="H168" i="25"/>
  <c r="H87" i="25"/>
  <c r="H46" i="25"/>
  <c r="H52" i="25"/>
  <c r="H294" i="25"/>
  <c r="H21" i="25"/>
  <c r="H265" i="25"/>
  <c r="H220" i="25"/>
  <c r="H123" i="25"/>
  <c r="H53" i="25"/>
  <c r="H79" i="25"/>
  <c r="H61" i="25"/>
  <c r="H119" i="25"/>
  <c r="H49" i="25"/>
  <c r="H59" i="25"/>
  <c r="H6" i="25"/>
  <c r="O314" i="11"/>
  <c r="P314" i="11" s="1"/>
  <c r="F314" i="39" s="1"/>
  <c r="H232" i="25"/>
  <c r="H230" i="25"/>
  <c r="H188" i="25"/>
  <c r="H139" i="25"/>
  <c r="H183" i="25"/>
  <c r="H150" i="25"/>
  <c r="H120" i="25"/>
  <c r="H99" i="25"/>
  <c r="H157" i="25"/>
  <c r="H19" i="25"/>
  <c r="H234" i="25"/>
  <c r="H208" i="25"/>
  <c r="H202" i="25"/>
  <c r="H137" i="25"/>
  <c r="H290" i="25"/>
  <c r="H129" i="25"/>
  <c r="H275" i="25"/>
  <c r="H31" i="25"/>
  <c r="H207" i="25"/>
  <c r="H227" i="25"/>
  <c r="H205" i="25"/>
  <c r="H231" i="25"/>
  <c r="H184" i="25"/>
  <c r="H167" i="25"/>
  <c r="H135" i="25"/>
  <c r="H38" i="25"/>
  <c r="H195" i="25"/>
  <c r="H179" i="25"/>
  <c r="H162" i="25"/>
  <c r="H146" i="25"/>
  <c r="H130" i="25"/>
  <c r="H116" i="25"/>
  <c r="H100" i="25"/>
  <c r="H13" i="25"/>
  <c r="H211" i="25"/>
  <c r="H141" i="25"/>
  <c r="H160" i="25"/>
  <c r="H22" i="25"/>
  <c r="H78" i="25"/>
  <c r="H284" i="25"/>
  <c r="H94" i="25"/>
  <c r="H271" i="25"/>
  <c r="H82" i="25"/>
  <c r="H140" i="25"/>
  <c r="H62" i="25"/>
  <c r="H186" i="25"/>
  <c r="H28" i="25"/>
  <c r="H125" i="25"/>
  <c r="H274" i="25"/>
  <c r="H178" i="25"/>
  <c r="H40" i="25"/>
  <c r="H277" i="25"/>
  <c r="H181" i="25"/>
  <c r="H11" i="25"/>
  <c r="H272" i="25"/>
  <c r="H16" i="25"/>
  <c r="H259" i="25"/>
  <c r="H235" i="25"/>
  <c r="H298" i="25"/>
  <c r="H90" i="25"/>
  <c r="H253" i="25"/>
  <c r="H72" i="25"/>
  <c r="H204" i="25"/>
  <c r="H286" i="25"/>
  <c r="H98" i="25"/>
  <c r="H273" i="25"/>
  <c r="H226" i="25"/>
  <c r="H54" i="25"/>
  <c r="H292" i="25"/>
  <c r="H20" i="25"/>
  <c r="H263" i="25"/>
  <c r="H30" i="25"/>
  <c r="H149" i="25"/>
  <c r="H296" i="25"/>
  <c r="H23" i="25"/>
  <c r="H267" i="25"/>
  <c r="H165" i="25"/>
  <c r="H136" i="25"/>
  <c r="H221" i="25"/>
  <c r="H228" i="25"/>
  <c r="H225" i="25"/>
  <c r="H278" i="25"/>
  <c r="H313" i="25"/>
  <c r="H249" i="25"/>
  <c r="H121" i="25"/>
  <c r="H107" i="25"/>
  <c r="H67" i="25"/>
  <c r="H63" i="25"/>
  <c r="H109" i="25"/>
  <c r="H103" i="25"/>
  <c r="H111" i="25"/>
  <c r="H243" i="25"/>
  <c r="H200" i="25"/>
  <c r="H151" i="25"/>
  <c r="H213" i="25"/>
  <c r="H131" i="25"/>
  <c r="H142" i="25"/>
  <c r="H9" i="25"/>
  <c r="H144" i="25"/>
  <c r="H27" i="25"/>
  <c r="H12" i="25"/>
  <c r="H255" i="25"/>
  <c r="H66" i="25"/>
  <c r="H88" i="25"/>
  <c r="H44" i="25"/>
  <c r="H170" i="25"/>
  <c r="H189" i="25"/>
  <c r="H110" i="25"/>
  <c r="H258" i="25"/>
  <c r="H161" i="25"/>
  <c r="H18" i="25"/>
  <c r="H261" i="25"/>
  <c r="H164" i="25"/>
  <c r="H209" i="25"/>
  <c r="H256" i="25"/>
  <c r="H307" i="25"/>
  <c r="H241" i="25"/>
  <c r="H229" i="25"/>
  <c r="H282" i="25"/>
  <c r="H10" i="25"/>
  <c r="H39" i="25"/>
  <c r="H56" i="25"/>
  <c r="H34" i="25"/>
  <c r="H270" i="25"/>
  <c r="H14" i="25"/>
  <c r="H257" i="25"/>
  <c r="H216" i="25"/>
  <c r="H169" i="25"/>
  <c r="H276" i="25"/>
  <c r="H311" i="25"/>
  <c r="H247" i="25"/>
  <c r="H106" i="25"/>
  <c r="H185" i="25"/>
  <c r="H280" i="25"/>
  <c r="H8" i="25"/>
  <c r="H251" i="25"/>
  <c r="H133" i="25"/>
  <c r="H15" i="25"/>
  <c r="H118" i="25"/>
  <c r="H84" i="25"/>
  <c r="H96" i="25"/>
  <c r="H262" i="25"/>
  <c r="H297" i="25"/>
  <c r="H105" i="25"/>
  <c r="H83" i="25"/>
  <c r="H85" i="25"/>
  <c r="H117" i="25"/>
  <c r="H115" i="25"/>
  <c r="H71" i="25"/>
  <c r="H81" i="25"/>
  <c r="H73" i="25"/>
  <c r="H75" i="25"/>
  <c r="H218" i="25"/>
  <c r="P5" i="11"/>
  <c r="C7" i="34" l="1"/>
  <c r="C9" i="34" s="1"/>
  <c r="H315" i="25"/>
  <c r="D7" i="34" l="1"/>
  <c r="D9" i="34" s="1"/>
  <c r="E15" i="34" s="1"/>
  <c r="F314" i="12"/>
  <c r="E17" i="34" l="1"/>
  <c r="I17" i="34" s="1"/>
  <c r="E21" i="34"/>
  <c r="I21" i="34" s="1"/>
  <c r="E25" i="34"/>
  <c r="I25" i="34" s="1"/>
  <c r="E29" i="34"/>
  <c r="I29" i="34" s="1"/>
  <c r="E33" i="34"/>
  <c r="I33" i="34" s="1"/>
  <c r="E37" i="34"/>
  <c r="I37" i="34" s="1"/>
  <c r="E41" i="34"/>
  <c r="I41" i="34" s="1"/>
  <c r="E45" i="34"/>
  <c r="I45" i="34" s="1"/>
  <c r="E49" i="34"/>
  <c r="I49" i="34" s="1"/>
  <c r="E53" i="34"/>
  <c r="I53" i="34" s="1"/>
  <c r="E57" i="34"/>
  <c r="I57" i="34" s="1"/>
  <c r="E61" i="34"/>
  <c r="I61" i="34" s="1"/>
  <c r="E65" i="34"/>
  <c r="I65" i="34" s="1"/>
  <c r="E69" i="34"/>
  <c r="I69" i="34" s="1"/>
  <c r="E73" i="34"/>
  <c r="I73" i="34" s="1"/>
  <c r="E77" i="34"/>
  <c r="I77" i="34" s="1"/>
  <c r="E81" i="34"/>
  <c r="I81" i="34" s="1"/>
  <c r="E85" i="34"/>
  <c r="I85" i="34" s="1"/>
  <c r="E89" i="34"/>
  <c r="I89" i="34" s="1"/>
  <c r="E93" i="34"/>
  <c r="I93" i="34" s="1"/>
  <c r="E97" i="34"/>
  <c r="I97" i="34" s="1"/>
  <c r="E101" i="34"/>
  <c r="I101" i="34" s="1"/>
  <c r="E105" i="34"/>
  <c r="I105" i="34" s="1"/>
  <c r="E109" i="34"/>
  <c r="I109" i="34" s="1"/>
  <c r="E113" i="34"/>
  <c r="I113" i="34" s="1"/>
  <c r="E18" i="34"/>
  <c r="I18" i="34" s="1"/>
  <c r="E22" i="34"/>
  <c r="I22" i="34" s="1"/>
  <c r="E26" i="34"/>
  <c r="I26" i="34" s="1"/>
  <c r="E30" i="34"/>
  <c r="I30" i="34" s="1"/>
  <c r="E34" i="34"/>
  <c r="I34" i="34" s="1"/>
  <c r="E38" i="34"/>
  <c r="I38" i="34" s="1"/>
  <c r="E42" i="34"/>
  <c r="I42" i="34" s="1"/>
  <c r="E46" i="34"/>
  <c r="I46" i="34" s="1"/>
  <c r="E50" i="34"/>
  <c r="I50" i="34" s="1"/>
  <c r="E54" i="34"/>
  <c r="I54" i="34" s="1"/>
  <c r="E58" i="34"/>
  <c r="I58" i="34" s="1"/>
  <c r="E62" i="34"/>
  <c r="I62" i="34" s="1"/>
  <c r="E66" i="34"/>
  <c r="I66" i="34" s="1"/>
  <c r="E70" i="34"/>
  <c r="I70" i="34" s="1"/>
  <c r="E74" i="34"/>
  <c r="I74" i="34" s="1"/>
  <c r="E78" i="34"/>
  <c r="I78" i="34" s="1"/>
  <c r="E82" i="34"/>
  <c r="I82" i="34" s="1"/>
  <c r="E86" i="34"/>
  <c r="I86" i="34" s="1"/>
  <c r="E90" i="34"/>
  <c r="I90" i="34" s="1"/>
  <c r="E94" i="34"/>
  <c r="I94" i="34" s="1"/>
  <c r="E98" i="34"/>
  <c r="I98" i="34" s="1"/>
  <c r="E102" i="34"/>
  <c r="I102" i="34" s="1"/>
  <c r="E106" i="34"/>
  <c r="I106" i="34" s="1"/>
  <c r="E131" i="34"/>
  <c r="I131" i="34" s="1"/>
  <c r="E135" i="34"/>
  <c r="I135" i="34" s="1"/>
  <c r="E139" i="34"/>
  <c r="I139" i="34" s="1"/>
  <c r="E143" i="34"/>
  <c r="I143" i="34" s="1"/>
  <c r="E147" i="34"/>
  <c r="I147" i="34" s="1"/>
  <c r="E151" i="34"/>
  <c r="I151" i="34" s="1"/>
  <c r="E155" i="34"/>
  <c r="I155" i="34" s="1"/>
  <c r="E159" i="34"/>
  <c r="I159" i="34" s="1"/>
  <c r="E163" i="34"/>
  <c r="I163" i="34" s="1"/>
  <c r="E167" i="34"/>
  <c r="I167" i="34" s="1"/>
  <c r="E171" i="34"/>
  <c r="I171" i="34" s="1"/>
  <c r="E175" i="34"/>
  <c r="I175" i="34" s="1"/>
  <c r="E179" i="34"/>
  <c r="I179" i="34" s="1"/>
  <c r="E183" i="34"/>
  <c r="I183" i="34" s="1"/>
  <c r="E187" i="34"/>
  <c r="I187" i="34" s="1"/>
  <c r="E191" i="34"/>
  <c r="I191" i="34" s="1"/>
  <c r="E195" i="34"/>
  <c r="I195" i="34" s="1"/>
  <c r="E199" i="34"/>
  <c r="I199" i="34" s="1"/>
  <c r="E117" i="34"/>
  <c r="I117" i="34" s="1"/>
  <c r="E118" i="34"/>
  <c r="I118" i="34" s="1"/>
  <c r="E132" i="34"/>
  <c r="I132" i="34" s="1"/>
  <c r="E136" i="34"/>
  <c r="I136" i="34" s="1"/>
  <c r="E140" i="34"/>
  <c r="I140" i="34" s="1"/>
  <c r="E144" i="34"/>
  <c r="I144" i="34" s="1"/>
  <c r="E148" i="34"/>
  <c r="I148" i="34" s="1"/>
  <c r="E152" i="34"/>
  <c r="I152" i="34" s="1"/>
  <c r="E156" i="34"/>
  <c r="I156" i="34" s="1"/>
  <c r="E160" i="34"/>
  <c r="I160" i="34" s="1"/>
  <c r="E164" i="34"/>
  <c r="I164" i="34" s="1"/>
  <c r="E168" i="34"/>
  <c r="I168" i="34" s="1"/>
  <c r="E172" i="34"/>
  <c r="I172" i="34" s="1"/>
  <c r="E176" i="34"/>
  <c r="I176" i="34" s="1"/>
  <c r="E180" i="34"/>
  <c r="I180" i="34" s="1"/>
  <c r="E184" i="34"/>
  <c r="I184" i="34" s="1"/>
  <c r="E188" i="34"/>
  <c r="I188" i="34" s="1"/>
  <c r="E192" i="34"/>
  <c r="I192" i="34" s="1"/>
  <c r="E196" i="34"/>
  <c r="I196" i="34" s="1"/>
  <c r="E126" i="34"/>
  <c r="I126" i="34" s="1"/>
  <c r="E110" i="34"/>
  <c r="I110" i="34" s="1"/>
  <c r="E114" i="34"/>
  <c r="I114" i="34" s="1"/>
  <c r="E121" i="34"/>
  <c r="I121" i="34" s="1"/>
  <c r="E122" i="34"/>
  <c r="I122" i="34" s="1"/>
  <c r="E203" i="34"/>
  <c r="I203" i="34" s="1"/>
  <c r="E204" i="34"/>
  <c r="I204" i="34" s="1"/>
  <c r="E211" i="34"/>
  <c r="I211" i="34" s="1"/>
  <c r="E212" i="34"/>
  <c r="I212" i="34" s="1"/>
  <c r="E221" i="34"/>
  <c r="I221" i="34" s="1"/>
  <c r="E225" i="34"/>
  <c r="I225" i="34" s="1"/>
  <c r="E229" i="34"/>
  <c r="I229" i="34" s="1"/>
  <c r="E233" i="34"/>
  <c r="I233" i="34" s="1"/>
  <c r="E237" i="34"/>
  <c r="I237" i="34" s="1"/>
  <c r="E241" i="34"/>
  <c r="I241" i="34" s="1"/>
  <c r="E245" i="34"/>
  <c r="I245" i="34" s="1"/>
  <c r="E249" i="34"/>
  <c r="I249" i="34" s="1"/>
  <c r="E253" i="34"/>
  <c r="I253" i="34" s="1"/>
  <c r="E257" i="34"/>
  <c r="I257" i="34" s="1"/>
  <c r="E261" i="34"/>
  <c r="I261" i="34" s="1"/>
  <c r="E265" i="34"/>
  <c r="I265" i="34" s="1"/>
  <c r="E269" i="34"/>
  <c r="I269" i="34" s="1"/>
  <c r="E273" i="34"/>
  <c r="I273" i="34" s="1"/>
  <c r="E277" i="34"/>
  <c r="I277" i="34" s="1"/>
  <c r="E250" i="34"/>
  <c r="I250" i="34" s="1"/>
  <c r="E254" i="34"/>
  <c r="I254" i="34" s="1"/>
  <c r="E200" i="34"/>
  <c r="I200" i="34" s="1"/>
  <c r="E207" i="34"/>
  <c r="I207" i="34" s="1"/>
  <c r="E208" i="34"/>
  <c r="I208" i="34" s="1"/>
  <c r="E215" i="34"/>
  <c r="I215" i="34" s="1"/>
  <c r="E219" i="34"/>
  <c r="I219" i="34" s="1"/>
  <c r="E216" i="34"/>
  <c r="I216" i="34" s="1"/>
  <c r="E220" i="34"/>
  <c r="I220" i="34" s="1"/>
  <c r="E224" i="34"/>
  <c r="I224" i="34" s="1"/>
  <c r="E228" i="34"/>
  <c r="I228" i="34" s="1"/>
  <c r="E232" i="34"/>
  <c r="I232" i="34" s="1"/>
  <c r="E236" i="34"/>
  <c r="I236" i="34" s="1"/>
  <c r="E240" i="34"/>
  <c r="I240" i="34" s="1"/>
  <c r="E244" i="34"/>
  <c r="I244" i="34" s="1"/>
  <c r="E248" i="34"/>
  <c r="I248" i="34" s="1"/>
  <c r="E252" i="34"/>
  <c r="I252" i="34" s="1"/>
  <c r="E256" i="34"/>
  <c r="I256" i="34" s="1"/>
  <c r="E260" i="34"/>
  <c r="I260" i="34" s="1"/>
  <c r="E264" i="34"/>
  <c r="I264" i="34" s="1"/>
  <c r="E268" i="34"/>
  <c r="I268" i="34" s="1"/>
  <c r="E272" i="34"/>
  <c r="I272" i="34" s="1"/>
  <c r="E276" i="34"/>
  <c r="I276" i="34" s="1"/>
  <c r="E280" i="34"/>
  <c r="I280" i="34" s="1"/>
  <c r="E284" i="34"/>
  <c r="I284" i="34" s="1"/>
  <c r="E288" i="34"/>
  <c r="I288" i="34" s="1"/>
  <c r="E292" i="34"/>
  <c r="I292" i="34" s="1"/>
  <c r="E296" i="34"/>
  <c r="I296" i="34" s="1"/>
  <c r="E300" i="34"/>
  <c r="I300" i="34" s="1"/>
  <c r="E281" i="34"/>
  <c r="I281" i="34" s="1"/>
  <c r="E295" i="34"/>
  <c r="I295" i="34" s="1"/>
  <c r="E303" i="34"/>
  <c r="I303" i="34" s="1"/>
  <c r="E304" i="34"/>
  <c r="I304" i="34" s="1"/>
  <c r="E310" i="34"/>
  <c r="I310" i="34" s="1"/>
  <c r="E314" i="34"/>
  <c r="I314" i="34" s="1"/>
  <c r="E318" i="34"/>
  <c r="I318" i="34" s="1"/>
  <c r="E322" i="34"/>
  <c r="I322" i="34" s="1"/>
  <c r="E293" i="34"/>
  <c r="I293" i="34" s="1"/>
  <c r="E301" i="34"/>
  <c r="I301" i="34" s="1"/>
  <c r="E305" i="34"/>
  <c r="I305" i="34" s="1"/>
  <c r="E307" i="34"/>
  <c r="I307" i="34" s="1"/>
  <c r="E311" i="34"/>
  <c r="I311" i="34" s="1"/>
  <c r="E315" i="34"/>
  <c r="I315" i="34" s="1"/>
  <c r="E319" i="34"/>
  <c r="I319" i="34" s="1"/>
  <c r="E323" i="34"/>
  <c r="I323" i="34" s="1"/>
  <c r="E285" i="34"/>
  <c r="I285" i="34" s="1"/>
  <c r="E324" i="34"/>
  <c r="I324" i="34" s="1"/>
  <c r="E320" i="34"/>
  <c r="I320" i="34" s="1"/>
  <c r="E308" i="34"/>
  <c r="I308" i="34" s="1"/>
  <c r="E289" i="34"/>
  <c r="I289" i="34" s="1"/>
  <c r="E262" i="34"/>
  <c r="I262" i="34" s="1"/>
  <c r="E230" i="34"/>
  <c r="I230" i="34" s="1"/>
  <c r="E279" i="34"/>
  <c r="I279" i="34" s="1"/>
  <c r="E247" i="34"/>
  <c r="I247" i="34" s="1"/>
  <c r="E298" i="34"/>
  <c r="I298" i="34" s="1"/>
  <c r="E275" i="34"/>
  <c r="I275" i="34" s="1"/>
  <c r="E238" i="34"/>
  <c r="I238" i="34" s="1"/>
  <c r="E306" i="34"/>
  <c r="I306" i="34" s="1"/>
  <c r="E255" i="34"/>
  <c r="I255" i="34" s="1"/>
  <c r="E214" i="34"/>
  <c r="I214" i="34" s="1"/>
  <c r="E185" i="34"/>
  <c r="I185" i="34" s="1"/>
  <c r="E153" i="34"/>
  <c r="I153" i="34" s="1"/>
  <c r="E127" i="34"/>
  <c r="I127" i="34" s="1"/>
  <c r="E181" i="34"/>
  <c r="I181" i="34" s="1"/>
  <c r="E149" i="34"/>
  <c r="I149" i="34" s="1"/>
  <c r="E209" i="34"/>
  <c r="I209" i="34" s="1"/>
  <c r="E177" i="34"/>
  <c r="I177" i="34" s="1"/>
  <c r="E145" i="34"/>
  <c r="I145" i="34" s="1"/>
  <c r="E202" i="34"/>
  <c r="I202" i="34" s="1"/>
  <c r="E173" i="34"/>
  <c r="I173" i="34" s="1"/>
  <c r="E141" i="34"/>
  <c r="I141" i="34" s="1"/>
  <c r="E92" i="34"/>
  <c r="I92" i="34" s="1"/>
  <c r="E64" i="34"/>
  <c r="I64" i="34" s="1"/>
  <c r="E28" i="34"/>
  <c r="I28" i="34" s="1"/>
  <c r="E115" i="34"/>
  <c r="I115" i="34" s="1"/>
  <c r="E83" i="34"/>
  <c r="I83" i="34" s="1"/>
  <c r="E55" i="34"/>
  <c r="I55" i="34" s="1"/>
  <c r="E24" i="34"/>
  <c r="I24" i="34" s="1"/>
  <c r="E108" i="34"/>
  <c r="I108" i="34" s="1"/>
  <c r="E72" i="34"/>
  <c r="I72" i="34" s="1"/>
  <c r="E43" i="34"/>
  <c r="I43" i="34" s="1"/>
  <c r="E119" i="34"/>
  <c r="I119" i="34" s="1"/>
  <c r="E84" i="34"/>
  <c r="I84" i="34" s="1"/>
  <c r="E51" i="34"/>
  <c r="I51" i="34" s="1"/>
  <c r="E317" i="34"/>
  <c r="I317" i="34" s="1"/>
  <c r="E313" i="34"/>
  <c r="I313" i="34" s="1"/>
  <c r="E291" i="34"/>
  <c r="I291" i="34" s="1"/>
  <c r="E302" i="34"/>
  <c r="I302" i="34" s="1"/>
  <c r="E251" i="34"/>
  <c r="I251" i="34" s="1"/>
  <c r="E217" i="34"/>
  <c r="I217" i="34" s="1"/>
  <c r="E274" i="34"/>
  <c r="I274" i="34" s="1"/>
  <c r="E242" i="34"/>
  <c r="I242" i="34" s="1"/>
  <c r="E290" i="34"/>
  <c r="I290" i="34" s="1"/>
  <c r="E270" i="34"/>
  <c r="I270" i="34" s="1"/>
  <c r="E227" i="34"/>
  <c r="I227" i="34" s="1"/>
  <c r="E287" i="34"/>
  <c r="I287" i="34" s="1"/>
  <c r="E239" i="34"/>
  <c r="I239" i="34" s="1"/>
  <c r="E213" i="34"/>
  <c r="I213" i="34" s="1"/>
  <c r="E178" i="34"/>
  <c r="I178" i="34" s="1"/>
  <c r="E146" i="34"/>
  <c r="I146" i="34" s="1"/>
  <c r="E206" i="34"/>
  <c r="I206" i="34" s="1"/>
  <c r="E174" i="34"/>
  <c r="I174" i="34" s="1"/>
  <c r="E142" i="34"/>
  <c r="I142" i="34" s="1"/>
  <c r="E201" i="34"/>
  <c r="I201" i="34" s="1"/>
  <c r="E170" i="34"/>
  <c r="I170" i="34" s="1"/>
  <c r="E138" i="34"/>
  <c r="I138" i="34" s="1"/>
  <c r="E198" i="34"/>
  <c r="I198" i="34" s="1"/>
  <c r="E166" i="34"/>
  <c r="I166" i="34" s="1"/>
  <c r="E133" i="34"/>
  <c r="I133" i="34" s="1"/>
  <c r="E87" i="34"/>
  <c r="I87" i="34" s="1"/>
  <c r="E52" i="34"/>
  <c r="I52" i="34" s="1"/>
  <c r="E19" i="34"/>
  <c r="I19" i="34" s="1"/>
  <c r="E111" i="34"/>
  <c r="I111" i="34" s="1"/>
  <c r="E76" i="34"/>
  <c r="I76" i="34" s="1"/>
  <c r="E47" i="34"/>
  <c r="I47" i="34" s="1"/>
  <c r="E124" i="34"/>
  <c r="I124" i="34" s="1"/>
  <c r="E100" i="34"/>
  <c r="I100" i="34" s="1"/>
  <c r="E63" i="34"/>
  <c r="I63" i="34" s="1"/>
  <c r="E36" i="34"/>
  <c r="I36" i="34" s="1"/>
  <c r="E103" i="34"/>
  <c r="I103" i="34" s="1"/>
  <c r="E75" i="34"/>
  <c r="I75" i="34" s="1"/>
  <c r="E39" i="34"/>
  <c r="I39" i="34" s="1"/>
  <c r="E312" i="34"/>
  <c r="I312" i="34" s="1"/>
  <c r="E297" i="34"/>
  <c r="I297" i="34" s="1"/>
  <c r="E321" i="34"/>
  <c r="I321" i="34" s="1"/>
  <c r="E278" i="34"/>
  <c r="I278" i="34" s="1"/>
  <c r="E246" i="34"/>
  <c r="I246" i="34" s="1"/>
  <c r="E263" i="34"/>
  <c r="I263" i="34" s="1"/>
  <c r="E231" i="34"/>
  <c r="I231" i="34" s="1"/>
  <c r="E286" i="34"/>
  <c r="I286" i="34" s="1"/>
  <c r="E259" i="34"/>
  <c r="I259" i="34" s="1"/>
  <c r="E222" i="34"/>
  <c r="I222" i="34" s="1"/>
  <c r="E271" i="34"/>
  <c r="I271" i="34" s="1"/>
  <c r="E234" i="34"/>
  <c r="I234" i="34" s="1"/>
  <c r="E205" i="34"/>
  <c r="I205" i="34" s="1"/>
  <c r="E169" i="34"/>
  <c r="I169" i="34" s="1"/>
  <c r="E134" i="34"/>
  <c r="I134" i="34" s="1"/>
  <c r="E197" i="34"/>
  <c r="I197" i="34" s="1"/>
  <c r="E165" i="34"/>
  <c r="I165" i="34" s="1"/>
  <c r="E137" i="34"/>
  <c r="I137" i="34" s="1"/>
  <c r="E193" i="34"/>
  <c r="I193" i="34" s="1"/>
  <c r="E161" i="34"/>
  <c r="I161" i="34" s="1"/>
  <c r="E130" i="34"/>
  <c r="I130" i="34" s="1"/>
  <c r="E189" i="34"/>
  <c r="I189" i="34" s="1"/>
  <c r="E157" i="34"/>
  <c r="I157" i="34" s="1"/>
  <c r="E104" i="34"/>
  <c r="I104" i="34" s="1"/>
  <c r="E80" i="34"/>
  <c r="I80" i="34" s="1"/>
  <c r="E44" i="34"/>
  <c r="I44" i="34" s="1"/>
  <c r="E128" i="34"/>
  <c r="I128" i="34" s="1"/>
  <c r="E107" i="34"/>
  <c r="I107" i="34" s="1"/>
  <c r="E67" i="34"/>
  <c r="I67" i="34" s="1"/>
  <c r="E40" i="34"/>
  <c r="I40" i="34" s="1"/>
  <c r="E116" i="34"/>
  <c r="I116" i="34" s="1"/>
  <c r="E88" i="34"/>
  <c r="I88" i="34" s="1"/>
  <c r="E56" i="34"/>
  <c r="I56" i="34" s="1"/>
  <c r="E27" i="34"/>
  <c r="I27" i="34" s="1"/>
  <c r="E96" i="34"/>
  <c r="I96" i="34" s="1"/>
  <c r="E68" i="34"/>
  <c r="I68" i="34" s="1"/>
  <c r="E32" i="34"/>
  <c r="I32" i="34" s="1"/>
  <c r="E299" i="34"/>
  <c r="I299" i="34" s="1"/>
  <c r="E316" i="34"/>
  <c r="I316" i="34" s="1"/>
  <c r="E309" i="34"/>
  <c r="I309" i="34" s="1"/>
  <c r="E294" i="34"/>
  <c r="I294" i="34" s="1"/>
  <c r="E267" i="34"/>
  <c r="I267" i="34" s="1"/>
  <c r="E235" i="34"/>
  <c r="I235" i="34" s="1"/>
  <c r="E282" i="34"/>
  <c r="I282" i="34" s="1"/>
  <c r="E258" i="34"/>
  <c r="I258" i="34" s="1"/>
  <c r="E226" i="34"/>
  <c r="I226" i="34" s="1"/>
  <c r="E283" i="34"/>
  <c r="I283" i="34" s="1"/>
  <c r="E243" i="34"/>
  <c r="I243" i="34" s="1"/>
  <c r="E218" i="34"/>
  <c r="I218" i="34" s="1"/>
  <c r="E266" i="34"/>
  <c r="I266" i="34" s="1"/>
  <c r="E223" i="34"/>
  <c r="I223" i="34" s="1"/>
  <c r="E194" i="34"/>
  <c r="I194" i="34" s="1"/>
  <c r="E162" i="34"/>
  <c r="I162" i="34" s="1"/>
  <c r="E129" i="34"/>
  <c r="I129" i="34" s="1"/>
  <c r="E190" i="34"/>
  <c r="I190" i="34" s="1"/>
  <c r="E158" i="34"/>
  <c r="I158" i="34" s="1"/>
  <c r="E125" i="34"/>
  <c r="I125" i="34" s="1"/>
  <c r="E186" i="34"/>
  <c r="I186" i="34" s="1"/>
  <c r="E154" i="34"/>
  <c r="I154" i="34" s="1"/>
  <c r="E210" i="34"/>
  <c r="I210" i="34" s="1"/>
  <c r="E182" i="34"/>
  <c r="I182" i="34" s="1"/>
  <c r="E150" i="34"/>
  <c r="I150" i="34" s="1"/>
  <c r="E120" i="34"/>
  <c r="I120" i="34" s="1"/>
  <c r="E99" i="34"/>
  <c r="I99" i="34" s="1"/>
  <c r="E71" i="34"/>
  <c r="I71" i="34" s="1"/>
  <c r="E35" i="34"/>
  <c r="I35" i="34" s="1"/>
  <c r="E123" i="34"/>
  <c r="I123" i="34" s="1"/>
  <c r="E95" i="34"/>
  <c r="I95" i="34" s="1"/>
  <c r="E60" i="34"/>
  <c r="I60" i="34" s="1"/>
  <c r="E31" i="34"/>
  <c r="I31" i="34" s="1"/>
  <c r="E112" i="34"/>
  <c r="I112" i="34" s="1"/>
  <c r="E79" i="34"/>
  <c r="I79" i="34" s="1"/>
  <c r="E48" i="34"/>
  <c r="I48" i="34" s="1"/>
  <c r="E20" i="34"/>
  <c r="I20" i="34" s="1"/>
  <c r="E91" i="34"/>
  <c r="I91" i="34" s="1"/>
  <c r="E59" i="34"/>
  <c r="I59" i="34" s="1"/>
  <c r="E23" i="34"/>
  <c r="I23" i="34" s="1"/>
  <c r="E16" i="34"/>
  <c r="E80" i="12" l="1"/>
  <c r="G80" i="12" s="1"/>
  <c r="E80" i="39"/>
  <c r="G80" i="39" s="1"/>
  <c r="H80" i="39" s="1"/>
  <c r="I80" i="39" s="1"/>
  <c r="J80" i="39" s="1"/>
  <c r="E143" i="12"/>
  <c r="G143" i="12" s="1"/>
  <c r="E143" i="39"/>
  <c r="G143" i="39" s="1"/>
  <c r="H143" i="39" s="1"/>
  <c r="I143" i="39" s="1"/>
  <c r="J143" i="39" s="1"/>
  <c r="E272" i="39"/>
  <c r="G272" i="39" s="1"/>
  <c r="H272" i="39" s="1"/>
  <c r="I272" i="39" s="1"/>
  <c r="J272" i="39" s="1"/>
  <c r="E272" i="12"/>
  <c r="G272" i="12" s="1"/>
  <c r="E20" i="39"/>
  <c r="G20" i="39" s="1"/>
  <c r="H20" i="39" s="1"/>
  <c r="I20" i="39" s="1"/>
  <c r="J20" i="39" s="1"/>
  <c r="E20" i="12"/>
  <c r="G20" i="12" s="1"/>
  <c r="E118" i="12"/>
  <c r="G118" i="12" s="1"/>
  <c r="E118" i="39"/>
  <c r="G118" i="39" s="1"/>
  <c r="H118" i="39" s="1"/>
  <c r="I118" i="39" s="1"/>
  <c r="J118" i="39" s="1"/>
  <c r="E215" i="39"/>
  <c r="G215" i="39" s="1"/>
  <c r="H215" i="39" s="1"/>
  <c r="I215" i="39" s="1"/>
  <c r="J215" i="39" s="1"/>
  <c r="E215" i="12"/>
  <c r="G215" i="12" s="1"/>
  <c r="E16" i="39"/>
  <c r="G16" i="39" s="1"/>
  <c r="H16" i="39" s="1"/>
  <c r="I16" i="39" s="1"/>
  <c r="J16" i="39" s="1"/>
  <c r="E16" i="12"/>
  <c r="G16" i="12" s="1"/>
  <c r="E178" i="39"/>
  <c r="G178" i="39" s="1"/>
  <c r="H178" i="39" s="1"/>
  <c r="I178" i="39" s="1"/>
  <c r="J178" i="39" s="1"/>
  <c r="E178" i="12"/>
  <c r="G178" i="12" s="1"/>
  <c r="E12" i="39"/>
  <c r="G12" i="39" s="1"/>
  <c r="H12" i="39" s="1"/>
  <c r="I12" i="39" s="1"/>
  <c r="J12" i="39" s="1"/>
  <c r="E12" i="12"/>
  <c r="G12" i="12" s="1"/>
  <c r="E37" i="12"/>
  <c r="G37" i="12" s="1"/>
  <c r="E37" i="39"/>
  <c r="G37" i="39" s="1"/>
  <c r="H37" i="39" s="1"/>
  <c r="I37" i="39" s="1"/>
  <c r="J37" i="39" s="1"/>
  <c r="E49" i="39"/>
  <c r="G49" i="39" s="1"/>
  <c r="H49" i="39" s="1"/>
  <c r="I49" i="39" s="1"/>
  <c r="J49" i="39" s="1"/>
  <c r="E49" i="12"/>
  <c r="G49" i="12" s="1"/>
  <c r="E60" i="12"/>
  <c r="G60" i="12" s="1"/>
  <c r="E60" i="39"/>
  <c r="G60" i="39" s="1"/>
  <c r="H60" i="39" s="1"/>
  <c r="I60" i="39" s="1"/>
  <c r="J60" i="39" s="1"/>
  <c r="E171" i="12"/>
  <c r="G171" i="12" s="1"/>
  <c r="E171" i="39"/>
  <c r="G171" i="39" s="1"/>
  <c r="H171" i="39" s="1"/>
  <c r="I171" i="39" s="1"/>
  <c r="J171" i="39" s="1"/>
  <c r="E114" i="39"/>
  <c r="G114" i="39" s="1"/>
  <c r="H114" i="39" s="1"/>
  <c r="I114" i="39" s="1"/>
  <c r="J114" i="39" s="1"/>
  <c r="E114" i="12"/>
  <c r="G114" i="12" s="1"/>
  <c r="E151" i="12"/>
  <c r="G151" i="12" s="1"/>
  <c r="E151" i="39"/>
  <c r="G151" i="39" s="1"/>
  <c r="H151" i="39" s="1"/>
  <c r="I151" i="39" s="1"/>
  <c r="J151" i="39" s="1"/>
  <c r="E207" i="39"/>
  <c r="G207" i="39" s="1"/>
  <c r="H207" i="39" s="1"/>
  <c r="I207" i="39" s="1"/>
  <c r="J207" i="39" s="1"/>
  <c r="E207" i="12"/>
  <c r="G207" i="12" s="1"/>
  <c r="E247" i="12"/>
  <c r="G247" i="12" s="1"/>
  <c r="E247" i="39"/>
  <c r="G247" i="39" s="1"/>
  <c r="H247" i="39" s="1"/>
  <c r="I247" i="39" s="1"/>
  <c r="J247" i="39" s="1"/>
  <c r="E283" i="12"/>
  <c r="G283" i="12" s="1"/>
  <c r="E283" i="39"/>
  <c r="G283" i="39" s="1"/>
  <c r="H283" i="39" s="1"/>
  <c r="I283" i="39" s="1"/>
  <c r="J283" i="39" s="1"/>
  <c r="E21" i="12"/>
  <c r="G21" i="12" s="1"/>
  <c r="E21" i="39"/>
  <c r="G21" i="39" s="1"/>
  <c r="H21" i="39" s="1"/>
  <c r="I21" i="39" s="1"/>
  <c r="J21" i="39" s="1"/>
  <c r="E45" i="39"/>
  <c r="G45" i="39" s="1"/>
  <c r="H45" i="39" s="1"/>
  <c r="I45" i="39" s="1"/>
  <c r="J45" i="39" s="1"/>
  <c r="E45" i="12"/>
  <c r="G45" i="12" s="1"/>
  <c r="E56" i="39"/>
  <c r="G56" i="39" s="1"/>
  <c r="H56" i="39" s="1"/>
  <c r="I56" i="39" s="1"/>
  <c r="J56" i="39" s="1"/>
  <c r="E56" i="12"/>
  <c r="G56" i="12" s="1"/>
  <c r="E69" i="39"/>
  <c r="G69" i="39" s="1"/>
  <c r="H69" i="39" s="1"/>
  <c r="I69" i="39" s="1"/>
  <c r="J69" i="39" s="1"/>
  <c r="E69" i="12"/>
  <c r="G69" i="12" s="1"/>
  <c r="E119" i="39"/>
  <c r="G119" i="39" s="1"/>
  <c r="H119" i="39" s="1"/>
  <c r="I119" i="39" s="1"/>
  <c r="J119" i="39" s="1"/>
  <c r="E119" i="12"/>
  <c r="G119" i="12" s="1"/>
  <c r="E154" i="39"/>
  <c r="G154" i="39" s="1"/>
  <c r="H154" i="39" s="1"/>
  <c r="I154" i="39" s="1"/>
  <c r="J154" i="39" s="1"/>
  <c r="E154" i="12"/>
  <c r="G154" i="12" s="1"/>
  <c r="E194" i="39"/>
  <c r="G194" i="39" s="1"/>
  <c r="H194" i="39" s="1"/>
  <c r="I194" i="39" s="1"/>
  <c r="J194" i="39" s="1"/>
  <c r="E194" i="12"/>
  <c r="G194" i="12" s="1"/>
  <c r="E248" i="39"/>
  <c r="G248" i="39" s="1"/>
  <c r="H248" i="39" s="1"/>
  <c r="I248" i="39" s="1"/>
  <c r="J248" i="39" s="1"/>
  <c r="E248" i="12"/>
  <c r="G248" i="12" s="1"/>
  <c r="E235" i="39"/>
  <c r="G235" i="39" s="1"/>
  <c r="H235" i="39" s="1"/>
  <c r="I235" i="39" s="1"/>
  <c r="J235" i="39" s="1"/>
  <c r="E235" i="12"/>
  <c r="G235" i="12" s="1"/>
  <c r="E301" i="12"/>
  <c r="G301" i="12" s="1"/>
  <c r="E301" i="39"/>
  <c r="G301" i="39" s="1"/>
  <c r="H301" i="39" s="1"/>
  <c r="I301" i="39" s="1"/>
  <c r="J301" i="39" s="1"/>
  <c r="E25" i="12"/>
  <c r="G25" i="12" s="1"/>
  <c r="E25" i="39"/>
  <c r="G25" i="39" s="1"/>
  <c r="H25" i="39" s="1"/>
  <c r="I25" i="39" s="1"/>
  <c r="J25" i="39" s="1"/>
  <c r="E36" i="39"/>
  <c r="G36" i="39" s="1"/>
  <c r="H36" i="39" s="1"/>
  <c r="I36" i="39" s="1"/>
  <c r="J36" i="39" s="1"/>
  <c r="E36" i="12"/>
  <c r="G36" i="12" s="1"/>
  <c r="E41" i="12"/>
  <c r="G41" i="12" s="1"/>
  <c r="E41" i="39"/>
  <c r="G41" i="39" s="1"/>
  <c r="H41" i="39" s="1"/>
  <c r="I41" i="39" s="1"/>
  <c r="J41" i="39" s="1"/>
  <c r="E187" i="12"/>
  <c r="G187" i="12" s="1"/>
  <c r="E187" i="39"/>
  <c r="G187" i="39" s="1"/>
  <c r="H187" i="39" s="1"/>
  <c r="I187" i="39" s="1"/>
  <c r="J187" i="39" s="1"/>
  <c r="E131" i="39"/>
  <c r="G131" i="39" s="1"/>
  <c r="H131" i="39" s="1"/>
  <c r="I131" i="39" s="1"/>
  <c r="J131" i="39" s="1"/>
  <c r="E131" i="12"/>
  <c r="G131" i="12" s="1"/>
  <c r="E167" i="12"/>
  <c r="G167" i="12" s="1"/>
  <c r="E167" i="39"/>
  <c r="G167" i="39" s="1"/>
  <c r="H167" i="39" s="1"/>
  <c r="I167" i="39" s="1"/>
  <c r="J167" i="39" s="1"/>
  <c r="E216" i="39"/>
  <c r="G216" i="39" s="1"/>
  <c r="H216" i="39" s="1"/>
  <c r="I216" i="39" s="1"/>
  <c r="J216" i="39" s="1"/>
  <c r="E216" i="12"/>
  <c r="G216" i="12" s="1"/>
  <c r="E263" i="39"/>
  <c r="G263" i="39" s="1"/>
  <c r="H263" i="39" s="1"/>
  <c r="I263" i="39" s="1"/>
  <c r="J263" i="39" s="1"/>
  <c r="E263" i="12"/>
  <c r="G263" i="12" s="1"/>
  <c r="E280" i="39"/>
  <c r="G280" i="39" s="1"/>
  <c r="H280" i="39" s="1"/>
  <c r="I280" i="39" s="1"/>
  <c r="J280" i="39" s="1"/>
  <c r="E280" i="12"/>
  <c r="G280" i="12" s="1"/>
  <c r="E73" i="39"/>
  <c r="G73" i="39" s="1"/>
  <c r="H73" i="39" s="1"/>
  <c r="I73" i="39" s="1"/>
  <c r="J73" i="39" s="1"/>
  <c r="E73" i="12"/>
  <c r="G73" i="12" s="1"/>
  <c r="E97" i="39"/>
  <c r="G97" i="39" s="1"/>
  <c r="H97" i="39" s="1"/>
  <c r="I97" i="39" s="1"/>
  <c r="J97" i="39" s="1"/>
  <c r="E97" i="12"/>
  <c r="G97" i="12" s="1"/>
  <c r="E104" i="12"/>
  <c r="G104" i="12" s="1"/>
  <c r="E104" i="39"/>
  <c r="G104" i="39" s="1"/>
  <c r="H104" i="39" s="1"/>
  <c r="I104" i="39" s="1"/>
  <c r="J104" i="39" s="1"/>
  <c r="E130" i="39"/>
  <c r="G130" i="39" s="1"/>
  <c r="H130" i="39" s="1"/>
  <c r="I130" i="39" s="1"/>
  <c r="J130" i="39" s="1"/>
  <c r="E130" i="12"/>
  <c r="G130" i="12" s="1"/>
  <c r="E166" i="39"/>
  <c r="G166" i="39" s="1"/>
  <c r="H166" i="39" s="1"/>
  <c r="I166" i="39" s="1"/>
  <c r="J166" i="39" s="1"/>
  <c r="E166" i="12"/>
  <c r="G166" i="12" s="1"/>
  <c r="E116" i="39"/>
  <c r="G116" i="39" s="1"/>
  <c r="H116" i="39" s="1"/>
  <c r="I116" i="39" s="1"/>
  <c r="J116" i="39" s="1"/>
  <c r="E116" i="12"/>
  <c r="G116" i="12" s="1"/>
  <c r="E244" i="39"/>
  <c r="G244" i="39" s="1"/>
  <c r="H244" i="39" s="1"/>
  <c r="I244" i="39" s="1"/>
  <c r="J244" i="39" s="1"/>
  <c r="E244" i="12"/>
  <c r="G244" i="12" s="1"/>
  <c r="E287" i="12"/>
  <c r="G287" i="12" s="1"/>
  <c r="E287" i="39"/>
  <c r="G287" i="39" s="1"/>
  <c r="H287" i="39" s="1"/>
  <c r="I287" i="39" s="1"/>
  <c r="J287" i="39" s="1"/>
  <c r="E251" i="39"/>
  <c r="G251" i="39" s="1"/>
  <c r="H251" i="39" s="1"/>
  <c r="I251" i="39" s="1"/>
  <c r="J251" i="39" s="1"/>
  <c r="E251" i="12"/>
  <c r="G251" i="12" s="1"/>
  <c r="E313" i="12"/>
  <c r="G313" i="12" s="1"/>
  <c r="E313" i="39"/>
  <c r="G313" i="39" s="1"/>
  <c r="H313" i="39" s="1"/>
  <c r="I313" i="39" s="1"/>
  <c r="J313" i="39" s="1"/>
  <c r="E304" i="39"/>
  <c r="G304" i="39" s="1"/>
  <c r="H304" i="39" s="1"/>
  <c r="I304" i="39" s="1"/>
  <c r="J304" i="39" s="1"/>
  <c r="E304" i="12"/>
  <c r="G304" i="12" s="1"/>
  <c r="E290" i="39"/>
  <c r="G290" i="39" s="1"/>
  <c r="H290" i="39" s="1"/>
  <c r="I290" i="39" s="1"/>
  <c r="J290" i="39" s="1"/>
  <c r="E290" i="12"/>
  <c r="G290" i="12" s="1"/>
  <c r="E303" i="12"/>
  <c r="G303" i="12" s="1"/>
  <c r="E303" i="39"/>
  <c r="G303" i="39" s="1"/>
  <c r="H303" i="39" s="1"/>
  <c r="I303" i="39" s="1"/>
  <c r="J303" i="39" s="1"/>
  <c r="E284" i="39"/>
  <c r="G284" i="39" s="1"/>
  <c r="H284" i="39" s="1"/>
  <c r="I284" i="39" s="1"/>
  <c r="J284" i="39" s="1"/>
  <c r="E284" i="12"/>
  <c r="G284" i="12" s="1"/>
  <c r="E281" i="12"/>
  <c r="G281" i="12" s="1"/>
  <c r="E281" i="39"/>
  <c r="G281" i="39" s="1"/>
  <c r="H281" i="39" s="1"/>
  <c r="I281" i="39" s="1"/>
  <c r="J281" i="39" s="1"/>
  <c r="E265" i="39"/>
  <c r="G265" i="39" s="1"/>
  <c r="H265" i="39" s="1"/>
  <c r="I265" i="39" s="1"/>
  <c r="J265" i="39" s="1"/>
  <c r="E265" i="12"/>
  <c r="G265" i="12" s="1"/>
  <c r="E249" i="39"/>
  <c r="G249" i="39" s="1"/>
  <c r="H249" i="39" s="1"/>
  <c r="I249" i="39" s="1"/>
  <c r="J249" i="39" s="1"/>
  <c r="E249" i="12"/>
  <c r="G249" i="12" s="1"/>
  <c r="E233" i="39"/>
  <c r="G233" i="39" s="1"/>
  <c r="H233" i="39" s="1"/>
  <c r="I233" i="39" s="1"/>
  <c r="J233" i="39" s="1"/>
  <c r="E233" i="12"/>
  <c r="G233" i="12" s="1"/>
  <c r="E217" i="39"/>
  <c r="G217" i="39" s="1"/>
  <c r="H217" i="39" s="1"/>
  <c r="I217" i="39" s="1"/>
  <c r="J217" i="39" s="1"/>
  <c r="E217" i="12"/>
  <c r="G217" i="12" s="1"/>
  <c r="E208" i="39"/>
  <c r="G208" i="39" s="1"/>
  <c r="H208" i="39" s="1"/>
  <c r="I208" i="39" s="1"/>
  <c r="J208" i="39" s="1"/>
  <c r="E208" i="12"/>
  <c r="G208" i="12" s="1"/>
  <c r="E189" i="12"/>
  <c r="G189" i="12" s="1"/>
  <c r="E189" i="39"/>
  <c r="G189" i="39" s="1"/>
  <c r="H189" i="39" s="1"/>
  <c r="I189" i="39" s="1"/>
  <c r="J189" i="39" s="1"/>
  <c r="E262" i="39"/>
  <c r="G262" i="39" s="1"/>
  <c r="H262" i="39" s="1"/>
  <c r="I262" i="39" s="1"/>
  <c r="J262" i="39" s="1"/>
  <c r="E262" i="12"/>
  <c r="G262" i="12" s="1"/>
  <c r="E246" i="39"/>
  <c r="G246" i="39" s="1"/>
  <c r="H246" i="39" s="1"/>
  <c r="I246" i="39" s="1"/>
  <c r="J246" i="39" s="1"/>
  <c r="E246" i="12"/>
  <c r="G246" i="12" s="1"/>
  <c r="E230" i="39"/>
  <c r="G230" i="39" s="1"/>
  <c r="H230" i="39" s="1"/>
  <c r="I230" i="39" s="1"/>
  <c r="J230" i="39" s="1"/>
  <c r="E230" i="12"/>
  <c r="G230" i="12" s="1"/>
  <c r="E214" i="39"/>
  <c r="G214" i="39" s="1"/>
  <c r="H214" i="39" s="1"/>
  <c r="I214" i="39" s="1"/>
  <c r="J214" i="39" s="1"/>
  <c r="E214" i="12"/>
  <c r="G214" i="12" s="1"/>
  <c r="E193" i="12"/>
  <c r="G193" i="12" s="1"/>
  <c r="E193" i="39"/>
  <c r="G193" i="39" s="1"/>
  <c r="H193" i="39" s="1"/>
  <c r="I193" i="39" s="1"/>
  <c r="J193" i="39" s="1"/>
  <c r="E103" i="39"/>
  <c r="G103" i="39" s="1"/>
  <c r="H103" i="39" s="1"/>
  <c r="I103" i="39" s="1"/>
  <c r="J103" i="39" s="1"/>
  <c r="E103" i="12"/>
  <c r="G103" i="12" s="1"/>
  <c r="E181" i="12"/>
  <c r="G181" i="12" s="1"/>
  <c r="E181" i="39"/>
  <c r="G181" i="39" s="1"/>
  <c r="H181" i="39" s="1"/>
  <c r="I181" i="39" s="1"/>
  <c r="J181" i="39" s="1"/>
  <c r="E165" i="12"/>
  <c r="G165" i="12" s="1"/>
  <c r="E165" i="39"/>
  <c r="G165" i="39" s="1"/>
  <c r="H165" i="39" s="1"/>
  <c r="I165" i="39" s="1"/>
  <c r="J165" i="39" s="1"/>
  <c r="E149" i="12"/>
  <c r="G149" i="12" s="1"/>
  <c r="E149" i="39"/>
  <c r="G149" i="39" s="1"/>
  <c r="H149" i="39" s="1"/>
  <c r="I149" i="39" s="1"/>
  <c r="J149" i="39" s="1"/>
  <c r="E133" i="39"/>
  <c r="G133" i="39" s="1"/>
  <c r="H133" i="39" s="1"/>
  <c r="I133" i="39" s="1"/>
  <c r="J133" i="39" s="1"/>
  <c r="E133" i="12"/>
  <c r="G133" i="12" s="1"/>
  <c r="E107" i="39"/>
  <c r="G107" i="39" s="1"/>
  <c r="H107" i="39" s="1"/>
  <c r="I107" i="39" s="1"/>
  <c r="J107" i="39" s="1"/>
  <c r="E107" i="12"/>
  <c r="G107" i="12" s="1"/>
  <c r="E180" i="39"/>
  <c r="G180" i="39" s="1"/>
  <c r="H180" i="39" s="1"/>
  <c r="I180" i="39" s="1"/>
  <c r="J180" i="39" s="1"/>
  <c r="E180" i="12"/>
  <c r="G180" i="12" s="1"/>
  <c r="E164" i="39"/>
  <c r="G164" i="39" s="1"/>
  <c r="H164" i="39" s="1"/>
  <c r="I164" i="39" s="1"/>
  <c r="J164" i="39" s="1"/>
  <c r="E164" i="12"/>
  <c r="G164" i="12" s="1"/>
  <c r="E148" i="39"/>
  <c r="G148" i="39" s="1"/>
  <c r="H148" i="39" s="1"/>
  <c r="I148" i="39" s="1"/>
  <c r="J148" i="39" s="1"/>
  <c r="E148" i="12"/>
  <c r="G148" i="12" s="1"/>
  <c r="E132" i="39"/>
  <c r="G132" i="39" s="1"/>
  <c r="H132" i="39" s="1"/>
  <c r="I132" i="39" s="1"/>
  <c r="J132" i="39" s="1"/>
  <c r="E132" i="12"/>
  <c r="G132" i="12" s="1"/>
  <c r="E95" i="39"/>
  <c r="G95" i="39" s="1"/>
  <c r="H95" i="39" s="1"/>
  <c r="I95" i="39" s="1"/>
  <c r="J95" i="39" s="1"/>
  <c r="E95" i="12"/>
  <c r="G95" i="12" s="1"/>
  <c r="E79" i="39"/>
  <c r="G79" i="39" s="1"/>
  <c r="H79" i="39" s="1"/>
  <c r="I79" i="39" s="1"/>
  <c r="J79" i="39" s="1"/>
  <c r="E79" i="12"/>
  <c r="G79" i="12" s="1"/>
  <c r="E63" i="39"/>
  <c r="G63" i="39" s="1"/>
  <c r="H63" i="39" s="1"/>
  <c r="I63" i="39" s="1"/>
  <c r="J63" i="39" s="1"/>
  <c r="E63" i="12"/>
  <c r="G63" i="12" s="1"/>
  <c r="E47" i="39"/>
  <c r="G47" i="39" s="1"/>
  <c r="H47" i="39" s="1"/>
  <c r="I47" i="39" s="1"/>
  <c r="J47" i="39" s="1"/>
  <c r="E47" i="12"/>
  <c r="G47" i="12" s="1"/>
  <c r="E31" i="39"/>
  <c r="G31" i="39" s="1"/>
  <c r="H31" i="39" s="1"/>
  <c r="I31" i="39" s="1"/>
  <c r="J31" i="39" s="1"/>
  <c r="E31" i="12"/>
  <c r="G31" i="12" s="1"/>
  <c r="E15" i="12"/>
  <c r="G15" i="12" s="1"/>
  <c r="E15" i="39"/>
  <c r="G15" i="39" s="1"/>
  <c r="H15" i="39" s="1"/>
  <c r="I15" i="39" s="1"/>
  <c r="J15" i="39" s="1"/>
  <c r="E98" i="39"/>
  <c r="G98" i="39" s="1"/>
  <c r="H98" i="39" s="1"/>
  <c r="I98" i="39" s="1"/>
  <c r="J98" i="39" s="1"/>
  <c r="E98" i="12"/>
  <c r="G98" i="12" s="1"/>
  <c r="E82" i="12"/>
  <c r="G82" i="12" s="1"/>
  <c r="E82" i="39"/>
  <c r="G82" i="39" s="1"/>
  <c r="H82" i="39" s="1"/>
  <c r="I82" i="39" s="1"/>
  <c r="J82" i="39" s="1"/>
  <c r="E66" i="12"/>
  <c r="G66" i="12" s="1"/>
  <c r="E66" i="39"/>
  <c r="G66" i="39" s="1"/>
  <c r="H66" i="39" s="1"/>
  <c r="I66" i="39" s="1"/>
  <c r="J66" i="39" s="1"/>
  <c r="E50" i="39"/>
  <c r="G50" i="39" s="1"/>
  <c r="H50" i="39" s="1"/>
  <c r="I50" i="39" s="1"/>
  <c r="J50" i="39" s="1"/>
  <c r="E50" i="12"/>
  <c r="G50" i="12" s="1"/>
  <c r="E34" i="39"/>
  <c r="G34" i="39" s="1"/>
  <c r="H34" i="39" s="1"/>
  <c r="I34" i="39" s="1"/>
  <c r="J34" i="39" s="1"/>
  <c r="E34" i="12"/>
  <c r="G34" i="12" s="1"/>
  <c r="E18" i="39"/>
  <c r="G18" i="39" s="1"/>
  <c r="H18" i="39" s="1"/>
  <c r="I18" i="39" s="1"/>
  <c r="J18" i="39" s="1"/>
  <c r="E18" i="12"/>
  <c r="G18" i="12" s="1"/>
  <c r="E109" i="39"/>
  <c r="G109" i="39" s="1"/>
  <c r="H109" i="39" s="1"/>
  <c r="I109" i="39" s="1"/>
  <c r="J109" i="39" s="1"/>
  <c r="E109" i="12"/>
  <c r="G109" i="12" s="1"/>
  <c r="E212" i="39"/>
  <c r="G212" i="39" s="1"/>
  <c r="H212" i="39" s="1"/>
  <c r="I212" i="39" s="1"/>
  <c r="J212" i="39" s="1"/>
  <c r="E212" i="12"/>
  <c r="G212" i="12" s="1"/>
  <c r="E9" i="12"/>
  <c r="G9" i="12" s="1"/>
  <c r="E9" i="39"/>
  <c r="G9" i="39" s="1"/>
  <c r="H9" i="39" s="1"/>
  <c r="I9" i="39" s="1"/>
  <c r="J9" i="39" s="1"/>
  <c r="E139" i="39"/>
  <c r="G139" i="39" s="1"/>
  <c r="H139" i="39" s="1"/>
  <c r="I139" i="39" s="1"/>
  <c r="J139" i="39" s="1"/>
  <c r="E139" i="12"/>
  <c r="G139" i="12" s="1"/>
  <c r="E175" i="12"/>
  <c r="G175" i="12" s="1"/>
  <c r="E175" i="39"/>
  <c r="G175" i="39" s="1"/>
  <c r="H175" i="39" s="1"/>
  <c r="I175" i="39" s="1"/>
  <c r="J175" i="39" s="1"/>
  <c r="E255" i="39"/>
  <c r="G255" i="39" s="1"/>
  <c r="H255" i="39" s="1"/>
  <c r="I255" i="39" s="1"/>
  <c r="J255" i="39" s="1"/>
  <c r="E255" i="12"/>
  <c r="G255" i="12" s="1"/>
  <c r="E288" i="39"/>
  <c r="G288" i="39" s="1"/>
  <c r="H288" i="39" s="1"/>
  <c r="I288" i="39" s="1"/>
  <c r="J288" i="39" s="1"/>
  <c r="E288" i="12"/>
  <c r="G288" i="12" s="1"/>
  <c r="E33" i="12"/>
  <c r="G33" i="12" s="1"/>
  <c r="E33" i="39"/>
  <c r="G33" i="39" s="1"/>
  <c r="H33" i="39" s="1"/>
  <c r="I33" i="39" s="1"/>
  <c r="J33" i="39" s="1"/>
  <c r="E48" i="39"/>
  <c r="G48" i="39" s="1"/>
  <c r="H48" i="39" s="1"/>
  <c r="I48" i="39" s="1"/>
  <c r="J48" i="39" s="1"/>
  <c r="E48" i="12"/>
  <c r="G48" i="12" s="1"/>
  <c r="E68" i="12"/>
  <c r="G68" i="12" s="1"/>
  <c r="E68" i="39"/>
  <c r="G68" i="39" s="1"/>
  <c r="H68" i="39" s="1"/>
  <c r="I68" i="39" s="1"/>
  <c r="J68" i="39" s="1"/>
  <c r="E84" i="12"/>
  <c r="G84" i="12" s="1"/>
  <c r="E84" i="39"/>
  <c r="G84" i="39" s="1"/>
  <c r="H84" i="39" s="1"/>
  <c r="I84" i="39" s="1"/>
  <c r="J84" i="39" s="1"/>
  <c r="E88" i="12"/>
  <c r="G88" i="12" s="1"/>
  <c r="E88" i="39"/>
  <c r="G88" i="39" s="1"/>
  <c r="H88" i="39" s="1"/>
  <c r="I88" i="39" s="1"/>
  <c r="J88" i="39" s="1"/>
  <c r="E199" i="39"/>
  <c r="G199" i="39" s="1"/>
  <c r="H199" i="39" s="1"/>
  <c r="I199" i="39" s="1"/>
  <c r="J199" i="39" s="1"/>
  <c r="E199" i="12"/>
  <c r="G199" i="12" s="1"/>
  <c r="E147" i="12"/>
  <c r="G147" i="12" s="1"/>
  <c r="E147" i="39"/>
  <c r="G147" i="39" s="1"/>
  <c r="H147" i="39" s="1"/>
  <c r="I147" i="39" s="1"/>
  <c r="J147" i="39" s="1"/>
  <c r="E183" i="12"/>
  <c r="G183" i="12" s="1"/>
  <c r="E183" i="39"/>
  <c r="G183" i="39" s="1"/>
  <c r="H183" i="39" s="1"/>
  <c r="I183" i="39" s="1"/>
  <c r="J183" i="39" s="1"/>
  <c r="E232" i="39"/>
  <c r="G232" i="39" s="1"/>
  <c r="H232" i="39" s="1"/>
  <c r="I232" i="39" s="1"/>
  <c r="J232" i="39" s="1"/>
  <c r="E232" i="12"/>
  <c r="G232" i="12" s="1"/>
  <c r="E271" i="39"/>
  <c r="G271" i="39" s="1"/>
  <c r="H271" i="39" s="1"/>
  <c r="I271" i="39" s="1"/>
  <c r="J271" i="39" s="1"/>
  <c r="E271" i="12"/>
  <c r="G271" i="12" s="1"/>
  <c r="E298" i="39"/>
  <c r="G298" i="39" s="1"/>
  <c r="H298" i="39" s="1"/>
  <c r="I298" i="39" s="1"/>
  <c r="J298" i="39" s="1"/>
  <c r="E298" i="12"/>
  <c r="G298" i="12" s="1"/>
  <c r="E57" i="39"/>
  <c r="G57" i="39" s="1"/>
  <c r="H57" i="39" s="1"/>
  <c r="I57" i="39" s="1"/>
  <c r="J57" i="39" s="1"/>
  <c r="E57" i="12"/>
  <c r="G57" i="12" s="1"/>
  <c r="E77" i="39"/>
  <c r="G77" i="39" s="1"/>
  <c r="H77" i="39" s="1"/>
  <c r="I77" i="39" s="1"/>
  <c r="J77" i="39" s="1"/>
  <c r="E77" i="12"/>
  <c r="G77" i="12" s="1"/>
  <c r="E96" i="12"/>
  <c r="G96" i="12" s="1"/>
  <c r="E96" i="39"/>
  <c r="G96" i="39" s="1"/>
  <c r="H96" i="39" s="1"/>
  <c r="I96" i="39" s="1"/>
  <c r="J96" i="39" s="1"/>
  <c r="E93" i="39"/>
  <c r="G93" i="39" s="1"/>
  <c r="H93" i="39" s="1"/>
  <c r="I93" i="39" s="1"/>
  <c r="J93" i="39" s="1"/>
  <c r="E93" i="12"/>
  <c r="G93" i="12" s="1"/>
  <c r="E150" i="39"/>
  <c r="G150" i="39" s="1"/>
  <c r="H150" i="39" s="1"/>
  <c r="I150" i="39" s="1"/>
  <c r="J150" i="39" s="1"/>
  <c r="E150" i="12"/>
  <c r="G150" i="12" s="1"/>
  <c r="E186" i="39"/>
  <c r="G186" i="39" s="1"/>
  <c r="H186" i="39" s="1"/>
  <c r="I186" i="39" s="1"/>
  <c r="J186" i="39" s="1"/>
  <c r="E186" i="12"/>
  <c r="G186" i="12" s="1"/>
  <c r="E223" i="39"/>
  <c r="G223" i="39" s="1"/>
  <c r="H223" i="39" s="1"/>
  <c r="I223" i="39" s="1"/>
  <c r="J223" i="39" s="1"/>
  <c r="E223" i="12"/>
  <c r="G223" i="12" s="1"/>
  <c r="E275" i="39"/>
  <c r="G275" i="39" s="1"/>
  <c r="H275" i="39" s="1"/>
  <c r="I275" i="39" s="1"/>
  <c r="J275" i="39" s="1"/>
  <c r="E275" i="12"/>
  <c r="G275" i="12" s="1"/>
  <c r="E267" i="39"/>
  <c r="G267" i="39" s="1"/>
  <c r="H267" i="39" s="1"/>
  <c r="I267" i="39" s="1"/>
  <c r="J267" i="39" s="1"/>
  <c r="E267" i="12"/>
  <c r="G267" i="12" s="1"/>
  <c r="E28" i="39"/>
  <c r="G28" i="39" s="1"/>
  <c r="H28" i="39" s="1"/>
  <c r="I28" i="39" s="1"/>
  <c r="J28" i="39" s="1"/>
  <c r="E28" i="12"/>
  <c r="G28" i="12" s="1"/>
  <c r="E52" i="39"/>
  <c r="G52" i="39" s="1"/>
  <c r="H52" i="39" s="1"/>
  <c r="I52" i="39" s="1"/>
  <c r="J52" i="39" s="1"/>
  <c r="E52" i="12"/>
  <c r="G52" i="12" s="1"/>
  <c r="E65" i="39"/>
  <c r="G65" i="39" s="1"/>
  <c r="H65" i="39" s="1"/>
  <c r="I65" i="39" s="1"/>
  <c r="J65" i="39" s="1"/>
  <c r="E65" i="12"/>
  <c r="G65" i="12" s="1"/>
  <c r="E76" i="12"/>
  <c r="G76" i="12" s="1"/>
  <c r="E76" i="39"/>
  <c r="G76" i="39" s="1"/>
  <c r="H76" i="39" s="1"/>
  <c r="I76" i="39" s="1"/>
  <c r="J76" i="39" s="1"/>
  <c r="E127" i="39"/>
  <c r="G127" i="39" s="1"/>
  <c r="H127" i="39" s="1"/>
  <c r="I127" i="39" s="1"/>
  <c r="J127" i="39" s="1"/>
  <c r="E127" i="12"/>
  <c r="G127" i="12" s="1"/>
  <c r="E163" i="12"/>
  <c r="G163" i="12" s="1"/>
  <c r="E163" i="39"/>
  <c r="G163" i="39" s="1"/>
  <c r="H163" i="39" s="1"/>
  <c r="I163" i="39" s="1"/>
  <c r="J163" i="39" s="1"/>
  <c r="E202" i="39"/>
  <c r="G202" i="39" s="1"/>
  <c r="H202" i="39" s="1"/>
  <c r="I202" i="39" s="1"/>
  <c r="J202" i="39" s="1"/>
  <c r="E202" i="12"/>
  <c r="G202" i="12" s="1"/>
  <c r="E259" i="39"/>
  <c r="G259" i="39" s="1"/>
  <c r="H259" i="39" s="1"/>
  <c r="I259" i="39" s="1"/>
  <c r="J259" i="39" s="1"/>
  <c r="E259" i="12"/>
  <c r="G259" i="12" s="1"/>
  <c r="E206" i="39"/>
  <c r="G206" i="39" s="1"/>
  <c r="H206" i="39" s="1"/>
  <c r="I206" i="39" s="1"/>
  <c r="J206" i="39" s="1"/>
  <c r="E206" i="12"/>
  <c r="G206" i="12" s="1"/>
  <c r="E302" i="39"/>
  <c r="G302" i="39" s="1"/>
  <c r="H302" i="39" s="1"/>
  <c r="I302" i="39" s="1"/>
  <c r="J302" i="39" s="1"/>
  <c r="E302" i="12"/>
  <c r="G302" i="12" s="1"/>
  <c r="E108" i="12"/>
  <c r="G108" i="12" s="1"/>
  <c r="E108" i="39"/>
  <c r="G108" i="39" s="1"/>
  <c r="H108" i="39" s="1"/>
  <c r="I108" i="39" s="1"/>
  <c r="J108" i="39" s="1"/>
  <c r="E13" i="39"/>
  <c r="G13" i="39" s="1"/>
  <c r="H13" i="39" s="1"/>
  <c r="I13" i="39" s="1"/>
  <c r="J13" i="39" s="1"/>
  <c r="E13" i="12"/>
  <c r="G13" i="12" s="1"/>
  <c r="E17" i="39"/>
  <c r="G17" i="39" s="1"/>
  <c r="H17" i="39" s="1"/>
  <c r="I17" i="39" s="1"/>
  <c r="J17" i="39" s="1"/>
  <c r="E17" i="12"/>
  <c r="G17" i="12" s="1"/>
  <c r="E162" i="39"/>
  <c r="G162" i="39" s="1"/>
  <c r="H162" i="39" s="1"/>
  <c r="I162" i="39" s="1"/>
  <c r="J162" i="39" s="1"/>
  <c r="E162" i="12"/>
  <c r="G162" i="12" s="1"/>
  <c r="E198" i="39"/>
  <c r="G198" i="39" s="1"/>
  <c r="H198" i="39" s="1"/>
  <c r="I198" i="39" s="1"/>
  <c r="J198" i="39" s="1"/>
  <c r="E198" i="12"/>
  <c r="G198" i="12" s="1"/>
  <c r="E142" i="39"/>
  <c r="G142" i="39" s="1"/>
  <c r="H142" i="39" s="1"/>
  <c r="I142" i="39" s="1"/>
  <c r="J142" i="39" s="1"/>
  <c r="E142" i="12"/>
  <c r="G142" i="12" s="1"/>
  <c r="E295" i="12"/>
  <c r="G295" i="12" s="1"/>
  <c r="E295" i="39"/>
  <c r="G295" i="39" s="1"/>
  <c r="H295" i="39" s="1"/>
  <c r="I295" i="39" s="1"/>
  <c r="J295" i="39" s="1"/>
  <c r="E236" i="39"/>
  <c r="G236" i="39" s="1"/>
  <c r="H236" i="39" s="1"/>
  <c r="I236" i="39" s="1"/>
  <c r="J236" i="39" s="1"/>
  <c r="E236" i="12"/>
  <c r="G236" i="12" s="1"/>
  <c r="E278" i="39"/>
  <c r="G278" i="39" s="1"/>
  <c r="H278" i="39" s="1"/>
  <c r="I278" i="39" s="1"/>
  <c r="J278" i="39" s="1"/>
  <c r="E278" i="12"/>
  <c r="G278" i="12" s="1"/>
  <c r="E274" i="39"/>
  <c r="G274" i="39" s="1"/>
  <c r="H274" i="39" s="1"/>
  <c r="I274" i="39" s="1"/>
  <c r="J274" i="39" s="1"/>
  <c r="E274" i="12"/>
  <c r="G274" i="12" s="1"/>
  <c r="E300" i="39"/>
  <c r="G300" i="39" s="1"/>
  <c r="H300" i="39" s="1"/>
  <c r="I300" i="39" s="1"/>
  <c r="J300" i="39" s="1"/>
  <c r="E300" i="12"/>
  <c r="G300" i="12" s="1"/>
  <c r="E282" i="39"/>
  <c r="G282" i="39" s="1"/>
  <c r="H282" i="39" s="1"/>
  <c r="I282" i="39" s="1"/>
  <c r="J282" i="39" s="1"/>
  <c r="E282" i="12"/>
  <c r="G282" i="12" s="1"/>
  <c r="E299" i="12"/>
  <c r="G299" i="12" s="1"/>
  <c r="E299" i="39"/>
  <c r="G299" i="39" s="1"/>
  <c r="H299" i="39" s="1"/>
  <c r="I299" i="39" s="1"/>
  <c r="J299" i="39" s="1"/>
  <c r="E270" i="39"/>
  <c r="G270" i="39" s="1"/>
  <c r="H270" i="39" s="1"/>
  <c r="I270" i="39" s="1"/>
  <c r="J270" i="39" s="1"/>
  <c r="E270" i="12"/>
  <c r="G270" i="12" s="1"/>
  <c r="E277" i="12"/>
  <c r="G277" i="12" s="1"/>
  <c r="E277" i="39"/>
  <c r="G277" i="39" s="1"/>
  <c r="H277" i="39" s="1"/>
  <c r="I277" i="39" s="1"/>
  <c r="J277" i="39" s="1"/>
  <c r="E261" i="39"/>
  <c r="G261" i="39" s="1"/>
  <c r="H261" i="39" s="1"/>
  <c r="I261" i="39" s="1"/>
  <c r="J261" i="39" s="1"/>
  <c r="E261" i="12"/>
  <c r="G261" i="12" s="1"/>
  <c r="E245" i="39"/>
  <c r="G245" i="39" s="1"/>
  <c r="H245" i="39" s="1"/>
  <c r="I245" i="39" s="1"/>
  <c r="J245" i="39" s="1"/>
  <c r="E245" i="12"/>
  <c r="G245" i="12" s="1"/>
  <c r="E229" i="39"/>
  <c r="G229" i="39" s="1"/>
  <c r="H229" i="39" s="1"/>
  <c r="I229" i="39" s="1"/>
  <c r="J229" i="39" s="1"/>
  <c r="E229" i="12"/>
  <c r="G229" i="12" s="1"/>
  <c r="E213" i="39"/>
  <c r="G213" i="39" s="1"/>
  <c r="H213" i="39" s="1"/>
  <c r="I213" i="39" s="1"/>
  <c r="J213" i="39" s="1"/>
  <c r="E213" i="12"/>
  <c r="G213" i="12" s="1"/>
  <c r="E204" i="39"/>
  <c r="G204" i="39" s="1"/>
  <c r="H204" i="39" s="1"/>
  <c r="I204" i="39" s="1"/>
  <c r="J204" i="39" s="1"/>
  <c r="E204" i="12"/>
  <c r="G204" i="12" s="1"/>
  <c r="E243" i="39"/>
  <c r="G243" i="39" s="1"/>
  <c r="H243" i="39" s="1"/>
  <c r="I243" i="39" s="1"/>
  <c r="J243" i="39" s="1"/>
  <c r="E243" i="12"/>
  <c r="G243" i="12" s="1"/>
  <c r="E258" i="39"/>
  <c r="G258" i="39" s="1"/>
  <c r="H258" i="39" s="1"/>
  <c r="I258" i="39" s="1"/>
  <c r="J258" i="39" s="1"/>
  <c r="E258" i="12"/>
  <c r="G258" i="12" s="1"/>
  <c r="E242" i="39"/>
  <c r="G242" i="39" s="1"/>
  <c r="H242" i="39" s="1"/>
  <c r="I242" i="39" s="1"/>
  <c r="J242" i="39" s="1"/>
  <c r="E242" i="12"/>
  <c r="G242" i="12" s="1"/>
  <c r="E226" i="39"/>
  <c r="G226" i="39" s="1"/>
  <c r="H226" i="39" s="1"/>
  <c r="I226" i="39" s="1"/>
  <c r="J226" i="39" s="1"/>
  <c r="E226" i="12"/>
  <c r="G226" i="12" s="1"/>
  <c r="E210" i="39"/>
  <c r="G210" i="39" s="1"/>
  <c r="H210" i="39" s="1"/>
  <c r="I210" i="39" s="1"/>
  <c r="J210" i="39" s="1"/>
  <c r="E210" i="12"/>
  <c r="G210" i="12" s="1"/>
  <c r="E192" i="39"/>
  <c r="G192" i="39" s="1"/>
  <c r="H192" i="39" s="1"/>
  <c r="I192" i="39" s="1"/>
  <c r="J192" i="39" s="1"/>
  <c r="E192" i="12"/>
  <c r="G192" i="12" s="1"/>
  <c r="E99" i="39"/>
  <c r="G99" i="39" s="1"/>
  <c r="H99" i="39" s="1"/>
  <c r="I99" i="39" s="1"/>
  <c r="J99" i="39" s="1"/>
  <c r="E99" i="12"/>
  <c r="G99" i="12" s="1"/>
  <c r="E177" i="12"/>
  <c r="G177" i="12" s="1"/>
  <c r="E177" i="39"/>
  <c r="G177" i="39" s="1"/>
  <c r="H177" i="39" s="1"/>
  <c r="I177" i="39" s="1"/>
  <c r="J177" i="39" s="1"/>
  <c r="E161" i="12"/>
  <c r="G161" i="12" s="1"/>
  <c r="E161" i="39"/>
  <c r="G161" i="39" s="1"/>
  <c r="H161" i="39" s="1"/>
  <c r="I161" i="39" s="1"/>
  <c r="J161" i="39" s="1"/>
  <c r="E145" i="12"/>
  <c r="G145" i="12" s="1"/>
  <c r="E145" i="39"/>
  <c r="G145" i="39" s="1"/>
  <c r="H145" i="39" s="1"/>
  <c r="I145" i="39" s="1"/>
  <c r="J145" i="39" s="1"/>
  <c r="E129" i="39"/>
  <c r="G129" i="39" s="1"/>
  <c r="H129" i="39" s="1"/>
  <c r="I129" i="39" s="1"/>
  <c r="J129" i="39" s="1"/>
  <c r="E129" i="12"/>
  <c r="G129" i="12" s="1"/>
  <c r="E106" i="12"/>
  <c r="G106" i="12" s="1"/>
  <c r="E106" i="39"/>
  <c r="G106" i="39" s="1"/>
  <c r="H106" i="39" s="1"/>
  <c r="I106" i="39" s="1"/>
  <c r="J106" i="39" s="1"/>
  <c r="E176" i="39"/>
  <c r="G176" i="39" s="1"/>
  <c r="H176" i="39" s="1"/>
  <c r="I176" i="39" s="1"/>
  <c r="J176" i="39" s="1"/>
  <c r="E176" i="12"/>
  <c r="G176" i="12" s="1"/>
  <c r="E160" i="39"/>
  <c r="G160" i="39" s="1"/>
  <c r="H160" i="39" s="1"/>
  <c r="I160" i="39" s="1"/>
  <c r="J160" i="39" s="1"/>
  <c r="E160" i="12"/>
  <c r="G160" i="12" s="1"/>
  <c r="E144" i="39"/>
  <c r="G144" i="39" s="1"/>
  <c r="H144" i="39" s="1"/>
  <c r="I144" i="39" s="1"/>
  <c r="J144" i="39" s="1"/>
  <c r="E144" i="12"/>
  <c r="G144" i="12" s="1"/>
  <c r="E128" i="12"/>
  <c r="G128" i="12" s="1"/>
  <c r="E128" i="39"/>
  <c r="G128" i="39" s="1"/>
  <c r="H128" i="39" s="1"/>
  <c r="I128" i="39" s="1"/>
  <c r="J128" i="39" s="1"/>
  <c r="E91" i="39"/>
  <c r="G91" i="39" s="1"/>
  <c r="H91" i="39" s="1"/>
  <c r="I91" i="39" s="1"/>
  <c r="J91" i="39" s="1"/>
  <c r="E91" i="12"/>
  <c r="G91" i="12" s="1"/>
  <c r="E75" i="39"/>
  <c r="G75" i="39" s="1"/>
  <c r="H75" i="39" s="1"/>
  <c r="I75" i="39" s="1"/>
  <c r="J75" i="39" s="1"/>
  <c r="E75" i="12"/>
  <c r="G75" i="12" s="1"/>
  <c r="E59" i="39"/>
  <c r="G59" i="39" s="1"/>
  <c r="H59" i="39" s="1"/>
  <c r="I59" i="39" s="1"/>
  <c r="J59" i="39" s="1"/>
  <c r="E59" i="12"/>
  <c r="G59" i="12" s="1"/>
  <c r="E43" i="12"/>
  <c r="G43" i="12" s="1"/>
  <c r="E43" i="39"/>
  <c r="G43" i="39" s="1"/>
  <c r="H43" i="39" s="1"/>
  <c r="I43" i="39" s="1"/>
  <c r="J43" i="39" s="1"/>
  <c r="E27" i="39"/>
  <c r="G27" i="39" s="1"/>
  <c r="H27" i="39" s="1"/>
  <c r="I27" i="39" s="1"/>
  <c r="J27" i="39" s="1"/>
  <c r="E27" i="12"/>
  <c r="G27" i="12" s="1"/>
  <c r="E11" i="12"/>
  <c r="G11" i="12" s="1"/>
  <c r="E11" i="39"/>
  <c r="G11" i="39" s="1"/>
  <c r="H11" i="39" s="1"/>
  <c r="I11" i="39" s="1"/>
  <c r="J11" i="39" s="1"/>
  <c r="E94" i="12"/>
  <c r="G94" i="12" s="1"/>
  <c r="E94" i="39"/>
  <c r="G94" i="39" s="1"/>
  <c r="H94" i="39" s="1"/>
  <c r="I94" i="39" s="1"/>
  <c r="J94" i="39" s="1"/>
  <c r="E78" i="12"/>
  <c r="G78" i="12" s="1"/>
  <c r="E78" i="39"/>
  <c r="G78" i="39" s="1"/>
  <c r="H78" i="39" s="1"/>
  <c r="I78" i="39" s="1"/>
  <c r="J78" i="39" s="1"/>
  <c r="E62" i="12"/>
  <c r="G62" i="12" s="1"/>
  <c r="E62" i="39"/>
  <c r="G62" i="39" s="1"/>
  <c r="H62" i="39" s="1"/>
  <c r="I62" i="39" s="1"/>
  <c r="J62" i="39" s="1"/>
  <c r="E46" i="39"/>
  <c r="G46" i="39" s="1"/>
  <c r="H46" i="39" s="1"/>
  <c r="I46" i="39" s="1"/>
  <c r="J46" i="39" s="1"/>
  <c r="E46" i="12"/>
  <c r="G46" i="12" s="1"/>
  <c r="E30" i="39"/>
  <c r="G30" i="39" s="1"/>
  <c r="H30" i="39" s="1"/>
  <c r="I30" i="39" s="1"/>
  <c r="J30" i="39" s="1"/>
  <c r="E30" i="12"/>
  <c r="G30" i="12" s="1"/>
  <c r="E14" i="39"/>
  <c r="G14" i="39" s="1"/>
  <c r="H14" i="39" s="1"/>
  <c r="I14" i="39" s="1"/>
  <c r="J14" i="39" s="1"/>
  <c r="E14" i="12"/>
  <c r="G14" i="12" s="1"/>
  <c r="E101" i="39"/>
  <c r="G101" i="39" s="1"/>
  <c r="H101" i="39" s="1"/>
  <c r="I101" i="39" s="1"/>
  <c r="J101" i="39" s="1"/>
  <c r="E101" i="12"/>
  <c r="G101" i="12" s="1"/>
  <c r="E179" i="12"/>
  <c r="G179" i="12" s="1"/>
  <c r="E179" i="39"/>
  <c r="G179" i="39" s="1"/>
  <c r="H179" i="39" s="1"/>
  <c r="I179" i="39" s="1"/>
  <c r="J179" i="39" s="1"/>
  <c r="E224" i="39"/>
  <c r="G224" i="39" s="1"/>
  <c r="H224" i="39" s="1"/>
  <c r="I224" i="39" s="1"/>
  <c r="J224" i="39" s="1"/>
  <c r="E224" i="12"/>
  <c r="G224" i="12" s="1"/>
  <c r="E305" i="12"/>
  <c r="G305" i="12" s="1"/>
  <c r="E305" i="39"/>
  <c r="G305" i="39" s="1"/>
  <c r="H305" i="39" s="1"/>
  <c r="I305" i="39" s="1"/>
  <c r="J305" i="39" s="1"/>
  <c r="E85" i="39"/>
  <c r="G85" i="39" s="1"/>
  <c r="H85" i="39" s="1"/>
  <c r="I85" i="39" s="1"/>
  <c r="J85" i="39" s="1"/>
  <c r="E85" i="12"/>
  <c r="G85" i="12" s="1"/>
  <c r="E105" i="39"/>
  <c r="G105" i="39" s="1"/>
  <c r="H105" i="39" s="1"/>
  <c r="I105" i="39" s="1"/>
  <c r="J105" i="39" s="1"/>
  <c r="E105" i="12"/>
  <c r="G105" i="12" s="1"/>
  <c r="E117" i="39"/>
  <c r="G117" i="39" s="1"/>
  <c r="H117" i="39" s="1"/>
  <c r="I117" i="39" s="1"/>
  <c r="J117" i="39" s="1"/>
  <c r="E117" i="12"/>
  <c r="G117" i="12" s="1"/>
  <c r="E146" i="39"/>
  <c r="G146" i="39" s="1"/>
  <c r="H146" i="39" s="1"/>
  <c r="I146" i="39" s="1"/>
  <c r="J146" i="39" s="1"/>
  <c r="E146" i="12"/>
  <c r="G146" i="12" s="1"/>
  <c r="E182" i="39"/>
  <c r="G182" i="39" s="1"/>
  <c r="H182" i="39" s="1"/>
  <c r="I182" i="39" s="1"/>
  <c r="J182" i="39" s="1"/>
  <c r="E182" i="12"/>
  <c r="G182" i="12" s="1"/>
  <c r="E123" i="39"/>
  <c r="G123" i="39" s="1"/>
  <c r="H123" i="39" s="1"/>
  <c r="I123" i="39" s="1"/>
  <c r="J123" i="39" s="1"/>
  <c r="E123" i="12"/>
  <c r="G123" i="12" s="1"/>
  <c r="E260" i="39"/>
  <c r="G260" i="39" s="1"/>
  <c r="H260" i="39" s="1"/>
  <c r="I260" i="39" s="1"/>
  <c r="J260" i="39" s="1"/>
  <c r="E260" i="12"/>
  <c r="G260" i="12" s="1"/>
  <c r="E220" i="39"/>
  <c r="G220" i="39" s="1"/>
  <c r="H220" i="39" s="1"/>
  <c r="I220" i="39" s="1"/>
  <c r="J220" i="39" s="1"/>
  <c r="E220" i="12"/>
  <c r="G220" i="12" s="1"/>
  <c r="E310" i="39"/>
  <c r="G310" i="39" s="1"/>
  <c r="H310" i="39" s="1"/>
  <c r="I310" i="39" s="1"/>
  <c r="J310" i="39" s="1"/>
  <c r="E310" i="12"/>
  <c r="G310" i="12" s="1"/>
  <c r="E64" i="12"/>
  <c r="G64" i="12" s="1"/>
  <c r="E64" i="39"/>
  <c r="G64" i="39" s="1"/>
  <c r="H64" i="39" s="1"/>
  <c r="I64" i="39" s="1"/>
  <c r="J64" i="39" s="1"/>
  <c r="E89" i="39"/>
  <c r="G89" i="39" s="1"/>
  <c r="H89" i="39" s="1"/>
  <c r="I89" i="39" s="1"/>
  <c r="J89" i="39" s="1"/>
  <c r="E89" i="12"/>
  <c r="G89" i="12" s="1"/>
  <c r="E100" i="39"/>
  <c r="G100" i="39" s="1"/>
  <c r="H100" i="39" s="1"/>
  <c r="I100" i="39" s="1"/>
  <c r="J100" i="39" s="1"/>
  <c r="E100" i="12"/>
  <c r="G100" i="12" s="1"/>
  <c r="E122" i="12"/>
  <c r="G122" i="12" s="1"/>
  <c r="E122" i="39"/>
  <c r="G122" i="39" s="1"/>
  <c r="H122" i="39" s="1"/>
  <c r="I122" i="39" s="1"/>
  <c r="J122" i="39" s="1"/>
  <c r="E159" i="12"/>
  <c r="G159" i="12" s="1"/>
  <c r="E159" i="39"/>
  <c r="G159" i="39" s="1"/>
  <c r="H159" i="39" s="1"/>
  <c r="I159" i="39" s="1"/>
  <c r="J159" i="39" s="1"/>
  <c r="E195" i="39"/>
  <c r="G195" i="39" s="1"/>
  <c r="H195" i="39" s="1"/>
  <c r="I195" i="39" s="1"/>
  <c r="J195" i="39" s="1"/>
  <c r="E195" i="12"/>
  <c r="G195" i="12" s="1"/>
  <c r="E228" i="39"/>
  <c r="G228" i="39" s="1"/>
  <c r="H228" i="39" s="1"/>
  <c r="I228" i="39" s="1"/>
  <c r="J228" i="39" s="1"/>
  <c r="E228" i="12"/>
  <c r="G228" i="12" s="1"/>
  <c r="E279" i="12"/>
  <c r="G279" i="12" s="1"/>
  <c r="E279" i="39"/>
  <c r="G279" i="39" s="1"/>
  <c r="H279" i="39" s="1"/>
  <c r="I279" i="39" s="1"/>
  <c r="J279" i="39" s="1"/>
  <c r="E240" i="39"/>
  <c r="G240" i="39" s="1"/>
  <c r="H240" i="39" s="1"/>
  <c r="I240" i="39" s="1"/>
  <c r="J240" i="39" s="1"/>
  <c r="E240" i="12"/>
  <c r="G240" i="12" s="1"/>
  <c r="E306" i="39"/>
  <c r="G306" i="39" s="1"/>
  <c r="H306" i="39" s="1"/>
  <c r="I306" i="39" s="1"/>
  <c r="J306" i="39" s="1"/>
  <c r="E306" i="12"/>
  <c r="G306" i="12" s="1"/>
  <c r="E32" i="39"/>
  <c r="G32" i="39" s="1"/>
  <c r="H32" i="39" s="1"/>
  <c r="I32" i="39" s="1"/>
  <c r="J32" i="39" s="1"/>
  <c r="E32" i="12"/>
  <c r="G32" i="12" s="1"/>
  <c r="E44" i="39"/>
  <c r="G44" i="39" s="1"/>
  <c r="H44" i="39" s="1"/>
  <c r="I44" i="39" s="1"/>
  <c r="J44" i="39" s="1"/>
  <c r="E44" i="12"/>
  <c r="G44" i="12" s="1"/>
  <c r="E53" i="39"/>
  <c r="G53" i="39" s="1"/>
  <c r="H53" i="39" s="1"/>
  <c r="I53" i="39" s="1"/>
  <c r="J53" i="39" s="1"/>
  <c r="E53" i="12"/>
  <c r="G53" i="12" s="1"/>
  <c r="E191" i="12"/>
  <c r="G191" i="12" s="1"/>
  <c r="E191" i="39"/>
  <c r="G191" i="39" s="1"/>
  <c r="H191" i="39" s="1"/>
  <c r="I191" i="39" s="1"/>
  <c r="J191" i="39" s="1"/>
  <c r="E138" i="12"/>
  <c r="G138" i="12" s="1"/>
  <c r="E138" i="39"/>
  <c r="G138" i="39" s="1"/>
  <c r="H138" i="39" s="1"/>
  <c r="I138" i="39" s="1"/>
  <c r="J138" i="39" s="1"/>
  <c r="E174" i="39"/>
  <c r="G174" i="39" s="1"/>
  <c r="H174" i="39" s="1"/>
  <c r="I174" i="39" s="1"/>
  <c r="J174" i="39" s="1"/>
  <c r="E174" i="12"/>
  <c r="G174" i="12" s="1"/>
  <c r="E227" i="39"/>
  <c r="G227" i="39" s="1"/>
  <c r="H227" i="39" s="1"/>
  <c r="I227" i="39" s="1"/>
  <c r="J227" i="39" s="1"/>
  <c r="E227" i="12"/>
  <c r="G227" i="12" s="1"/>
  <c r="E268" i="39"/>
  <c r="G268" i="39" s="1"/>
  <c r="H268" i="39" s="1"/>
  <c r="I268" i="39" s="1"/>
  <c r="J268" i="39" s="1"/>
  <c r="E268" i="12"/>
  <c r="G268" i="12" s="1"/>
  <c r="E297" i="12"/>
  <c r="G297" i="12" s="1"/>
  <c r="E297" i="39"/>
  <c r="G297" i="39" s="1"/>
  <c r="H297" i="39" s="1"/>
  <c r="I297" i="39" s="1"/>
  <c r="J297" i="39" s="1"/>
  <c r="E312" i="39"/>
  <c r="G312" i="39" s="1"/>
  <c r="H312" i="39" s="1"/>
  <c r="I312" i="39" s="1"/>
  <c r="J312" i="39" s="1"/>
  <c r="E312" i="12"/>
  <c r="G312" i="12" s="1"/>
  <c r="E296" i="39"/>
  <c r="G296" i="39" s="1"/>
  <c r="H296" i="39" s="1"/>
  <c r="I296" i="39" s="1"/>
  <c r="J296" i="39" s="1"/>
  <c r="E296" i="12"/>
  <c r="G296" i="12" s="1"/>
  <c r="E311" i="12"/>
  <c r="G311" i="12" s="1"/>
  <c r="E311" i="39"/>
  <c r="G311" i="39" s="1"/>
  <c r="H311" i="39" s="1"/>
  <c r="I311" i="39" s="1"/>
  <c r="J311" i="39" s="1"/>
  <c r="E293" i="12"/>
  <c r="G293" i="12" s="1"/>
  <c r="E293" i="39"/>
  <c r="G293" i="39" s="1"/>
  <c r="H293" i="39" s="1"/>
  <c r="I293" i="39" s="1"/>
  <c r="J293" i="39" s="1"/>
  <c r="E289" i="12"/>
  <c r="G289" i="12" s="1"/>
  <c r="E289" i="39"/>
  <c r="G289" i="39" s="1"/>
  <c r="H289" i="39" s="1"/>
  <c r="I289" i="39" s="1"/>
  <c r="J289" i="39" s="1"/>
  <c r="E273" i="39"/>
  <c r="G273" i="39" s="1"/>
  <c r="H273" i="39" s="1"/>
  <c r="I273" i="39" s="1"/>
  <c r="J273" i="39" s="1"/>
  <c r="E273" i="12"/>
  <c r="G273" i="12" s="1"/>
  <c r="E257" i="39"/>
  <c r="G257" i="39" s="1"/>
  <c r="H257" i="39" s="1"/>
  <c r="I257" i="39" s="1"/>
  <c r="J257" i="39" s="1"/>
  <c r="E257" i="12"/>
  <c r="G257" i="12" s="1"/>
  <c r="E241" i="39"/>
  <c r="G241" i="39" s="1"/>
  <c r="H241" i="39" s="1"/>
  <c r="I241" i="39" s="1"/>
  <c r="J241" i="39" s="1"/>
  <c r="E241" i="12"/>
  <c r="G241" i="12" s="1"/>
  <c r="E225" i="39"/>
  <c r="G225" i="39" s="1"/>
  <c r="H225" i="39" s="1"/>
  <c r="I225" i="39" s="1"/>
  <c r="J225" i="39" s="1"/>
  <c r="E225" i="12"/>
  <c r="G225" i="12" s="1"/>
  <c r="E209" i="39"/>
  <c r="G209" i="39" s="1"/>
  <c r="H209" i="39" s="1"/>
  <c r="I209" i="39" s="1"/>
  <c r="J209" i="39" s="1"/>
  <c r="E209" i="12"/>
  <c r="G209" i="12" s="1"/>
  <c r="E197" i="39"/>
  <c r="G197" i="39" s="1"/>
  <c r="H197" i="39" s="1"/>
  <c r="I197" i="39" s="1"/>
  <c r="J197" i="39" s="1"/>
  <c r="E197" i="12"/>
  <c r="G197" i="12" s="1"/>
  <c r="E239" i="39"/>
  <c r="G239" i="39" s="1"/>
  <c r="H239" i="39" s="1"/>
  <c r="I239" i="39" s="1"/>
  <c r="J239" i="39" s="1"/>
  <c r="E239" i="12"/>
  <c r="G239" i="12" s="1"/>
  <c r="E254" i="39"/>
  <c r="G254" i="39" s="1"/>
  <c r="H254" i="39" s="1"/>
  <c r="I254" i="39" s="1"/>
  <c r="J254" i="39" s="1"/>
  <c r="E254" i="12"/>
  <c r="G254" i="12" s="1"/>
  <c r="E238" i="39"/>
  <c r="G238" i="39" s="1"/>
  <c r="H238" i="39" s="1"/>
  <c r="I238" i="39" s="1"/>
  <c r="J238" i="39" s="1"/>
  <c r="E238" i="12"/>
  <c r="G238" i="12" s="1"/>
  <c r="E222" i="39"/>
  <c r="G222" i="39" s="1"/>
  <c r="H222" i="39" s="1"/>
  <c r="I222" i="39" s="1"/>
  <c r="J222" i="39" s="1"/>
  <c r="E222" i="12"/>
  <c r="G222" i="12" s="1"/>
  <c r="E201" i="39"/>
  <c r="G201" i="39" s="1"/>
  <c r="H201" i="39" s="1"/>
  <c r="I201" i="39" s="1"/>
  <c r="J201" i="39" s="1"/>
  <c r="E201" i="12"/>
  <c r="G201" i="12" s="1"/>
  <c r="E111" i="39"/>
  <c r="G111" i="39" s="1"/>
  <c r="H111" i="39" s="1"/>
  <c r="I111" i="39" s="1"/>
  <c r="J111" i="39" s="1"/>
  <c r="E111" i="12"/>
  <c r="G111" i="12" s="1"/>
  <c r="E115" i="39"/>
  <c r="G115" i="39" s="1"/>
  <c r="H115" i="39" s="1"/>
  <c r="I115" i="39" s="1"/>
  <c r="J115" i="39" s="1"/>
  <c r="E115" i="12"/>
  <c r="G115" i="12" s="1"/>
  <c r="E173" i="12"/>
  <c r="G173" i="12" s="1"/>
  <c r="E173" i="39"/>
  <c r="G173" i="39" s="1"/>
  <c r="H173" i="39" s="1"/>
  <c r="I173" i="39" s="1"/>
  <c r="J173" i="39" s="1"/>
  <c r="E157" i="12"/>
  <c r="G157" i="12" s="1"/>
  <c r="E157" i="39"/>
  <c r="G157" i="39" s="1"/>
  <c r="H157" i="39" s="1"/>
  <c r="I157" i="39" s="1"/>
  <c r="J157" i="39" s="1"/>
  <c r="E141" i="12"/>
  <c r="G141" i="12" s="1"/>
  <c r="E141" i="39"/>
  <c r="G141" i="39" s="1"/>
  <c r="H141" i="39" s="1"/>
  <c r="I141" i="39" s="1"/>
  <c r="J141" i="39" s="1"/>
  <c r="E125" i="39"/>
  <c r="G125" i="39" s="1"/>
  <c r="H125" i="39" s="1"/>
  <c r="I125" i="39" s="1"/>
  <c r="J125" i="39" s="1"/>
  <c r="E125" i="12"/>
  <c r="G125" i="12" s="1"/>
  <c r="E188" i="39"/>
  <c r="G188" i="39" s="1"/>
  <c r="H188" i="39" s="1"/>
  <c r="I188" i="39" s="1"/>
  <c r="J188" i="39" s="1"/>
  <c r="E188" i="12"/>
  <c r="G188" i="12" s="1"/>
  <c r="E172" i="39"/>
  <c r="G172" i="39" s="1"/>
  <c r="H172" i="39" s="1"/>
  <c r="I172" i="39" s="1"/>
  <c r="J172" i="39" s="1"/>
  <c r="E172" i="12"/>
  <c r="G172" i="12" s="1"/>
  <c r="E156" i="39"/>
  <c r="G156" i="39" s="1"/>
  <c r="H156" i="39" s="1"/>
  <c r="I156" i="39" s="1"/>
  <c r="J156" i="39" s="1"/>
  <c r="E156" i="12"/>
  <c r="G156" i="12" s="1"/>
  <c r="E140" i="39"/>
  <c r="G140" i="39" s="1"/>
  <c r="H140" i="39" s="1"/>
  <c r="I140" i="39" s="1"/>
  <c r="J140" i="39" s="1"/>
  <c r="E140" i="12"/>
  <c r="G140" i="12" s="1"/>
  <c r="E124" i="39"/>
  <c r="G124" i="39" s="1"/>
  <c r="H124" i="39" s="1"/>
  <c r="I124" i="39" s="1"/>
  <c r="J124" i="39" s="1"/>
  <c r="E124" i="12"/>
  <c r="G124" i="12" s="1"/>
  <c r="E87" i="39"/>
  <c r="G87" i="39" s="1"/>
  <c r="H87" i="39" s="1"/>
  <c r="I87" i="39" s="1"/>
  <c r="J87" i="39" s="1"/>
  <c r="E87" i="12"/>
  <c r="G87" i="12" s="1"/>
  <c r="E71" i="39"/>
  <c r="G71" i="39" s="1"/>
  <c r="H71" i="39" s="1"/>
  <c r="I71" i="39" s="1"/>
  <c r="J71" i="39" s="1"/>
  <c r="E71" i="12"/>
  <c r="G71" i="12" s="1"/>
  <c r="E55" i="39"/>
  <c r="G55" i="39" s="1"/>
  <c r="H55" i="39" s="1"/>
  <c r="I55" i="39" s="1"/>
  <c r="J55" i="39" s="1"/>
  <c r="E55" i="12"/>
  <c r="G55" i="12" s="1"/>
  <c r="E39" i="12"/>
  <c r="G39" i="12" s="1"/>
  <c r="E39" i="39"/>
  <c r="G39" i="39" s="1"/>
  <c r="H39" i="39" s="1"/>
  <c r="I39" i="39" s="1"/>
  <c r="J39" i="39" s="1"/>
  <c r="E23" i="12"/>
  <c r="G23" i="12" s="1"/>
  <c r="E23" i="39"/>
  <c r="G23" i="39" s="1"/>
  <c r="H23" i="39" s="1"/>
  <c r="I23" i="39" s="1"/>
  <c r="J23" i="39" s="1"/>
  <c r="E7" i="12"/>
  <c r="G7" i="12" s="1"/>
  <c r="E7" i="39"/>
  <c r="G7" i="39" s="1"/>
  <c r="H7" i="39" s="1"/>
  <c r="I7" i="39" s="1"/>
  <c r="J7" i="39" s="1"/>
  <c r="E90" i="12"/>
  <c r="G90" i="12" s="1"/>
  <c r="E90" i="39"/>
  <c r="G90" i="39" s="1"/>
  <c r="H90" i="39" s="1"/>
  <c r="I90" i="39" s="1"/>
  <c r="J90" i="39" s="1"/>
  <c r="E74" i="12"/>
  <c r="G74" i="12" s="1"/>
  <c r="E74" i="39"/>
  <c r="G74" i="39" s="1"/>
  <c r="H74" i="39" s="1"/>
  <c r="I74" i="39" s="1"/>
  <c r="J74" i="39" s="1"/>
  <c r="E58" i="12"/>
  <c r="G58" i="12" s="1"/>
  <c r="E58" i="39"/>
  <c r="G58" i="39" s="1"/>
  <c r="H58" i="39" s="1"/>
  <c r="I58" i="39" s="1"/>
  <c r="J58" i="39" s="1"/>
  <c r="E42" i="39"/>
  <c r="G42" i="39" s="1"/>
  <c r="H42" i="39" s="1"/>
  <c r="I42" i="39" s="1"/>
  <c r="J42" i="39" s="1"/>
  <c r="E42" i="12"/>
  <c r="G42" i="12" s="1"/>
  <c r="E26" i="39"/>
  <c r="G26" i="39" s="1"/>
  <c r="H26" i="39" s="1"/>
  <c r="I26" i="39" s="1"/>
  <c r="J26" i="39" s="1"/>
  <c r="E26" i="12"/>
  <c r="G26" i="12" s="1"/>
  <c r="E10" i="39"/>
  <c r="G10" i="39" s="1"/>
  <c r="H10" i="39" s="1"/>
  <c r="I10" i="39" s="1"/>
  <c r="J10" i="39" s="1"/>
  <c r="E10" i="12"/>
  <c r="G10" i="12" s="1"/>
  <c r="E112" i="12"/>
  <c r="G112" i="12" s="1"/>
  <c r="E112" i="39"/>
  <c r="G112" i="39" s="1"/>
  <c r="H112" i="39" s="1"/>
  <c r="I112" i="39" s="1"/>
  <c r="J112" i="39" s="1"/>
  <c r="E24" i="39"/>
  <c r="G24" i="39" s="1"/>
  <c r="H24" i="39" s="1"/>
  <c r="I24" i="39" s="1"/>
  <c r="J24" i="39" s="1"/>
  <c r="E24" i="12"/>
  <c r="G24" i="12" s="1"/>
  <c r="E256" i="39"/>
  <c r="G256" i="39" s="1"/>
  <c r="H256" i="39" s="1"/>
  <c r="I256" i="39" s="1"/>
  <c r="J256" i="39" s="1"/>
  <c r="E256" i="12"/>
  <c r="G256" i="12" s="1"/>
  <c r="E29" i="39"/>
  <c r="G29" i="39" s="1"/>
  <c r="H29" i="39" s="1"/>
  <c r="I29" i="39" s="1"/>
  <c r="J29" i="39" s="1"/>
  <c r="E29" i="12"/>
  <c r="G29" i="12" s="1"/>
  <c r="E126" i="12"/>
  <c r="G126" i="12" s="1"/>
  <c r="E126" i="39"/>
  <c r="G126" i="39" s="1"/>
  <c r="H126" i="39" s="1"/>
  <c r="I126" i="39" s="1"/>
  <c r="J126" i="39" s="1"/>
  <c r="E158" i="39"/>
  <c r="G158" i="39" s="1"/>
  <c r="H158" i="39" s="1"/>
  <c r="I158" i="39" s="1"/>
  <c r="J158" i="39" s="1"/>
  <c r="E158" i="12"/>
  <c r="G158" i="12" s="1"/>
  <c r="E211" i="39"/>
  <c r="G211" i="39" s="1"/>
  <c r="H211" i="39" s="1"/>
  <c r="I211" i="39" s="1"/>
  <c r="J211" i="39" s="1"/>
  <c r="E211" i="12"/>
  <c r="G211" i="12" s="1"/>
  <c r="E252" i="39"/>
  <c r="G252" i="39" s="1"/>
  <c r="H252" i="39" s="1"/>
  <c r="I252" i="39" s="1"/>
  <c r="J252" i="39" s="1"/>
  <c r="E252" i="12"/>
  <c r="G252" i="12" s="1"/>
  <c r="E286" i="39"/>
  <c r="G286" i="39" s="1"/>
  <c r="H286" i="39" s="1"/>
  <c r="I286" i="39" s="1"/>
  <c r="J286" i="39" s="1"/>
  <c r="E286" i="12"/>
  <c r="G286" i="12" s="1"/>
  <c r="E92" i="12"/>
  <c r="G92" i="12" s="1"/>
  <c r="E92" i="39"/>
  <c r="G92" i="39" s="1"/>
  <c r="H92" i="39" s="1"/>
  <c r="I92" i="39" s="1"/>
  <c r="J92" i="39" s="1"/>
  <c r="E113" i="39"/>
  <c r="G113" i="39" s="1"/>
  <c r="H113" i="39" s="1"/>
  <c r="I113" i="39" s="1"/>
  <c r="J113" i="39" s="1"/>
  <c r="E113" i="12"/>
  <c r="G113" i="12" s="1"/>
  <c r="E8" i="39"/>
  <c r="G8" i="39" s="1"/>
  <c r="H8" i="39" s="1"/>
  <c r="I8" i="39" s="1"/>
  <c r="J8" i="39" s="1"/>
  <c r="E8" i="12"/>
  <c r="G8" i="12" s="1"/>
  <c r="E155" i="12"/>
  <c r="G155" i="12" s="1"/>
  <c r="E155" i="39"/>
  <c r="G155" i="39" s="1"/>
  <c r="H155" i="39" s="1"/>
  <c r="I155" i="39" s="1"/>
  <c r="J155" i="39" s="1"/>
  <c r="E190" i="39"/>
  <c r="G190" i="39" s="1"/>
  <c r="H190" i="39" s="1"/>
  <c r="I190" i="39" s="1"/>
  <c r="J190" i="39" s="1"/>
  <c r="E190" i="12"/>
  <c r="G190" i="12" s="1"/>
  <c r="E135" i="39"/>
  <c r="G135" i="39" s="1"/>
  <c r="H135" i="39" s="1"/>
  <c r="I135" i="39" s="1"/>
  <c r="J135" i="39" s="1"/>
  <c r="E135" i="12"/>
  <c r="G135" i="12" s="1"/>
  <c r="E276" i="39"/>
  <c r="G276" i="39" s="1"/>
  <c r="H276" i="39" s="1"/>
  <c r="I276" i="39" s="1"/>
  <c r="J276" i="39" s="1"/>
  <c r="E276" i="12"/>
  <c r="G276" i="12" s="1"/>
  <c r="E231" i="39"/>
  <c r="G231" i="39" s="1"/>
  <c r="H231" i="39" s="1"/>
  <c r="I231" i="39" s="1"/>
  <c r="J231" i="39" s="1"/>
  <c r="E231" i="12"/>
  <c r="G231" i="12" s="1"/>
  <c r="E291" i="12"/>
  <c r="G291" i="12" s="1"/>
  <c r="E291" i="39"/>
  <c r="G291" i="39" s="1"/>
  <c r="H291" i="39" s="1"/>
  <c r="I291" i="39" s="1"/>
  <c r="J291" i="39" s="1"/>
  <c r="E40" i="39"/>
  <c r="G40" i="39" s="1"/>
  <c r="H40" i="39" s="1"/>
  <c r="I40" i="39" s="1"/>
  <c r="J40" i="39" s="1"/>
  <c r="E40" i="12"/>
  <c r="G40" i="12" s="1"/>
  <c r="E61" i="39"/>
  <c r="G61" i="39" s="1"/>
  <c r="H61" i="39" s="1"/>
  <c r="I61" i="39" s="1"/>
  <c r="J61" i="39" s="1"/>
  <c r="E61" i="12"/>
  <c r="G61" i="12" s="1"/>
  <c r="E72" i="12"/>
  <c r="G72" i="12" s="1"/>
  <c r="E72" i="39"/>
  <c r="G72" i="39" s="1"/>
  <c r="H72" i="39" s="1"/>
  <c r="I72" i="39" s="1"/>
  <c r="J72" i="39" s="1"/>
  <c r="E81" i="39"/>
  <c r="G81" i="39" s="1"/>
  <c r="H81" i="39" s="1"/>
  <c r="I81" i="39" s="1"/>
  <c r="J81" i="39" s="1"/>
  <c r="E81" i="12"/>
  <c r="G81" i="12" s="1"/>
  <c r="E134" i="12"/>
  <c r="G134" i="12" s="1"/>
  <c r="E134" i="39"/>
  <c r="G134" i="39" s="1"/>
  <c r="H134" i="39" s="1"/>
  <c r="I134" i="39" s="1"/>
  <c r="J134" i="39" s="1"/>
  <c r="E170" i="39"/>
  <c r="G170" i="39" s="1"/>
  <c r="H170" i="39" s="1"/>
  <c r="I170" i="39" s="1"/>
  <c r="J170" i="39" s="1"/>
  <c r="E170" i="12"/>
  <c r="G170" i="12" s="1"/>
  <c r="E203" i="39"/>
  <c r="G203" i="39" s="1"/>
  <c r="H203" i="39" s="1"/>
  <c r="I203" i="39" s="1"/>
  <c r="J203" i="39" s="1"/>
  <c r="E203" i="12"/>
  <c r="G203" i="12" s="1"/>
  <c r="E264" i="39"/>
  <c r="G264" i="39" s="1"/>
  <c r="H264" i="39" s="1"/>
  <c r="I264" i="39" s="1"/>
  <c r="J264" i="39" s="1"/>
  <c r="E264" i="12"/>
  <c r="G264" i="12" s="1"/>
  <c r="E219" i="39"/>
  <c r="G219" i="39" s="1"/>
  <c r="H219" i="39" s="1"/>
  <c r="I219" i="39" s="1"/>
  <c r="J219" i="39" s="1"/>
  <c r="E219" i="12"/>
  <c r="G219" i="12" s="1"/>
  <c r="E309" i="12"/>
  <c r="G309" i="12" s="1"/>
  <c r="E309" i="39"/>
  <c r="G309" i="39" s="1"/>
  <c r="H309" i="39" s="1"/>
  <c r="I309" i="39" s="1"/>
  <c r="J309" i="39" s="1"/>
  <c r="E308" i="39"/>
  <c r="G308" i="39" s="1"/>
  <c r="H308" i="39" s="1"/>
  <c r="I308" i="39" s="1"/>
  <c r="J308" i="39" s="1"/>
  <c r="E308" i="12"/>
  <c r="G308" i="12" s="1"/>
  <c r="E294" i="39"/>
  <c r="G294" i="39" s="1"/>
  <c r="H294" i="39" s="1"/>
  <c r="I294" i="39" s="1"/>
  <c r="J294" i="39" s="1"/>
  <c r="E294" i="12"/>
  <c r="G294" i="12" s="1"/>
  <c r="E307" i="12"/>
  <c r="G307" i="12" s="1"/>
  <c r="E307" i="39"/>
  <c r="G307" i="39" s="1"/>
  <c r="H307" i="39" s="1"/>
  <c r="I307" i="39" s="1"/>
  <c r="J307" i="39" s="1"/>
  <c r="E292" i="39"/>
  <c r="G292" i="39" s="1"/>
  <c r="H292" i="39" s="1"/>
  <c r="I292" i="39" s="1"/>
  <c r="J292" i="39" s="1"/>
  <c r="E292" i="12"/>
  <c r="G292" i="12" s="1"/>
  <c r="E285" i="12"/>
  <c r="G285" i="12" s="1"/>
  <c r="E285" i="39"/>
  <c r="G285" i="39" s="1"/>
  <c r="H285" i="39" s="1"/>
  <c r="I285" i="39" s="1"/>
  <c r="J285" i="39" s="1"/>
  <c r="E269" i="39"/>
  <c r="G269" i="39" s="1"/>
  <c r="H269" i="39" s="1"/>
  <c r="I269" i="39" s="1"/>
  <c r="J269" i="39" s="1"/>
  <c r="E269" i="12"/>
  <c r="G269" i="12" s="1"/>
  <c r="E253" i="39"/>
  <c r="G253" i="39" s="1"/>
  <c r="H253" i="39" s="1"/>
  <c r="I253" i="39" s="1"/>
  <c r="J253" i="39" s="1"/>
  <c r="E253" i="12"/>
  <c r="G253" i="12" s="1"/>
  <c r="E237" i="39"/>
  <c r="G237" i="39" s="1"/>
  <c r="H237" i="39" s="1"/>
  <c r="I237" i="39" s="1"/>
  <c r="J237" i="39" s="1"/>
  <c r="E237" i="12"/>
  <c r="G237" i="12" s="1"/>
  <c r="E221" i="39"/>
  <c r="G221" i="39" s="1"/>
  <c r="H221" i="39" s="1"/>
  <c r="I221" i="39" s="1"/>
  <c r="J221" i="39" s="1"/>
  <c r="E221" i="12"/>
  <c r="G221" i="12" s="1"/>
  <c r="E205" i="39"/>
  <c r="G205" i="39" s="1"/>
  <c r="H205" i="39" s="1"/>
  <c r="I205" i="39" s="1"/>
  <c r="J205" i="39" s="1"/>
  <c r="E205" i="12"/>
  <c r="G205" i="12" s="1"/>
  <c r="E196" i="39"/>
  <c r="G196" i="39" s="1"/>
  <c r="H196" i="39" s="1"/>
  <c r="I196" i="39" s="1"/>
  <c r="J196" i="39" s="1"/>
  <c r="E196" i="12"/>
  <c r="G196" i="12" s="1"/>
  <c r="E266" i="39"/>
  <c r="G266" i="39" s="1"/>
  <c r="H266" i="39" s="1"/>
  <c r="I266" i="39" s="1"/>
  <c r="J266" i="39" s="1"/>
  <c r="E266" i="12"/>
  <c r="G266" i="12" s="1"/>
  <c r="E250" i="39"/>
  <c r="G250" i="39" s="1"/>
  <c r="H250" i="39" s="1"/>
  <c r="I250" i="39" s="1"/>
  <c r="J250" i="39" s="1"/>
  <c r="E250" i="12"/>
  <c r="G250" i="12" s="1"/>
  <c r="E234" i="39"/>
  <c r="G234" i="39" s="1"/>
  <c r="H234" i="39" s="1"/>
  <c r="I234" i="39" s="1"/>
  <c r="J234" i="39" s="1"/>
  <c r="E234" i="12"/>
  <c r="G234" i="12" s="1"/>
  <c r="E218" i="39"/>
  <c r="G218" i="39" s="1"/>
  <c r="H218" i="39" s="1"/>
  <c r="I218" i="39" s="1"/>
  <c r="J218" i="39" s="1"/>
  <c r="E218" i="12"/>
  <c r="G218" i="12" s="1"/>
  <c r="E200" i="39"/>
  <c r="G200" i="39" s="1"/>
  <c r="H200" i="39" s="1"/>
  <c r="I200" i="39" s="1"/>
  <c r="J200" i="39" s="1"/>
  <c r="E200" i="12"/>
  <c r="G200" i="12" s="1"/>
  <c r="E110" i="39"/>
  <c r="G110" i="39" s="1"/>
  <c r="H110" i="39" s="1"/>
  <c r="I110" i="39" s="1"/>
  <c r="J110" i="39" s="1"/>
  <c r="E110" i="12"/>
  <c r="G110" i="12" s="1"/>
  <c r="E185" i="12"/>
  <c r="G185" i="12" s="1"/>
  <c r="E185" i="39"/>
  <c r="G185" i="39" s="1"/>
  <c r="H185" i="39" s="1"/>
  <c r="I185" i="39" s="1"/>
  <c r="J185" i="39" s="1"/>
  <c r="E169" i="12"/>
  <c r="G169" i="12" s="1"/>
  <c r="E169" i="39"/>
  <c r="G169" i="39" s="1"/>
  <c r="H169" i="39" s="1"/>
  <c r="I169" i="39" s="1"/>
  <c r="J169" i="39" s="1"/>
  <c r="E153" i="12"/>
  <c r="G153" i="12" s="1"/>
  <c r="E153" i="39"/>
  <c r="G153" i="39" s="1"/>
  <c r="H153" i="39" s="1"/>
  <c r="I153" i="39" s="1"/>
  <c r="J153" i="39" s="1"/>
  <c r="E137" i="39"/>
  <c r="G137" i="39" s="1"/>
  <c r="H137" i="39" s="1"/>
  <c r="I137" i="39" s="1"/>
  <c r="J137" i="39" s="1"/>
  <c r="E137" i="12"/>
  <c r="G137" i="12" s="1"/>
  <c r="E121" i="39"/>
  <c r="G121" i="39" s="1"/>
  <c r="H121" i="39" s="1"/>
  <c r="I121" i="39" s="1"/>
  <c r="J121" i="39" s="1"/>
  <c r="E121" i="12"/>
  <c r="G121" i="12" s="1"/>
  <c r="E184" i="39"/>
  <c r="G184" i="39" s="1"/>
  <c r="H184" i="39" s="1"/>
  <c r="I184" i="39" s="1"/>
  <c r="J184" i="39" s="1"/>
  <c r="E184" i="12"/>
  <c r="G184" i="12" s="1"/>
  <c r="E168" i="39"/>
  <c r="G168" i="39" s="1"/>
  <c r="H168" i="39" s="1"/>
  <c r="I168" i="39" s="1"/>
  <c r="J168" i="39" s="1"/>
  <c r="E168" i="12"/>
  <c r="G168" i="12" s="1"/>
  <c r="E152" i="39"/>
  <c r="G152" i="39" s="1"/>
  <c r="H152" i="39" s="1"/>
  <c r="I152" i="39" s="1"/>
  <c r="J152" i="39" s="1"/>
  <c r="E152" i="12"/>
  <c r="G152" i="12" s="1"/>
  <c r="E136" i="12"/>
  <c r="G136" i="12" s="1"/>
  <c r="E136" i="39"/>
  <c r="G136" i="39" s="1"/>
  <c r="H136" i="39" s="1"/>
  <c r="I136" i="39" s="1"/>
  <c r="J136" i="39" s="1"/>
  <c r="E120" i="12"/>
  <c r="G120" i="12" s="1"/>
  <c r="E120" i="39"/>
  <c r="G120" i="39" s="1"/>
  <c r="H120" i="39" s="1"/>
  <c r="I120" i="39" s="1"/>
  <c r="J120" i="39" s="1"/>
  <c r="E83" i="39"/>
  <c r="G83" i="39" s="1"/>
  <c r="H83" i="39" s="1"/>
  <c r="I83" i="39" s="1"/>
  <c r="J83" i="39" s="1"/>
  <c r="E83" i="12"/>
  <c r="G83" i="12" s="1"/>
  <c r="E67" i="39"/>
  <c r="G67" i="39" s="1"/>
  <c r="H67" i="39" s="1"/>
  <c r="I67" i="39" s="1"/>
  <c r="J67" i="39" s="1"/>
  <c r="E67" i="12"/>
  <c r="G67" i="12" s="1"/>
  <c r="E51" i="12"/>
  <c r="G51" i="12" s="1"/>
  <c r="E51" i="39"/>
  <c r="G51" i="39" s="1"/>
  <c r="H51" i="39" s="1"/>
  <c r="I51" i="39" s="1"/>
  <c r="J51" i="39" s="1"/>
  <c r="E35" i="12"/>
  <c r="G35" i="12" s="1"/>
  <c r="E35" i="39"/>
  <c r="G35" i="39" s="1"/>
  <c r="H35" i="39" s="1"/>
  <c r="I35" i="39" s="1"/>
  <c r="J35" i="39" s="1"/>
  <c r="E19" i="12"/>
  <c r="G19" i="12" s="1"/>
  <c r="E19" i="39"/>
  <c r="G19" i="39" s="1"/>
  <c r="H19" i="39" s="1"/>
  <c r="I19" i="39" s="1"/>
  <c r="J19" i="39" s="1"/>
  <c r="E102" i="12"/>
  <c r="G102" i="12" s="1"/>
  <c r="E102" i="39"/>
  <c r="G102" i="39" s="1"/>
  <c r="H102" i="39" s="1"/>
  <c r="I102" i="39" s="1"/>
  <c r="J102" i="39" s="1"/>
  <c r="E86" i="12"/>
  <c r="G86" i="12" s="1"/>
  <c r="E86" i="39"/>
  <c r="G86" i="39" s="1"/>
  <c r="H86" i="39" s="1"/>
  <c r="I86" i="39" s="1"/>
  <c r="J86" i="39" s="1"/>
  <c r="E70" i="12"/>
  <c r="G70" i="12" s="1"/>
  <c r="E70" i="39"/>
  <c r="G70" i="39" s="1"/>
  <c r="H70" i="39" s="1"/>
  <c r="I70" i="39" s="1"/>
  <c r="J70" i="39" s="1"/>
  <c r="E54" i="39"/>
  <c r="G54" i="39" s="1"/>
  <c r="H54" i="39" s="1"/>
  <c r="I54" i="39" s="1"/>
  <c r="J54" i="39" s="1"/>
  <c r="E54" i="12"/>
  <c r="G54" i="12" s="1"/>
  <c r="E38" i="39"/>
  <c r="G38" i="39" s="1"/>
  <c r="H38" i="39" s="1"/>
  <c r="I38" i="39" s="1"/>
  <c r="J38" i="39" s="1"/>
  <c r="E38" i="12"/>
  <c r="G38" i="12" s="1"/>
  <c r="E22" i="39"/>
  <c r="G22" i="39" s="1"/>
  <c r="H22" i="39" s="1"/>
  <c r="I22" i="39" s="1"/>
  <c r="J22" i="39" s="1"/>
  <c r="E22" i="12"/>
  <c r="G22" i="12" s="1"/>
  <c r="E6" i="12"/>
  <c r="G6" i="12" s="1"/>
  <c r="E6" i="39"/>
  <c r="G6" i="39" s="1"/>
  <c r="H6" i="39" s="1"/>
  <c r="I6" i="39" s="1"/>
  <c r="J6" i="39" s="1"/>
  <c r="G253" i="25"/>
  <c r="G52" i="25"/>
  <c r="G150" i="25"/>
  <c r="G156" i="25"/>
  <c r="G245" i="25"/>
  <c r="G48" i="25"/>
  <c r="G117" i="25"/>
  <c r="G260" i="25"/>
  <c r="G159" i="25"/>
  <c r="G199" i="25"/>
  <c r="G314" i="25"/>
  <c r="G250" i="25"/>
  <c r="G186" i="25"/>
  <c r="G122" i="25"/>
  <c r="G275" i="25"/>
  <c r="G83" i="25"/>
  <c r="G17" i="25"/>
  <c r="G14" i="25"/>
  <c r="G7" i="25"/>
  <c r="G289" i="25"/>
  <c r="G247" i="25"/>
  <c r="G155" i="25"/>
  <c r="G160" i="25"/>
  <c r="G91" i="25"/>
  <c r="G50" i="25"/>
  <c r="G23" i="25"/>
  <c r="G173" i="25"/>
  <c r="G273" i="25"/>
  <c r="G100" i="25"/>
  <c r="G101" i="25"/>
  <c r="G104" i="25"/>
  <c r="G62" i="25"/>
  <c r="G177" i="25"/>
  <c r="G300" i="25"/>
  <c r="G185" i="25"/>
  <c r="G56" i="25"/>
  <c r="G65" i="25"/>
  <c r="G72" i="25"/>
  <c r="G73" i="25"/>
  <c r="G77" i="25"/>
  <c r="G108" i="25"/>
  <c r="G182" i="25"/>
  <c r="G142" i="25"/>
  <c r="G292" i="25"/>
  <c r="G189" i="25"/>
  <c r="G238" i="25"/>
  <c r="G224" i="25"/>
  <c r="G279" i="25"/>
  <c r="G303" i="25"/>
  <c r="G127" i="25"/>
  <c r="G79" i="25"/>
  <c r="G167" i="25"/>
  <c r="G306" i="25"/>
  <c r="G242" i="25"/>
  <c r="G178" i="25"/>
  <c r="G114" i="25"/>
  <c r="G41" i="25"/>
  <c r="G267" i="25"/>
  <c r="G203" i="25"/>
  <c r="G139" i="25"/>
  <c r="G75" i="25"/>
  <c r="G13" i="25"/>
  <c r="G10" i="25"/>
  <c r="G55" i="25"/>
  <c r="G285" i="25"/>
  <c r="G227" i="25"/>
  <c r="G258" i="25"/>
  <c r="G149" i="25"/>
  <c r="G152" i="25"/>
  <c r="G42" i="25"/>
  <c r="G21" i="25"/>
  <c r="G209" i="25"/>
  <c r="G228" i="25"/>
  <c r="G172" i="25"/>
  <c r="G249" i="25"/>
  <c r="G168" i="25"/>
  <c r="G126" i="25"/>
  <c r="G254" i="25"/>
  <c r="G193" i="25"/>
  <c r="G197" i="25"/>
  <c r="G28" i="25"/>
  <c r="G165" i="25"/>
  <c r="G136" i="25"/>
  <c r="G244" i="25"/>
  <c r="G246" i="25"/>
  <c r="G76" i="25"/>
  <c r="G81" i="25"/>
  <c r="G206" i="25"/>
  <c r="G121" i="25"/>
  <c r="G222" i="25"/>
  <c r="G280" i="25"/>
  <c r="G293" i="25"/>
  <c r="G294" i="25"/>
  <c r="G271" i="25"/>
  <c r="G95" i="25"/>
  <c r="G295" i="25"/>
  <c r="G135" i="25"/>
  <c r="G298" i="25"/>
  <c r="G234" i="25"/>
  <c r="G170" i="25"/>
  <c r="G106" i="25"/>
  <c r="G58" i="25"/>
  <c r="G259" i="25"/>
  <c r="G195" i="25"/>
  <c r="G131" i="25"/>
  <c r="G67" i="25"/>
  <c r="G38" i="25"/>
  <c r="G59" i="25"/>
  <c r="G47" i="25"/>
  <c r="G305" i="25"/>
  <c r="G97" i="25"/>
  <c r="G109" i="25"/>
  <c r="G308" i="25"/>
  <c r="G261" i="25"/>
  <c r="G32" i="25"/>
  <c r="G78" i="25"/>
  <c r="G310" i="25"/>
  <c r="G211" i="25"/>
  <c r="G225" i="25"/>
  <c r="G143" i="25"/>
  <c r="G26" i="25"/>
  <c r="G124" i="25"/>
  <c r="G190" i="25"/>
  <c r="G70" i="25"/>
  <c r="G12" i="25"/>
  <c r="G241" i="25"/>
  <c r="G80" i="25"/>
  <c r="G223" i="25"/>
  <c r="G103" i="25"/>
  <c r="G98" i="25"/>
  <c r="G187" i="25"/>
  <c r="G54" i="25"/>
  <c r="G51" i="25"/>
  <c r="G221" i="25"/>
  <c r="G132" i="25"/>
  <c r="G86" i="25"/>
  <c r="G166" i="25"/>
  <c r="G257" i="25"/>
  <c r="G196" i="25"/>
  <c r="G181" i="25"/>
  <c r="G94" i="25"/>
  <c r="G141" i="25"/>
  <c r="G153" i="25"/>
  <c r="G286" i="25"/>
  <c r="G282" i="25"/>
  <c r="G90" i="25"/>
  <c r="G179" i="25"/>
  <c r="G35" i="25"/>
  <c r="G269" i="25"/>
  <c r="G219" i="25"/>
  <c r="G210" i="25"/>
  <c r="G119" i="25"/>
  <c r="G130" i="25"/>
  <c r="G18" i="25"/>
  <c r="G148" i="25"/>
  <c r="G220" i="25"/>
  <c r="G157" i="25"/>
  <c r="G120" i="25"/>
  <c r="G252" i="25"/>
  <c r="G176" i="25"/>
  <c r="G301" i="25"/>
  <c r="G8" i="25"/>
  <c r="G201" i="25"/>
  <c r="G205" i="25"/>
  <c r="G88" i="25"/>
  <c r="G198" i="25"/>
  <c r="G112" i="25"/>
  <c r="G40" i="25"/>
  <c r="G272" i="25"/>
  <c r="G158" i="25"/>
  <c r="G256" i="25"/>
  <c r="G278" i="25"/>
  <c r="G44" i="25"/>
  <c r="G92" i="25"/>
  <c r="G85" i="25"/>
  <c r="G233" i="25"/>
  <c r="G183" i="25"/>
  <c r="G270" i="25"/>
  <c r="G215" i="25"/>
  <c r="G311" i="25"/>
  <c r="G287" i="25"/>
  <c r="G146" i="25"/>
  <c r="G82" i="25"/>
  <c r="G299" i="25"/>
  <c r="G235" i="25"/>
  <c r="G171" i="25"/>
  <c r="G107" i="25"/>
  <c r="G33" i="25"/>
  <c r="G31" i="25"/>
  <c r="G19" i="25"/>
  <c r="G175" i="25"/>
  <c r="G29" i="25"/>
  <c r="G297" i="25"/>
  <c r="G214" i="25"/>
  <c r="G276" i="25"/>
  <c r="G69" i="25"/>
  <c r="G169" i="25"/>
  <c r="G111" i="25"/>
  <c r="G46" i="25"/>
  <c r="G283" i="25"/>
  <c r="G144" i="25"/>
  <c r="G284" i="25"/>
  <c r="G208" i="25"/>
  <c r="G188" i="25"/>
  <c r="G36" i="25"/>
  <c r="G64" i="25"/>
  <c r="G268" i="25"/>
  <c r="G89" i="25"/>
  <c r="G63" i="25"/>
  <c r="G226" i="25"/>
  <c r="G251" i="25"/>
  <c r="G43" i="25"/>
  <c r="G277" i="25"/>
  <c r="G125" i="25"/>
  <c r="G24" i="25"/>
  <c r="G93" i="25"/>
  <c r="G240" i="25"/>
  <c r="G180" i="25"/>
  <c r="G264" i="25"/>
  <c r="G217" i="25"/>
  <c r="G216" i="25"/>
  <c r="G231" i="25"/>
  <c r="G207" i="25"/>
  <c r="G154" i="25"/>
  <c r="G243" i="25"/>
  <c r="G37" i="25"/>
  <c r="G30" i="25"/>
  <c r="G312" i="25"/>
  <c r="G213" i="25"/>
  <c r="G204" i="25"/>
  <c r="G105" i="25"/>
  <c r="G110" i="25"/>
  <c r="G57" i="25"/>
  <c r="G116" i="25"/>
  <c r="G96" i="25"/>
  <c r="G237" i="25"/>
  <c r="G184" i="25"/>
  <c r="G129" i="25"/>
  <c r="G49" i="25"/>
  <c r="G161" i="25"/>
  <c r="G229" i="25"/>
  <c r="G313" i="25"/>
  <c r="G236" i="25"/>
  <c r="G20" i="25"/>
  <c r="G137" i="25"/>
  <c r="G128" i="25"/>
  <c r="G281" i="25"/>
  <c r="G151" i="25"/>
  <c r="G239" i="25"/>
  <c r="G255" i="25"/>
  <c r="G266" i="25"/>
  <c r="G202" i="25"/>
  <c r="G138" i="25"/>
  <c r="G74" i="25"/>
  <c r="G291" i="25"/>
  <c r="G163" i="25"/>
  <c r="G25" i="25"/>
  <c r="G22" i="25"/>
  <c r="G27" i="25"/>
  <c r="G15" i="25"/>
  <c r="G174" i="25"/>
  <c r="G248" i="25"/>
  <c r="G113" i="25"/>
  <c r="G265" i="25"/>
  <c r="G60" i="25"/>
  <c r="G61" i="25"/>
  <c r="G87" i="25"/>
  <c r="G147" i="25"/>
  <c r="G232" i="25"/>
  <c r="G11" i="25"/>
  <c r="G304" i="25"/>
  <c r="G102" i="25"/>
  <c r="G288" i="25"/>
  <c r="G212" i="25"/>
  <c r="G200" i="25"/>
  <c r="G133" i="25"/>
  <c r="G145" i="25"/>
  <c r="G68" i="25"/>
  <c r="G262" i="25"/>
  <c r="G263" i="25"/>
  <c r="G290" i="25"/>
  <c r="G162" i="25"/>
  <c r="G53" i="25"/>
  <c r="G123" i="25"/>
  <c r="G34" i="25"/>
  <c r="G230" i="25"/>
  <c r="G84" i="25"/>
  <c r="G16" i="25"/>
  <c r="G296" i="25"/>
  <c r="G164" i="25"/>
  <c r="G134" i="25"/>
  <c r="G192" i="25"/>
  <c r="G118" i="25"/>
  <c r="G140" i="25"/>
  <c r="G302" i="25"/>
  <c r="G71" i="25"/>
  <c r="G218" i="25"/>
  <c r="G307" i="25"/>
  <c r="G115" i="25"/>
  <c r="G39" i="25"/>
  <c r="G309" i="25"/>
  <c r="G274" i="25"/>
  <c r="G191" i="25"/>
  <c r="G194" i="25"/>
  <c r="G99" i="25"/>
  <c r="G66" i="25"/>
  <c r="G45" i="25"/>
  <c r="G9" i="25"/>
  <c r="F41" i="48"/>
  <c r="E325" i="34"/>
  <c r="I325" i="34" s="1"/>
  <c r="E314" i="39" s="1"/>
  <c r="G314" i="39" s="1"/>
  <c r="H314" i="39" s="1"/>
  <c r="I16" i="34"/>
  <c r="H185" i="12" l="1"/>
  <c r="I185" i="12" s="1"/>
  <c r="H38" i="12"/>
  <c r="I38" i="12" s="1"/>
  <c r="H67" i="12"/>
  <c r="I67" i="12" s="1"/>
  <c r="H152" i="12"/>
  <c r="I152" i="12" s="1"/>
  <c r="H184" i="12"/>
  <c r="I184" i="12" s="1"/>
  <c r="H137" i="12"/>
  <c r="I137" i="12" s="1"/>
  <c r="H110" i="12"/>
  <c r="I110" i="12" s="1"/>
  <c r="H218" i="12"/>
  <c r="I218" i="12" s="1"/>
  <c r="H250" i="12"/>
  <c r="I250" i="12" s="1"/>
  <c r="H196" i="12"/>
  <c r="I196" i="12" s="1"/>
  <c r="H221" i="12"/>
  <c r="I221" i="12" s="1"/>
  <c r="J222" i="25" s="1"/>
  <c r="H253" i="12"/>
  <c r="I253" i="12" s="1"/>
  <c r="H308" i="12"/>
  <c r="I308" i="12" s="1"/>
  <c r="H219" i="12"/>
  <c r="I219" i="12" s="1"/>
  <c r="H203" i="12"/>
  <c r="I203" i="12" s="1"/>
  <c r="H40" i="12"/>
  <c r="I40" i="12" s="1"/>
  <c r="H231" i="12"/>
  <c r="I231" i="12" s="1"/>
  <c r="H135" i="12"/>
  <c r="I135" i="12" s="1"/>
  <c r="H113" i="12"/>
  <c r="I113" i="12" s="1"/>
  <c r="H286" i="12"/>
  <c r="I286" i="12" s="1"/>
  <c r="H211" i="12"/>
  <c r="I211" i="12" s="1"/>
  <c r="H256" i="12"/>
  <c r="I256" i="12" s="1"/>
  <c r="H26" i="12"/>
  <c r="I26" i="12" s="1"/>
  <c r="J27" i="25" s="1"/>
  <c r="H55" i="12"/>
  <c r="I55" i="12" s="1"/>
  <c r="H87" i="12"/>
  <c r="I87" i="12" s="1"/>
  <c r="H140" i="12"/>
  <c r="I140" i="12" s="1"/>
  <c r="H172" i="12"/>
  <c r="I172" i="12" s="1"/>
  <c r="J173" i="25" s="1"/>
  <c r="H125" i="12"/>
  <c r="I125" i="12" s="1"/>
  <c r="H115" i="12"/>
  <c r="I115" i="12" s="1"/>
  <c r="H201" i="12"/>
  <c r="I201" i="12" s="1"/>
  <c r="H238" i="12"/>
  <c r="I238" i="12" s="1"/>
  <c r="H239" i="12"/>
  <c r="I239" i="12" s="1"/>
  <c r="H209" i="12"/>
  <c r="I209" i="12" s="1"/>
  <c r="H241" i="12"/>
  <c r="I241" i="12" s="1"/>
  <c r="H273" i="12"/>
  <c r="I273" i="12" s="1"/>
  <c r="J274" i="25" s="1"/>
  <c r="H296" i="12"/>
  <c r="I296" i="12" s="1"/>
  <c r="H227" i="12"/>
  <c r="I227" i="12" s="1"/>
  <c r="H53" i="12"/>
  <c r="I53" i="12" s="1"/>
  <c r="H32" i="12"/>
  <c r="I32" i="12" s="1"/>
  <c r="H240" i="12"/>
  <c r="I240" i="12" s="1"/>
  <c r="H228" i="12"/>
  <c r="I228" i="12" s="1"/>
  <c r="H100" i="12"/>
  <c r="I100" i="12" s="1"/>
  <c r="H220" i="12"/>
  <c r="I220" i="12" s="1"/>
  <c r="H123" i="12"/>
  <c r="I123" i="12" s="1"/>
  <c r="H146" i="12"/>
  <c r="I146" i="12" s="1"/>
  <c r="H105" i="12"/>
  <c r="I105" i="12" s="1"/>
  <c r="H14" i="12"/>
  <c r="I14" i="12" s="1"/>
  <c r="J15" i="25" s="1"/>
  <c r="H46" i="12"/>
  <c r="I46" i="12" s="1"/>
  <c r="H75" i="12"/>
  <c r="I75" i="12" s="1"/>
  <c r="H160" i="12"/>
  <c r="I160" i="12" s="1"/>
  <c r="H192" i="12"/>
  <c r="I192" i="12" s="1"/>
  <c r="J193" i="25" s="1"/>
  <c r="H226" i="12"/>
  <c r="I226" i="12" s="1"/>
  <c r="H258" i="12"/>
  <c r="I258" i="12" s="1"/>
  <c r="H204" i="12"/>
  <c r="I204" i="12" s="1"/>
  <c r="H229" i="12"/>
  <c r="I229" i="12" s="1"/>
  <c r="H261" i="12"/>
  <c r="I261" i="12" s="1"/>
  <c r="H270" i="12"/>
  <c r="I270" i="12" s="1"/>
  <c r="H282" i="12"/>
  <c r="I282" i="12" s="1"/>
  <c r="H274" i="12"/>
  <c r="I274" i="12" s="1"/>
  <c r="J275" i="25" s="1"/>
  <c r="H236" i="12"/>
  <c r="I236" i="12" s="1"/>
  <c r="H142" i="12"/>
  <c r="I142" i="12" s="1"/>
  <c r="H162" i="12"/>
  <c r="I162" i="12" s="1"/>
  <c r="H13" i="12"/>
  <c r="I13" i="12" s="1"/>
  <c r="J14" i="25" s="1"/>
  <c r="H302" i="12"/>
  <c r="I302" i="12" s="1"/>
  <c r="H259" i="12"/>
  <c r="I259" i="12" s="1"/>
  <c r="H52" i="12"/>
  <c r="I52" i="12" s="1"/>
  <c r="H267" i="12"/>
  <c r="I267" i="12" s="1"/>
  <c r="H223" i="12"/>
  <c r="I223" i="12" s="1"/>
  <c r="H150" i="12"/>
  <c r="I150" i="12" s="1"/>
  <c r="H57" i="12"/>
  <c r="I57" i="12" s="1"/>
  <c r="H271" i="12"/>
  <c r="I271" i="12" s="1"/>
  <c r="H199" i="12"/>
  <c r="I199" i="12" s="1"/>
  <c r="H48" i="12"/>
  <c r="I48" i="12" s="1"/>
  <c r="H288" i="12"/>
  <c r="I288" i="12" s="1"/>
  <c r="H109" i="12"/>
  <c r="I109" i="12" s="1"/>
  <c r="J110" i="25" s="1"/>
  <c r="H34" i="12"/>
  <c r="I34" i="12" s="1"/>
  <c r="H98" i="12"/>
  <c r="I98" i="12" s="1"/>
  <c r="H31" i="12"/>
  <c r="I31" i="12" s="1"/>
  <c r="H63" i="12"/>
  <c r="I63" i="12" s="1"/>
  <c r="H95" i="12"/>
  <c r="I95" i="12" s="1"/>
  <c r="H148" i="12"/>
  <c r="I148" i="12" s="1"/>
  <c r="H180" i="12"/>
  <c r="I180" i="12" s="1"/>
  <c r="H133" i="12"/>
  <c r="I133" i="12" s="1"/>
  <c r="J134" i="25" s="1"/>
  <c r="H103" i="12"/>
  <c r="I103" i="12" s="1"/>
  <c r="H214" i="12"/>
  <c r="I214" i="12" s="1"/>
  <c r="H246" i="12"/>
  <c r="I246" i="12" s="1"/>
  <c r="H217" i="12"/>
  <c r="I217" i="12" s="1"/>
  <c r="J218" i="25" s="1"/>
  <c r="H249" i="12"/>
  <c r="I249" i="12" s="1"/>
  <c r="H304" i="12"/>
  <c r="I304" i="12" s="1"/>
  <c r="H251" i="12"/>
  <c r="I251" i="12" s="1"/>
  <c r="H244" i="12"/>
  <c r="I244" i="12" s="1"/>
  <c r="H166" i="12"/>
  <c r="I166" i="12" s="1"/>
  <c r="H73" i="12"/>
  <c r="I73" i="12" s="1"/>
  <c r="H263" i="12"/>
  <c r="I263" i="12" s="1"/>
  <c r="H36" i="12"/>
  <c r="I36" i="12" s="1"/>
  <c r="J37" i="25" s="1"/>
  <c r="H248" i="12"/>
  <c r="I248" i="12" s="1"/>
  <c r="H154" i="12"/>
  <c r="I154" i="12" s="1"/>
  <c r="H69" i="12"/>
  <c r="I69" i="12" s="1"/>
  <c r="H45" i="12"/>
  <c r="I45" i="12" s="1"/>
  <c r="J46" i="25" s="1"/>
  <c r="H207" i="12"/>
  <c r="I207" i="12" s="1"/>
  <c r="H114" i="12"/>
  <c r="I114" i="12" s="1"/>
  <c r="H178" i="12"/>
  <c r="I178" i="12" s="1"/>
  <c r="H215" i="12"/>
  <c r="I215" i="12" s="1"/>
  <c r="J216" i="25" s="1"/>
  <c r="H20" i="12"/>
  <c r="I20" i="12" s="1"/>
  <c r="H6" i="12"/>
  <c r="I6" i="12" s="1"/>
  <c r="H70" i="12"/>
  <c r="I70" i="12" s="1"/>
  <c r="H102" i="12"/>
  <c r="I102" i="12" s="1"/>
  <c r="J103" i="25" s="1"/>
  <c r="H35" i="12"/>
  <c r="I35" i="12" s="1"/>
  <c r="H120" i="12"/>
  <c r="I120" i="12" s="1"/>
  <c r="H169" i="12"/>
  <c r="I169" i="12" s="1"/>
  <c r="H285" i="12"/>
  <c r="I285" i="12" s="1"/>
  <c r="J286" i="25" s="1"/>
  <c r="H307" i="12"/>
  <c r="I307" i="12" s="1"/>
  <c r="H134" i="12"/>
  <c r="I134" i="12" s="1"/>
  <c r="H72" i="12"/>
  <c r="I72" i="12" s="1"/>
  <c r="H155" i="12"/>
  <c r="I155" i="12" s="1"/>
  <c r="H126" i="12"/>
  <c r="I126" i="12" s="1"/>
  <c r="J127" i="25" s="1"/>
  <c r="H112" i="12"/>
  <c r="I112" i="12" s="1"/>
  <c r="J113" i="25" s="1"/>
  <c r="H58" i="12"/>
  <c r="I58" i="12" s="1"/>
  <c r="H90" i="12"/>
  <c r="I90" i="12" s="1"/>
  <c r="J91" i="25" s="1"/>
  <c r="H23" i="12"/>
  <c r="I23" i="12" s="1"/>
  <c r="J24" i="25" s="1"/>
  <c r="H157" i="12"/>
  <c r="I157" i="12" s="1"/>
  <c r="H293" i="12"/>
  <c r="I293" i="12" s="1"/>
  <c r="H297" i="12"/>
  <c r="I297" i="12" s="1"/>
  <c r="H138" i="12"/>
  <c r="I138" i="12" s="1"/>
  <c r="H159" i="12"/>
  <c r="I159" i="12" s="1"/>
  <c r="J160" i="25" s="1"/>
  <c r="H64" i="12"/>
  <c r="I64" i="12" s="1"/>
  <c r="H305" i="12"/>
  <c r="I305" i="12" s="1"/>
  <c r="H179" i="12"/>
  <c r="I179" i="12" s="1"/>
  <c r="H78" i="12"/>
  <c r="I78" i="12" s="1"/>
  <c r="J79" i="25" s="1"/>
  <c r="H11" i="12"/>
  <c r="I11" i="12" s="1"/>
  <c r="H43" i="12"/>
  <c r="I43" i="12" s="1"/>
  <c r="H128" i="12"/>
  <c r="I128" i="12" s="1"/>
  <c r="H106" i="12"/>
  <c r="I106" i="12" s="1"/>
  <c r="J107" i="25" s="1"/>
  <c r="H145" i="12"/>
  <c r="I145" i="12" s="1"/>
  <c r="H177" i="12"/>
  <c r="I177" i="12" s="1"/>
  <c r="J178" i="25" s="1"/>
  <c r="H163" i="12"/>
  <c r="I163" i="12" s="1"/>
  <c r="J164" i="25" s="1"/>
  <c r="H76" i="12"/>
  <c r="I76" i="12" s="1"/>
  <c r="H96" i="12"/>
  <c r="I96" i="12" s="1"/>
  <c r="J97" i="25" s="1"/>
  <c r="H183" i="12"/>
  <c r="I183" i="12" s="1"/>
  <c r="J184" i="25" s="1"/>
  <c r="H84" i="12"/>
  <c r="I84" i="12" s="1"/>
  <c r="H175" i="12"/>
  <c r="I175" i="12" s="1"/>
  <c r="J176" i="25" s="1"/>
  <c r="H9" i="12"/>
  <c r="I9" i="12" s="1"/>
  <c r="H66" i="12"/>
  <c r="I66" i="12" s="1"/>
  <c r="J67" i="25" s="1"/>
  <c r="H165" i="12"/>
  <c r="I165" i="12" s="1"/>
  <c r="H189" i="12"/>
  <c r="I189" i="12" s="1"/>
  <c r="J190" i="25" s="1"/>
  <c r="H281" i="12"/>
  <c r="I281" i="12" s="1"/>
  <c r="H303" i="12"/>
  <c r="I303" i="12" s="1"/>
  <c r="H104" i="12"/>
  <c r="I104" i="12" s="1"/>
  <c r="J105" i="25" s="1"/>
  <c r="H167" i="12"/>
  <c r="I167" i="12" s="1"/>
  <c r="J168" i="25" s="1"/>
  <c r="H187" i="12"/>
  <c r="I187" i="12" s="1"/>
  <c r="J188" i="25" s="1"/>
  <c r="H301" i="12"/>
  <c r="I301" i="12" s="1"/>
  <c r="H283" i="12"/>
  <c r="I283" i="12" s="1"/>
  <c r="J284" i="25" s="1"/>
  <c r="H60" i="12"/>
  <c r="I60" i="12" s="1"/>
  <c r="J61" i="25" s="1"/>
  <c r="H37" i="12"/>
  <c r="I37" i="12" s="1"/>
  <c r="J38" i="25" s="1"/>
  <c r="H143" i="12"/>
  <c r="I143" i="12" s="1"/>
  <c r="J144" i="25" s="1"/>
  <c r="H22" i="12"/>
  <c r="I22" i="12" s="1"/>
  <c r="H54" i="12"/>
  <c r="I54" i="12" s="1"/>
  <c r="H83" i="12"/>
  <c r="I83" i="12" s="1"/>
  <c r="H168" i="12"/>
  <c r="I168" i="12" s="1"/>
  <c r="J169" i="25" s="1"/>
  <c r="H121" i="12"/>
  <c r="I121" i="12" s="1"/>
  <c r="H200" i="12"/>
  <c r="I200" i="12" s="1"/>
  <c r="J201" i="25" s="1"/>
  <c r="H234" i="12"/>
  <c r="I234" i="12" s="1"/>
  <c r="H266" i="12"/>
  <c r="I266" i="12" s="1"/>
  <c r="J267" i="25" s="1"/>
  <c r="H205" i="12"/>
  <c r="I205" i="12" s="1"/>
  <c r="H237" i="12"/>
  <c r="I237" i="12" s="1"/>
  <c r="H269" i="12"/>
  <c r="I269" i="12" s="1"/>
  <c r="H292" i="12"/>
  <c r="I292" i="12" s="1"/>
  <c r="J293" i="25" s="1"/>
  <c r="H294" i="12"/>
  <c r="I294" i="12" s="1"/>
  <c r="J295" i="25" s="1"/>
  <c r="H264" i="12"/>
  <c r="I264" i="12" s="1"/>
  <c r="H170" i="12"/>
  <c r="I170" i="12" s="1"/>
  <c r="H81" i="12"/>
  <c r="I81" i="12" s="1"/>
  <c r="J82" i="25" s="1"/>
  <c r="H61" i="12"/>
  <c r="I61" i="12" s="1"/>
  <c r="H276" i="12"/>
  <c r="I276" i="12" s="1"/>
  <c r="H190" i="12"/>
  <c r="I190" i="12" s="1"/>
  <c r="H8" i="12"/>
  <c r="I8" i="12" s="1"/>
  <c r="H252" i="12"/>
  <c r="I252" i="12" s="1"/>
  <c r="J253" i="25" s="1"/>
  <c r="H158" i="12"/>
  <c r="I158" i="12" s="1"/>
  <c r="H29" i="12"/>
  <c r="I29" i="12" s="1"/>
  <c r="H24" i="12"/>
  <c r="I24" i="12" s="1"/>
  <c r="J25" i="25" s="1"/>
  <c r="H10" i="12"/>
  <c r="I10" i="12" s="1"/>
  <c r="H42" i="12"/>
  <c r="I42" i="12" s="1"/>
  <c r="J43" i="25" s="1"/>
  <c r="H71" i="12"/>
  <c r="I71" i="12" s="1"/>
  <c r="J72" i="25" s="1"/>
  <c r="H124" i="12"/>
  <c r="I124" i="12" s="1"/>
  <c r="J125" i="25" s="1"/>
  <c r="H156" i="12"/>
  <c r="I156" i="12" s="1"/>
  <c r="H188" i="12"/>
  <c r="I188" i="12" s="1"/>
  <c r="J189" i="25" s="1"/>
  <c r="H111" i="12"/>
  <c r="I111" i="12" s="1"/>
  <c r="H222" i="12"/>
  <c r="I222" i="12" s="1"/>
  <c r="J223" i="25" s="1"/>
  <c r="H254" i="12"/>
  <c r="I254" i="12" s="1"/>
  <c r="H197" i="12"/>
  <c r="I197" i="12" s="1"/>
  <c r="J198" i="25" s="1"/>
  <c r="H225" i="12"/>
  <c r="I225" i="12" s="1"/>
  <c r="H257" i="12"/>
  <c r="I257" i="12" s="1"/>
  <c r="J258" i="25" s="1"/>
  <c r="H312" i="12"/>
  <c r="I312" i="12" s="1"/>
  <c r="J313" i="25" s="1"/>
  <c r="H268" i="12"/>
  <c r="I268" i="12" s="1"/>
  <c r="H174" i="12"/>
  <c r="I174" i="12" s="1"/>
  <c r="H44" i="12"/>
  <c r="I44" i="12" s="1"/>
  <c r="J45" i="25" s="1"/>
  <c r="H306" i="12"/>
  <c r="I306" i="12" s="1"/>
  <c r="J307" i="25" s="1"/>
  <c r="H195" i="12"/>
  <c r="I195" i="12" s="1"/>
  <c r="J196" i="25" s="1"/>
  <c r="H89" i="12"/>
  <c r="I89" i="12" s="1"/>
  <c r="H310" i="12"/>
  <c r="I310" i="12" s="1"/>
  <c r="J311" i="25" s="1"/>
  <c r="H260" i="12"/>
  <c r="I260" i="12" s="1"/>
  <c r="H182" i="12"/>
  <c r="I182" i="12" s="1"/>
  <c r="H117" i="12"/>
  <c r="I117" i="12" s="1"/>
  <c r="J118" i="25" s="1"/>
  <c r="H85" i="12"/>
  <c r="I85" i="12" s="1"/>
  <c r="H224" i="12"/>
  <c r="I224" i="12" s="1"/>
  <c r="H101" i="12"/>
  <c r="I101" i="12" s="1"/>
  <c r="J102" i="25" s="1"/>
  <c r="H30" i="12"/>
  <c r="I30" i="12" s="1"/>
  <c r="H27" i="12"/>
  <c r="I27" i="12" s="1"/>
  <c r="J28" i="25" s="1"/>
  <c r="H59" i="12"/>
  <c r="I59" i="12" s="1"/>
  <c r="H91" i="12"/>
  <c r="I91" i="12" s="1"/>
  <c r="J92" i="25" s="1"/>
  <c r="H144" i="12"/>
  <c r="I144" i="12" s="1"/>
  <c r="J145" i="25" s="1"/>
  <c r="H176" i="12"/>
  <c r="I176" i="12" s="1"/>
  <c r="H129" i="12"/>
  <c r="I129" i="12" s="1"/>
  <c r="J130" i="25" s="1"/>
  <c r="H99" i="12"/>
  <c r="I99" i="12" s="1"/>
  <c r="H210" i="12"/>
  <c r="I210" i="12" s="1"/>
  <c r="J211" i="25" s="1"/>
  <c r="H242" i="12"/>
  <c r="I242" i="12" s="1"/>
  <c r="J243" i="25" s="1"/>
  <c r="H243" i="12"/>
  <c r="I243" i="12" s="1"/>
  <c r="J244" i="25" s="1"/>
  <c r="H213" i="12"/>
  <c r="I213" i="12" s="1"/>
  <c r="H245" i="12"/>
  <c r="I245" i="12" s="1"/>
  <c r="J246" i="25" s="1"/>
  <c r="H300" i="12"/>
  <c r="I300" i="12" s="1"/>
  <c r="J301" i="25" s="1"/>
  <c r="H278" i="12"/>
  <c r="I278" i="12" s="1"/>
  <c r="H198" i="12"/>
  <c r="I198" i="12" s="1"/>
  <c r="J199" i="25" s="1"/>
  <c r="H17" i="12"/>
  <c r="I17" i="12" s="1"/>
  <c r="J18" i="25" s="1"/>
  <c r="H206" i="12"/>
  <c r="I206" i="12" s="1"/>
  <c r="J207" i="25" s="1"/>
  <c r="H202" i="12"/>
  <c r="I202" i="12" s="1"/>
  <c r="J203" i="25" s="1"/>
  <c r="H127" i="12"/>
  <c r="I127" i="12" s="1"/>
  <c r="J128" i="25" s="1"/>
  <c r="H65" i="12"/>
  <c r="I65" i="12" s="1"/>
  <c r="J66" i="25" s="1"/>
  <c r="H28" i="12"/>
  <c r="I28" i="12" s="1"/>
  <c r="J29" i="25" s="1"/>
  <c r="H275" i="12"/>
  <c r="I275" i="12" s="1"/>
  <c r="J276" i="25" s="1"/>
  <c r="H186" i="12"/>
  <c r="I186" i="12" s="1"/>
  <c r="H93" i="12"/>
  <c r="I93" i="12" s="1"/>
  <c r="J94" i="25" s="1"/>
  <c r="H77" i="12"/>
  <c r="I77" i="12" s="1"/>
  <c r="J78" i="25" s="1"/>
  <c r="H298" i="12"/>
  <c r="I298" i="12" s="1"/>
  <c r="H232" i="12"/>
  <c r="I232" i="12" s="1"/>
  <c r="H255" i="12"/>
  <c r="I255" i="12" s="1"/>
  <c r="H139" i="12"/>
  <c r="I139" i="12" s="1"/>
  <c r="J140" i="25" s="1"/>
  <c r="H212" i="12"/>
  <c r="I212" i="12" s="1"/>
  <c r="J213" i="25" s="1"/>
  <c r="H18" i="12"/>
  <c r="I18" i="12" s="1"/>
  <c r="J19" i="25" s="1"/>
  <c r="H50" i="12"/>
  <c r="I50" i="12" s="1"/>
  <c r="H47" i="12"/>
  <c r="I47" i="12" s="1"/>
  <c r="J48" i="25" s="1"/>
  <c r="H79" i="12"/>
  <c r="I79" i="12" s="1"/>
  <c r="J80" i="25" s="1"/>
  <c r="H132" i="12"/>
  <c r="I132" i="12" s="1"/>
  <c r="J133" i="25" s="1"/>
  <c r="H164" i="12"/>
  <c r="I164" i="12" s="1"/>
  <c r="H107" i="12"/>
  <c r="I107" i="12" s="1"/>
  <c r="J108" i="25" s="1"/>
  <c r="H230" i="12"/>
  <c r="I230" i="12" s="1"/>
  <c r="H262" i="12"/>
  <c r="I262" i="12" s="1"/>
  <c r="H208" i="12"/>
  <c r="I208" i="12" s="1"/>
  <c r="J209" i="25" s="1"/>
  <c r="H233" i="12"/>
  <c r="I233" i="12" s="1"/>
  <c r="J234" i="25" s="1"/>
  <c r="H265" i="12"/>
  <c r="I265" i="12" s="1"/>
  <c r="H284" i="12"/>
  <c r="I284" i="12" s="1"/>
  <c r="J285" i="25" s="1"/>
  <c r="H290" i="12"/>
  <c r="I290" i="12" s="1"/>
  <c r="J291" i="25" s="1"/>
  <c r="H116" i="12"/>
  <c r="I116" i="12" s="1"/>
  <c r="J117" i="25" s="1"/>
  <c r="H130" i="12"/>
  <c r="I130" i="12" s="1"/>
  <c r="H97" i="12"/>
  <c r="I97" i="12" s="1"/>
  <c r="J98" i="25" s="1"/>
  <c r="H280" i="12"/>
  <c r="I280" i="12" s="1"/>
  <c r="J281" i="25" s="1"/>
  <c r="H216" i="12"/>
  <c r="I216" i="12" s="1"/>
  <c r="J217" i="25" s="1"/>
  <c r="H131" i="12"/>
  <c r="I131" i="12" s="1"/>
  <c r="J132" i="25" s="1"/>
  <c r="H235" i="12"/>
  <c r="I235" i="12" s="1"/>
  <c r="J236" i="25" s="1"/>
  <c r="H194" i="12"/>
  <c r="I194" i="12" s="1"/>
  <c r="J195" i="25" s="1"/>
  <c r="H119" i="12"/>
  <c r="I119" i="12" s="1"/>
  <c r="J120" i="25" s="1"/>
  <c r="H56" i="12"/>
  <c r="I56" i="12" s="1"/>
  <c r="J57" i="25" s="1"/>
  <c r="H49" i="12"/>
  <c r="I49" i="12" s="1"/>
  <c r="J50" i="25" s="1"/>
  <c r="H12" i="12"/>
  <c r="I12" i="12" s="1"/>
  <c r="J13" i="25" s="1"/>
  <c r="H16" i="12"/>
  <c r="I16" i="12" s="1"/>
  <c r="J17" i="25" s="1"/>
  <c r="H272" i="12"/>
  <c r="I272" i="12" s="1"/>
  <c r="J273" i="25" s="1"/>
  <c r="H86" i="12"/>
  <c r="I86" i="12" s="1"/>
  <c r="J87" i="25" s="1"/>
  <c r="H19" i="12"/>
  <c r="I19" i="12" s="1"/>
  <c r="J20" i="25" s="1"/>
  <c r="H51" i="12"/>
  <c r="I51" i="12" s="1"/>
  <c r="J52" i="25" s="1"/>
  <c r="H136" i="12"/>
  <c r="I136" i="12" s="1"/>
  <c r="J137" i="25" s="1"/>
  <c r="H153" i="12"/>
  <c r="I153" i="12" s="1"/>
  <c r="H309" i="12"/>
  <c r="I309" i="12" s="1"/>
  <c r="J310" i="25" s="1"/>
  <c r="H291" i="12"/>
  <c r="I291" i="12" s="1"/>
  <c r="J292" i="25" s="1"/>
  <c r="H92" i="12"/>
  <c r="I92" i="12" s="1"/>
  <c r="J93" i="25" s="1"/>
  <c r="H74" i="12"/>
  <c r="I74" i="12" s="1"/>
  <c r="J75" i="25" s="1"/>
  <c r="H7" i="12"/>
  <c r="I7" i="12" s="1"/>
  <c r="J8" i="25" s="1"/>
  <c r="H39" i="12"/>
  <c r="I39" i="12" s="1"/>
  <c r="J40" i="25" s="1"/>
  <c r="H141" i="12"/>
  <c r="I141" i="12" s="1"/>
  <c r="J142" i="25" s="1"/>
  <c r="H173" i="12"/>
  <c r="I173" i="12" s="1"/>
  <c r="J174" i="25" s="1"/>
  <c r="H289" i="12"/>
  <c r="I289" i="12" s="1"/>
  <c r="J290" i="25" s="1"/>
  <c r="H311" i="12"/>
  <c r="I311" i="12" s="1"/>
  <c r="H191" i="12"/>
  <c r="I191" i="12" s="1"/>
  <c r="J192" i="25" s="1"/>
  <c r="H279" i="12"/>
  <c r="I279" i="12" s="1"/>
  <c r="H122" i="12"/>
  <c r="I122" i="12" s="1"/>
  <c r="J123" i="25" s="1"/>
  <c r="H62" i="12"/>
  <c r="I62" i="12" s="1"/>
  <c r="J63" i="25" s="1"/>
  <c r="H94" i="12"/>
  <c r="I94" i="12" s="1"/>
  <c r="J95" i="25" s="1"/>
  <c r="H161" i="12"/>
  <c r="I161" i="12" s="1"/>
  <c r="J162" i="25" s="1"/>
  <c r="H277" i="12"/>
  <c r="I277" i="12" s="1"/>
  <c r="J278" i="25" s="1"/>
  <c r="H299" i="12"/>
  <c r="I299" i="12" s="1"/>
  <c r="J300" i="25" s="1"/>
  <c r="H295" i="12"/>
  <c r="I295" i="12" s="1"/>
  <c r="J296" i="25" s="1"/>
  <c r="H108" i="12"/>
  <c r="I108" i="12" s="1"/>
  <c r="J109" i="25" s="1"/>
  <c r="H147" i="12"/>
  <c r="I147" i="12" s="1"/>
  <c r="J148" i="25" s="1"/>
  <c r="H88" i="12"/>
  <c r="I88" i="12" s="1"/>
  <c r="H68" i="12"/>
  <c r="I68" i="12" s="1"/>
  <c r="J69" i="25" s="1"/>
  <c r="H33" i="12"/>
  <c r="I33" i="12" s="1"/>
  <c r="H82" i="12"/>
  <c r="I82" i="12" s="1"/>
  <c r="J83" i="25" s="1"/>
  <c r="H15" i="12"/>
  <c r="I15" i="12" s="1"/>
  <c r="J16" i="25" s="1"/>
  <c r="H149" i="12"/>
  <c r="I149" i="12" s="1"/>
  <c r="J150" i="25" s="1"/>
  <c r="H181" i="12"/>
  <c r="I181" i="12" s="1"/>
  <c r="J182" i="25" s="1"/>
  <c r="H193" i="12"/>
  <c r="I193" i="12" s="1"/>
  <c r="J194" i="25" s="1"/>
  <c r="H313" i="12"/>
  <c r="I313" i="12" s="1"/>
  <c r="J314" i="25" s="1"/>
  <c r="H287" i="12"/>
  <c r="I287" i="12" s="1"/>
  <c r="J288" i="25" s="1"/>
  <c r="H41" i="12"/>
  <c r="I41" i="12" s="1"/>
  <c r="J42" i="25" s="1"/>
  <c r="H25" i="12"/>
  <c r="I25" i="12" s="1"/>
  <c r="J26" i="25" s="1"/>
  <c r="H21" i="12"/>
  <c r="I21" i="12" s="1"/>
  <c r="J22" i="25" s="1"/>
  <c r="H247" i="12"/>
  <c r="I247" i="12" s="1"/>
  <c r="J248" i="25" s="1"/>
  <c r="H151" i="12"/>
  <c r="I151" i="12" s="1"/>
  <c r="J152" i="25" s="1"/>
  <c r="H171" i="12"/>
  <c r="I171" i="12" s="1"/>
  <c r="J172" i="25" s="1"/>
  <c r="H118" i="12"/>
  <c r="I118" i="12" s="1"/>
  <c r="J119" i="25" s="1"/>
  <c r="H80" i="12"/>
  <c r="I80" i="12" s="1"/>
  <c r="J81" i="25" s="1"/>
  <c r="J158" i="25"/>
  <c r="J76" i="25"/>
  <c r="J139" i="25"/>
  <c r="J303" i="25"/>
  <c r="J261" i="25"/>
  <c r="J41" i="25"/>
  <c r="J212" i="25"/>
  <c r="J241" i="25"/>
  <c r="J146" i="25"/>
  <c r="J32" i="25"/>
  <c r="J100" i="25"/>
  <c r="J30" i="25"/>
  <c r="J104" i="25"/>
  <c r="J141" i="25"/>
  <c r="J255" i="25"/>
  <c r="J259" i="25"/>
  <c r="J114" i="25"/>
  <c r="J210" i="25"/>
  <c r="J115" i="25"/>
  <c r="J126" i="25"/>
  <c r="J157" i="25"/>
  <c r="J271" i="25"/>
  <c r="J68" i="25"/>
  <c r="J131" i="25"/>
  <c r="J265" i="25"/>
  <c r="J74" i="25"/>
  <c r="J235" i="25"/>
  <c r="J270" i="25"/>
  <c r="J177" i="25"/>
  <c r="J240" i="25"/>
  <c r="J163" i="25"/>
  <c r="J268" i="25"/>
  <c r="J206" i="25"/>
  <c r="J151" i="25"/>
  <c r="J304" i="25"/>
  <c r="J228" i="25"/>
  <c r="J106" i="25"/>
  <c r="J302" i="25"/>
  <c r="J47" i="25"/>
  <c r="J245" i="25"/>
  <c r="J181" i="25"/>
  <c r="J224" i="25"/>
  <c r="J299" i="25"/>
  <c r="J138" i="25"/>
  <c r="J305" i="25"/>
  <c r="J215" i="25"/>
  <c r="J220" i="25"/>
  <c r="J96" i="25"/>
  <c r="J247" i="25"/>
  <c r="J251" i="25"/>
  <c r="J49" i="25"/>
  <c r="J230" i="25"/>
  <c r="J312" i="25"/>
  <c r="J135" i="25"/>
  <c r="J191" i="25"/>
  <c r="J111" i="25"/>
  <c r="J116" i="25"/>
  <c r="J298" i="25"/>
  <c r="J65" i="25"/>
  <c r="J186" i="25"/>
  <c r="J59" i="25"/>
  <c r="J232" i="25"/>
  <c r="J254" i="25"/>
  <c r="J64" i="25"/>
  <c r="J101" i="25"/>
  <c r="J219" i="25"/>
  <c r="J249" i="25"/>
  <c r="J175" i="25"/>
  <c r="J226" i="25"/>
  <c r="J202" i="25"/>
  <c r="J308" i="25"/>
  <c r="J205" i="25"/>
  <c r="J262" i="25"/>
  <c r="J85" i="25"/>
  <c r="J179" i="25"/>
  <c r="J221" i="25"/>
  <c r="J250" i="25"/>
  <c r="J170" i="25"/>
  <c r="J62" i="25"/>
  <c r="J11" i="25"/>
  <c r="J287" i="25"/>
  <c r="J89" i="25"/>
  <c r="J10" i="25"/>
  <c r="J306" i="25"/>
  <c r="J225" i="25"/>
  <c r="J269" i="25"/>
  <c r="J197" i="25"/>
  <c r="J35" i="25"/>
  <c r="J7" i="25"/>
  <c r="J280" i="25"/>
  <c r="J227" i="25"/>
  <c r="J33" i="25"/>
  <c r="J257" i="25"/>
  <c r="J112" i="25"/>
  <c r="J149" i="25"/>
  <c r="J263" i="25"/>
  <c r="J154" i="25"/>
  <c r="J143" i="25"/>
  <c r="J21" i="25"/>
  <c r="J60" i="25"/>
  <c r="J208" i="25"/>
  <c r="J272" i="25"/>
  <c r="J165" i="25"/>
  <c r="J279" i="25"/>
  <c r="J153" i="25"/>
  <c r="J183" i="25"/>
  <c r="J237" i="25"/>
  <c r="J136" i="25"/>
  <c r="J121" i="25"/>
  <c r="J155" i="25"/>
  <c r="J260" i="25"/>
  <c r="J167" i="25"/>
  <c r="J231" i="25"/>
  <c r="J44" i="25"/>
  <c r="J166" i="25"/>
  <c r="J180" i="25"/>
  <c r="J90" i="25"/>
  <c r="J283" i="25"/>
  <c r="J159" i="25"/>
  <c r="J12" i="25"/>
  <c r="J264" i="25"/>
  <c r="J294" i="25"/>
  <c r="J185" i="25"/>
  <c r="J309" i="25"/>
  <c r="J53" i="25"/>
  <c r="J84" i="25"/>
  <c r="J147" i="25"/>
  <c r="J9" i="25"/>
  <c r="J23" i="25"/>
  <c r="J88" i="25"/>
  <c r="J239" i="25"/>
  <c r="J54" i="25"/>
  <c r="J36" i="25"/>
  <c r="J99" i="25"/>
  <c r="J204" i="25"/>
  <c r="J289" i="25"/>
  <c r="J277" i="25"/>
  <c r="J77" i="25"/>
  <c r="J129" i="25"/>
  <c r="J297" i="25"/>
  <c r="J51" i="25"/>
  <c r="J200" i="25"/>
  <c r="J73" i="25"/>
  <c r="J56" i="25"/>
  <c r="J124" i="25"/>
  <c r="J187" i="25"/>
  <c r="J229" i="25"/>
  <c r="J256" i="25"/>
  <c r="J233" i="25"/>
  <c r="J39" i="25"/>
  <c r="J122" i="25"/>
  <c r="J161" i="25"/>
  <c r="J34" i="25"/>
  <c r="J266" i="25"/>
  <c r="J58" i="25"/>
  <c r="J252" i="25"/>
  <c r="J282" i="25"/>
  <c r="J156" i="25"/>
  <c r="J214" i="25"/>
  <c r="J171" i="25"/>
  <c r="J55" i="25"/>
  <c r="J71" i="25"/>
  <c r="J86" i="25"/>
  <c r="J242" i="25"/>
  <c r="J238" i="25"/>
  <c r="J70" i="25"/>
  <c r="I191" i="25"/>
  <c r="I9" i="25"/>
  <c r="I194" i="25"/>
  <c r="I39" i="25"/>
  <c r="I140" i="25"/>
  <c r="I164" i="25"/>
  <c r="I230" i="25"/>
  <c r="I162" i="25"/>
  <c r="I68" i="25"/>
  <c r="I212" i="25"/>
  <c r="I147" i="25"/>
  <c r="I265" i="25"/>
  <c r="I22" i="25"/>
  <c r="I255" i="25"/>
  <c r="I20" i="25"/>
  <c r="I161" i="25"/>
  <c r="I204" i="25"/>
  <c r="I37" i="25"/>
  <c r="I231" i="25"/>
  <c r="I180" i="25"/>
  <c r="I43" i="25"/>
  <c r="I89" i="25"/>
  <c r="I188" i="25"/>
  <c r="I284" i="25"/>
  <c r="I283" i="25"/>
  <c r="I111" i="25"/>
  <c r="I214" i="25"/>
  <c r="I29" i="25"/>
  <c r="I19" i="25"/>
  <c r="I33" i="25"/>
  <c r="I171" i="25"/>
  <c r="I299" i="25"/>
  <c r="I146" i="25"/>
  <c r="I311" i="25"/>
  <c r="I270" i="25"/>
  <c r="I233" i="25"/>
  <c r="I92" i="25"/>
  <c r="I158" i="25"/>
  <c r="I40" i="25"/>
  <c r="I198" i="25"/>
  <c r="I205" i="25"/>
  <c r="I8" i="25"/>
  <c r="I176" i="25"/>
  <c r="I120" i="25"/>
  <c r="I220" i="25"/>
  <c r="I18" i="25"/>
  <c r="I119" i="25"/>
  <c r="I219" i="25"/>
  <c r="I35" i="25"/>
  <c r="I90" i="25"/>
  <c r="I286" i="25"/>
  <c r="I141" i="25"/>
  <c r="I181" i="25"/>
  <c r="I257" i="25"/>
  <c r="I86" i="25"/>
  <c r="I221" i="25"/>
  <c r="I54" i="25"/>
  <c r="I98" i="25"/>
  <c r="I223" i="25"/>
  <c r="I241" i="25"/>
  <c r="I70" i="25"/>
  <c r="I124" i="25"/>
  <c r="I211" i="25"/>
  <c r="I78" i="25"/>
  <c r="I261" i="25"/>
  <c r="I109" i="25"/>
  <c r="I305" i="25"/>
  <c r="I59" i="25"/>
  <c r="I67" i="25"/>
  <c r="I195" i="25"/>
  <c r="I58" i="25"/>
  <c r="I170" i="25"/>
  <c r="I298" i="25"/>
  <c r="I295" i="25"/>
  <c r="I271" i="25"/>
  <c r="I222" i="25"/>
  <c r="I206" i="25"/>
  <c r="I76" i="25"/>
  <c r="I244" i="25"/>
  <c r="I165" i="25"/>
  <c r="I197" i="25"/>
  <c r="I254" i="25"/>
  <c r="I168" i="25"/>
  <c r="I172" i="25"/>
  <c r="I209" i="25"/>
  <c r="I42" i="25"/>
  <c r="I149" i="25"/>
  <c r="I227" i="25"/>
  <c r="I55" i="25"/>
  <c r="I13" i="25"/>
  <c r="I139" i="25"/>
  <c r="I267" i="25"/>
  <c r="I114" i="25"/>
  <c r="I242" i="25"/>
  <c r="I167" i="25"/>
  <c r="I127" i="25"/>
  <c r="I279" i="25"/>
  <c r="I238" i="25"/>
  <c r="I292" i="25"/>
  <c r="I182" i="25"/>
  <c r="I77" i="25"/>
  <c r="I72" i="25"/>
  <c r="I56" i="25"/>
  <c r="I62" i="25"/>
  <c r="I101" i="25"/>
  <c r="I273" i="25"/>
  <c r="I23" i="25"/>
  <c r="I91" i="25"/>
  <c r="I155" i="25"/>
  <c r="I289" i="25"/>
  <c r="I14" i="25"/>
  <c r="I83" i="25"/>
  <c r="I122" i="25"/>
  <c r="I250" i="25"/>
  <c r="I199" i="25"/>
  <c r="I260" i="25"/>
  <c r="I48" i="25"/>
  <c r="I156" i="25"/>
  <c r="I52" i="25"/>
  <c r="I115" i="25"/>
  <c r="I66" i="25"/>
  <c r="I274" i="25"/>
  <c r="I307" i="25"/>
  <c r="I71" i="25"/>
  <c r="I192" i="25"/>
  <c r="I16" i="25"/>
  <c r="I123" i="25"/>
  <c r="I263" i="25"/>
  <c r="I133" i="25"/>
  <c r="I102" i="25"/>
  <c r="I61" i="25"/>
  <c r="I248" i="25"/>
  <c r="I15" i="25"/>
  <c r="I163" i="25"/>
  <c r="I202" i="25"/>
  <c r="I151" i="25"/>
  <c r="I128" i="25"/>
  <c r="I313" i="25"/>
  <c r="I129" i="25"/>
  <c r="I116" i="25"/>
  <c r="I110" i="25"/>
  <c r="I312" i="25"/>
  <c r="I154" i="25"/>
  <c r="I217" i="25"/>
  <c r="I93" i="25"/>
  <c r="I125" i="25"/>
  <c r="I226" i="25"/>
  <c r="I64" i="25"/>
  <c r="I69" i="25"/>
  <c r="I11" i="25"/>
  <c r="I74" i="25"/>
  <c r="I237" i="25"/>
  <c r="I278" i="25"/>
  <c r="I143" i="25"/>
  <c r="I293" i="25"/>
  <c r="I300" i="25"/>
  <c r="I99" i="25"/>
  <c r="I218" i="25"/>
  <c r="I118" i="25"/>
  <c r="I296" i="25"/>
  <c r="I53" i="25"/>
  <c r="I200" i="25"/>
  <c r="I304" i="25"/>
  <c r="I87" i="25"/>
  <c r="I113" i="25"/>
  <c r="I27" i="25"/>
  <c r="I291" i="25"/>
  <c r="I138" i="25"/>
  <c r="I266" i="25"/>
  <c r="I239" i="25"/>
  <c r="I281" i="25"/>
  <c r="I236" i="25"/>
  <c r="I229" i="25"/>
  <c r="I49" i="25"/>
  <c r="I184" i="25"/>
  <c r="I96" i="25"/>
  <c r="I57" i="25"/>
  <c r="I105" i="25"/>
  <c r="I213" i="25"/>
  <c r="I30" i="25"/>
  <c r="I243" i="25"/>
  <c r="I207" i="25"/>
  <c r="I216" i="25"/>
  <c r="I264" i="25"/>
  <c r="I240" i="25"/>
  <c r="I24" i="25"/>
  <c r="I251" i="25"/>
  <c r="I63" i="25"/>
  <c r="I36" i="25"/>
  <c r="I208" i="25"/>
  <c r="I144" i="25"/>
  <c r="I46" i="25"/>
  <c r="I169" i="25"/>
  <c r="I276" i="25"/>
  <c r="I297" i="25"/>
  <c r="I175" i="25"/>
  <c r="I31" i="25"/>
  <c r="I107" i="25"/>
  <c r="I235" i="25"/>
  <c r="I82" i="25"/>
  <c r="I287" i="25"/>
  <c r="I215" i="25"/>
  <c r="I183" i="25"/>
  <c r="I85" i="25"/>
  <c r="I44" i="25"/>
  <c r="I256" i="25"/>
  <c r="I112" i="25"/>
  <c r="I88" i="25"/>
  <c r="I301" i="25"/>
  <c r="I252" i="25"/>
  <c r="I157" i="25"/>
  <c r="I148" i="25"/>
  <c r="I130" i="25"/>
  <c r="I269" i="25"/>
  <c r="I179" i="25"/>
  <c r="I153" i="25"/>
  <c r="I94" i="25"/>
  <c r="I196" i="25"/>
  <c r="I166" i="25"/>
  <c r="I132" i="25"/>
  <c r="I187" i="25"/>
  <c r="I103" i="25"/>
  <c r="I80" i="25"/>
  <c r="I12" i="25"/>
  <c r="I190" i="25"/>
  <c r="I26" i="25"/>
  <c r="I225" i="25"/>
  <c r="I310" i="25"/>
  <c r="I32" i="25"/>
  <c r="I308" i="25"/>
  <c r="I97" i="25"/>
  <c r="I47" i="25"/>
  <c r="I38" i="25"/>
  <c r="I131" i="25"/>
  <c r="I259" i="25"/>
  <c r="I106" i="25"/>
  <c r="I234" i="25"/>
  <c r="I135" i="25"/>
  <c r="I95" i="25"/>
  <c r="I294" i="25"/>
  <c r="I280" i="25"/>
  <c r="I121" i="25"/>
  <c r="I81" i="25"/>
  <c r="I246" i="25"/>
  <c r="I136" i="25"/>
  <c r="I28" i="25"/>
  <c r="I193" i="25"/>
  <c r="I126" i="25"/>
  <c r="I249" i="25"/>
  <c r="I228" i="25"/>
  <c r="I21" i="25"/>
  <c r="I152" i="25"/>
  <c r="I258" i="25"/>
  <c r="I75" i="25"/>
  <c r="I203" i="25"/>
  <c r="I41" i="25"/>
  <c r="I178" i="25"/>
  <c r="I306" i="25"/>
  <c r="I79" i="25"/>
  <c r="I303" i="25"/>
  <c r="I224" i="25"/>
  <c r="I189" i="25"/>
  <c r="I142" i="25"/>
  <c r="I108" i="25"/>
  <c r="I73" i="25"/>
  <c r="I65" i="25"/>
  <c r="I185" i="25"/>
  <c r="I104" i="25"/>
  <c r="I100" i="25"/>
  <c r="I173" i="25"/>
  <c r="I50" i="25"/>
  <c r="I160" i="25"/>
  <c r="I247" i="25"/>
  <c r="I7" i="25"/>
  <c r="I17" i="25"/>
  <c r="I275" i="25"/>
  <c r="I186" i="25"/>
  <c r="I159" i="25"/>
  <c r="I117" i="25"/>
  <c r="I245" i="25"/>
  <c r="I150" i="25"/>
  <c r="I45" i="25"/>
  <c r="I309" i="25"/>
  <c r="I302" i="25"/>
  <c r="I134" i="25"/>
  <c r="I84" i="25"/>
  <c r="I34" i="25"/>
  <c r="I145" i="25"/>
  <c r="I232" i="25"/>
  <c r="I60" i="25"/>
  <c r="I174" i="25"/>
  <c r="I25" i="25"/>
  <c r="I137" i="25"/>
  <c r="I290" i="25"/>
  <c r="I262" i="25"/>
  <c r="I288" i="25"/>
  <c r="I277" i="25"/>
  <c r="I268" i="25"/>
  <c r="I272" i="25"/>
  <c r="I201" i="25"/>
  <c r="I210" i="25"/>
  <c r="I282" i="25"/>
  <c r="I51" i="25"/>
  <c r="I285" i="25"/>
  <c r="I10" i="25"/>
  <c r="I177" i="25"/>
  <c r="I314" i="25"/>
  <c r="I253" i="25"/>
  <c r="J31" i="25"/>
  <c r="E5" i="12"/>
  <c r="G5" i="12" s="1"/>
  <c r="E5" i="39"/>
  <c r="G5" i="39" s="1"/>
  <c r="E314" i="12"/>
  <c r="G314" i="12" s="1"/>
  <c r="J314" i="12" s="1"/>
  <c r="C4" i="34"/>
  <c r="C10" i="34" s="1"/>
  <c r="C11" i="34" s="1"/>
  <c r="G315" i="25"/>
  <c r="G6" i="25"/>
  <c r="J205" i="12" l="1"/>
  <c r="J51" i="12"/>
  <c r="J301" i="12"/>
  <c r="J249" i="12"/>
  <c r="J270" i="12"/>
  <c r="J216" i="12"/>
  <c r="J265" i="12"/>
  <c r="J99" i="12"/>
  <c r="J174" i="12"/>
  <c r="J62" i="12"/>
  <c r="J49" i="12"/>
  <c r="J213" i="12"/>
  <c r="J85" i="12"/>
  <c r="J190" i="12"/>
  <c r="J26" i="12"/>
  <c r="J255" i="12"/>
  <c r="J89" i="12"/>
  <c r="J264" i="12"/>
  <c r="J269" i="12"/>
  <c r="J192" i="12"/>
  <c r="J239" i="12"/>
  <c r="J137" i="12"/>
  <c r="J47" i="12"/>
  <c r="J59" i="12"/>
  <c r="J197" i="12"/>
  <c r="J170" i="12"/>
  <c r="J237" i="12"/>
  <c r="J266" i="12"/>
  <c r="J70" i="12"/>
  <c r="J207" i="12"/>
  <c r="J223" i="12"/>
  <c r="J282" i="12"/>
  <c r="J105" i="12"/>
  <c r="J32" i="12"/>
  <c r="J201" i="12"/>
  <c r="J211" i="12"/>
  <c r="J135" i="12"/>
  <c r="J203" i="12"/>
  <c r="J119" i="12"/>
  <c r="J278" i="12"/>
  <c r="J182" i="12"/>
  <c r="J188" i="12"/>
  <c r="J167" i="12"/>
  <c r="J281" i="12"/>
  <c r="J43" i="12"/>
  <c r="J178" i="12"/>
  <c r="J180" i="12"/>
  <c r="J80" i="12"/>
  <c r="J151" i="12"/>
  <c r="J10" i="12"/>
  <c r="J158" i="12"/>
  <c r="J200" i="12"/>
  <c r="J64" i="12"/>
  <c r="J251" i="12"/>
  <c r="J52" i="12"/>
  <c r="J258" i="12"/>
  <c r="J227" i="12"/>
  <c r="J55" i="12"/>
  <c r="J171" i="12"/>
  <c r="J247" i="12"/>
  <c r="J25" i="12"/>
  <c r="J287" i="12"/>
  <c r="J193" i="12"/>
  <c r="J149" i="12"/>
  <c r="J82" i="12"/>
  <c r="J68" i="12"/>
  <c r="J147" i="12"/>
  <c r="J295" i="12"/>
  <c r="J277" i="12"/>
  <c r="J94" i="12"/>
  <c r="J122" i="12"/>
  <c r="J191" i="12"/>
  <c r="J289" i="12"/>
  <c r="J141" i="12"/>
  <c r="J7" i="12"/>
  <c r="J92" i="12"/>
  <c r="J309" i="12"/>
  <c r="J136" i="12"/>
  <c r="J19" i="12"/>
  <c r="J272" i="12"/>
  <c r="J12" i="12"/>
  <c r="J56" i="12"/>
  <c r="J194" i="12"/>
  <c r="J131" i="12"/>
  <c r="J280" i="12"/>
  <c r="J130" i="12"/>
  <c r="J290" i="12"/>
  <c r="J208" i="12"/>
  <c r="J230" i="12"/>
  <c r="J164" i="12"/>
  <c r="J79" i="12"/>
  <c r="J50" i="12"/>
  <c r="J212" i="12"/>
  <c r="J298" i="12"/>
  <c r="J93" i="12"/>
  <c r="J275" i="12"/>
  <c r="J65" i="12"/>
  <c r="J202" i="12"/>
  <c r="J17" i="12"/>
  <c r="J245" i="12"/>
  <c r="J243" i="12"/>
  <c r="J210" i="12"/>
  <c r="J129" i="12"/>
  <c r="J144" i="12"/>
  <c r="J30" i="12"/>
  <c r="J224" i="12"/>
  <c r="J117" i="12"/>
  <c r="J260" i="12"/>
  <c r="J306" i="12"/>
  <c r="J312" i="12"/>
  <c r="J225" i="12"/>
  <c r="J254" i="12"/>
  <c r="J111" i="12"/>
  <c r="J156" i="12"/>
  <c r="J71" i="12"/>
  <c r="J29" i="12"/>
  <c r="J252" i="12"/>
  <c r="J61" i="12"/>
  <c r="J294" i="12"/>
  <c r="J234" i="12"/>
  <c r="J121" i="12"/>
  <c r="J83" i="12"/>
  <c r="J22" i="12"/>
  <c r="J37" i="12"/>
  <c r="J283" i="12"/>
  <c r="J187" i="12"/>
  <c r="J104" i="12"/>
  <c r="J165" i="12"/>
  <c r="J9" i="12"/>
  <c r="J84" i="12"/>
  <c r="J96" i="12"/>
  <c r="J163" i="12"/>
  <c r="J145" i="12"/>
  <c r="J128" i="12"/>
  <c r="J11" i="12"/>
  <c r="J179" i="12"/>
  <c r="J138" i="12"/>
  <c r="J293" i="12"/>
  <c r="J23" i="12"/>
  <c r="J58" i="12"/>
  <c r="J126" i="12"/>
  <c r="J72" i="12"/>
  <c r="J307" i="12"/>
  <c r="J169" i="12"/>
  <c r="J35" i="12"/>
  <c r="J20" i="12"/>
  <c r="J69" i="12"/>
  <c r="J248" i="12"/>
  <c r="J263" i="12"/>
  <c r="J166" i="12"/>
  <c r="J246" i="12"/>
  <c r="J103" i="12"/>
  <c r="J95" i="12"/>
  <c r="J31" i="12"/>
  <c r="J34" i="12"/>
  <c r="J288" i="12"/>
  <c r="J199" i="12"/>
  <c r="J57" i="12"/>
  <c r="J302" i="12"/>
  <c r="J162" i="12"/>
  <c r="J236" i="12"/>
  <c r="J261" i="12"/>
  <c r="J204" i="12"/>
  <c r="J226" i="12"/>
  <c r="J160" i="12"/>
  <c r="J46" i="12"/>
  <c r="J123" i="12"/>
  <c r="J100" i="12"/>
  <c r="J240" i="12"/>
  <c r="J53" i="12"/>
  <c r="J296" i="12"/>
  <c r="J241" i="12"/>
  <c r="J125" i="12"/>
  <c r="J140" i="12"/>
  <c r="J256" i="12"/>
  <c r="J286" i="12"/>
  <c r="J40" i="12"/>
  <c r="J219" i="12"/>
  <c r="J253" i="12"/>
  <c r="J196" i="12"/>
  <c r="J218" i="12"/>
  <c r="J152" i="12"/>
  <c r="J38" i="12"/>
  <c r="J118" i="12"/>
  <c r="J21" i="12"/>
  <c r="J41" i="12"/>
  <c r="J313" i="12"/>
  <c r="J181" i="12"/>
  <c r="J15" i="12"/>
  <c r="J33" i="12"/>
  <c r="J88" i="12"/>
  <c r="J108" i="12"/>
  <c r="J299" i="12"/>
  <c r="J161" i="12"/>
  <c r="J279" i="12"/>
  <c r="J311" i="12"/>
  <c r="J173" i="12"/>
  <c r="J39" i="12"/>
  <c r="J74" i="12"/>
  <c r="J291" i="12"/>
  <c r="J153" i="12"/>
  <c r="J86" i="12"/>
  <c r="J16" i="12"/>
  <c r="J235" i="12"/>
  <c r="J97" i="12"/>
  <c r="J116" i="12"/>
  <c r="J284" i="12"/>
  <c r="J233" i="12"/>
  <c r="J262" i="12"/>
  <c r="J107" i="12"/>
  <c r="J132" i="12"/>
  <c r="J18" i="12"/>
  <c r="J139" i="12"/>
  <c r="J232" i="12"/>
  <c r="J77" i="12"/>
  <c r="J186" i="12"/>
  <c r="J28" i="12"/>
  <c r="J127" i="12"/>
  <c r="J206" i="12"/>
  <c r="J198" i="12"/>
  <c r="J300" i="12"/>
  <c r="J242" i="12"/>
  <c r="J176" i="12"/>
  <c r="J91" i="12"/>
  <c r="J27" i="12"/>
  <c r="J101" i="12"/>
  <c r="J310" i="12"/>
  <c r="J195" i="12"/>
  <c r="J44" i="12"/>
  <c r="J268" i="12"/>
  <c r="J257" i="12"/>
  <c r="J222" i="12"/>
  <c r="J124" i="12"/>
  <c r="J42" i="12"/>
  <c r="J24" i="12"/>
  <c r="J8" i="12"/>
  <c r="J276" i="12"/>
  <c r="J81" i="12"/>
  <c r="J292" i="12"/>
  <c r="J168" i="12"/>
  <c r="J54" i="12"/>
  <c r="J143" i="12"/>
  <c r="J60" i="12"/>
  <c r="J303" i="12"/>
  <c r="J189" i="12"/>
  <c r="J66" i="12"/>
  <c r="J175" i="12"/>
  <c r="J183" i="12"/>
  <c r="J76" i="12"/>
  <c r="J177" i="12"/>
  <c r="J106" i="12"/>
  <c r="J78" i="12"/>
  <c r="J305" i="12"/>
  <c r="J159" i="12"/>
  <c r="J297" i="12"/>
  <c r="J157" i="12"/>
  <c r="J90" i="12"/>
  <c r="J112" i="12"/>
  <c r="J155" i="12"/>
  <c r="J134" i="12"/>
  <c r="J285" i="12"/>
  <c r="J120" i="12"/>
  <c r="J102" i="12"/>
  <c r="J6" i="12"/>
  <c r="J215" i="12"/>
  <c r="J114" i="12"/>
  <c r="J45" i="12"/>
  <c r="J154" i="12"/>
  <c r="J36" i="12"/>
  <c r="J73" i="12"/>
  <c r="J244" i="12"/>
  <c r="J304" i="12"/>
  <c r="J217" i="12"/>
  <c r="J214" i="12"/>
  <c r="J133" i="12"/>
  <c r="J148" i="12"/>
  <c r="J63" i="12"/>
  <c r="J98" i="12"/>
  <c r="J109" i="12"/>
  <c r="J48" i="12"/>
  <c r="J271" i="12"/>
  <c r="J150" i="12"/>
  <c r="J267" i="12"/>
  <c r="J259" i="12"/>
  <c r="J13" i="12"/>
  <c r="J142" i="12"/>
  <c r="J274" i="12"/>
  <c r="J229" i="12"/>
  <c r="J75" i="12"/>
  <c r="J14" i="12"/>
  <c r="J146" i="12"/>
  <c r="J220" i="12"/>
  <c r="J228" i="12"/>
  <c r="J273" i="12"/>
  <c r="J209" i="12"/>
  <c r="J238" i="12"/>
  <c r="J115" i="12"/>
  <c r="J172" i="12"/>
  <c r="J87" i="12"/>
  <c r="J113" i="12"/>
  <c r="J231" i="12"/>
  <c r="J308" i="12"/>
  <c r="J221" i="12"/>
  <c r="J250" i="12"/>
  <c r="J110" i="12"/>
  <c r="J184" i="12"/>
  <c r="J67" i="12"/>
  <c r="J185" i="12"/>
  <c r="N68" i="13"/>
  <c r="O68" i="13" s="1"/>
  <c r="P68" i="13" s="1"/>
  <c r="Q68" i="13" s="1"/>
  <c r="N102" i="13"/>
  <c r="O102" i="13" s="1"/>
  <c r="P102" i="13" s="1"/>
  <c r="Q102" i="13" s="1"/>
  <c r="N53" i="13"/>
  <c r="O53" i="13" s="1"/>
  <c r="P53" i="13" s="1"/>
  <c r="Q53" i="13" s="1"/>
  <c r="N232" i="13"/>
  <c r="O232" i="13" s="1"/>
  <c r="P232" i="13" s="1"/>
  <c r="Q232" i="13" s="1"/>
  <c r="K232" i="25" s="1"/>
  <c r="N87" i="13"/>
  <c r="O87" i="13" s="1"/>
  <c r="P87" i="13" s="1"/>
  <c r="Q87" i="13" s="1"/>
  <c r="K87" i="25" s="1"/>
  <c r="N147" i="13"/>
  <c r="O147" i="13" s="1"/>
  <c r="P147" i="13" s="1"/>
  <c r="Q147" i="13" s="1"/>
  <c r="K147" i="25" s="1"/>
  <c r="N268" i="13"/>
  <c r="O268" i="13" s="1"/>
  <c r="P268" i="13" s="1"/>
  <c r="Q268" i="13" s="1"/>
  <c r="K268" i="25" s="1"/>
  <c r="N267" i="13"/>
  <c r="O267" i="13" s="1"/>
  <c r="P267" i="13" s="1"/>
  <c r="Q267" i="13" s="1"/>
  <c r="K267" i="25" s="1"/>
  <c r="N243" i="13"/>
  <c r="O243" i="13" s="1"/>
  <c r="P243" i="13" s="1"/>
  <c r="Q243" i="13" s="1"/>
  <c r="N144" i="13"/>
  <c r="O144" i="13" s="1"/>
  <c r="P144" i="13" s="1"/>
  <c r="Q144" i="13" s="1"/>
  <c r="K144" i="25" s="1"/>
  <c r="N83" i="13"/>
  <c r="O83" i="13" s="1"/>
  <c r="P83" i="13" s="1"/>
  <c r="Q83" i="13" s="1"/>
  <c r="K83" i="25" s="1"/>
  <c r="N209" i="13"/>
  <c r="O209" i="13" s="1"/>
  <c r="P209" i="13" s="1"/>
  <c r="Q209" i="13" s="1"/>
  <c r="K209" i="25" s="1"/>
  <c r="N127" i="13"/>
  <c r="O127" i="13" s="1"/>
  <c r="P127" i="13" s="1"/>
  <c r="Q127" i="13" s="1"/>
  <c r="K127" i="25" s="1"/>
  <c r="N241" i="13"/>
  <c r="O241" i="13" s="1"/>
  <c r="P241" i="13" s="1"/>
  <c r="Q241" i="13" s="1"/>
  <c r="N95" i="13"/>
  <c r="O95" i="13" s="1"/>
  <c r="P95" i="13" s="1"/>
  <c r="Q95" i="13" s="1"/>
  <c r="K95" i="25" s="1"/>
  <c r="N284" i="13"/>
  <c r="O284" i="13" s="1"/>
  <c r="P284" i="13" s="1"/>
  <c r="Q284" i="13" s="1"/>
  <c r="K284" i="25" s="1"/>
  <c r="N220" i="13"/>
  <c r="O220" i="13" s="1"/>
  <c r="P220" i="13" s="1"/>
  <c r="Q220" i="13" s="1"/>
  <c r="K220" i="25" s="1"/>
  <c r="H5" i="12"/>
  <c r="N45" i="13"/>
  <c r="O45" i="13" s="1"/>
  <c r="P45" i="13" s="1"/>
  <c r="Q45" i="13" s="1"/>
  <c r="K45" i="25" s="1"/>
  <c r="N306" i="13"/>
  <c r="O306" i="13" s="1"/>
  <c r="P306" i="13" s="1"/>
  <c r="Q306" i="13" s="1"/>
  <c r="K306" i="25" s="1"/>
  <c r="H5" i="39"/>
  <c r="I5" i="39" s="1"/>
  <c r="J5" i="39" s="1"/>
  <c r="N314" i="13"/>
  <c r="O314" i="13" s="1"/>
  <c r="P314" i="13" s="1"/>
  <c r="Q314" i="13" s="1"/>
  <c r="N8" i="13"/>
  <c r="O8" i="13" s="1"/>
  <c r="P8" i="13" s="1"/>
  <c r="Q8" i="13" s="1"/>
  <c r="K8" i="25" s="1"/>
  <c r="N199" i="13"/>
  <c r="O199" i="13" s="1"/>
  <c r="P199" i="13" s="1"/>
  <c r="Q199" i="13" s="1"/>
  <c r="N260" i="13"/>
  <c r="O260" i="13" s="1"/>
  <c r="P260" i="13" s="1"/>
  <c r="Q260" i="13" s="1"/>
  <c r="K260" i="25" s="1"/>
  <c r="N81" i="13"/>
  <c r="O81" i="13" s="1"/>
  <c r="P81" i="13" s="1"/>
  <c r="Q81" i="13" s="1"/>
  <c r="N93" i="13"/>
  <c r="O93" i="13" s="1"/>
  <c r="P93" i="13" s="1"/>
  <c r="Q93" i="13" s="1"/>
  <c r="K93" i="25" s="1"/>
  <c r="N140" i="13"/>
  <c r="O140" i="13" s="1"/>
  <c r="P140" i="13" s="1"/>
  <c r="Q140" i="13" s="1"/>
  <c r="K140" i="25" s="1"/>
  <c r="N196" i="13"/>
  <c r="O196" i="13" s="1"/>
  <c r="P196" i="13" s="1"/>
  <c r="Q196" i="13" s="1"/>
  <c r="N297" i="13"/>
  <c r="O297" i="13" s="1"/>
  <c r="P297" i="13" s="1"/>
  <c r="Q297" i="13" s="1"/>
  <c r="K297" i="25" s="1"/>
  <c r="N181" i="13"/>
  <c r="O181" i="13" s="1"/>
  <c r="P181" i="13" s="1"/>
  <c r="Q181" i="13" s="1"/>
  <c r="N128" i="13"/>
  <c r="O128" i="13" s="1"/>
  <c r="P128" i="13" s="1"/>
  <c r="Q128" i="13" s="1"/>
  <c r="N43" i="13"/>
  <c r="O43" i="13" s="1"/>
  <c r="P43" i="13" s="1"/>
  <c r="Q43" i="13" s="1"/>
  <c r="N167" i="13"/>
  <c r="O167" i="13" s="1"/>
  <c r="P167" i="13" s="1"/>
  <c r="Q167" i="13" s="1"/>
  <c r="K167" i="25" s="1"/>
  <c r="N165" i="13"/>
  <c r="O165" i="13" s="1"/>
  <c r="P165" i="13" s="1"/>
  <c r="Q165" i="13" s="1"/>
  <c r="K165" i="25" s="1"/>
  <c r="N183" i="13"/>
  <c r="O183" i="13" s="1"/>
  <c r="P183" i="13" s="1"/>
  <c r="Q183" i="13" s="1"/>
  <c r="N157" i="13"/>
  <c r="O157" i="13" s="1"/>
  <c r="P157" i="13" s="1"/>
  <c r="Q157" i="13" s="1"/>
  <c r="N18" i="13"/>
  <c r="O18" i="13" s="1"/>
  <c r="P18" i="13" s="1"/>
  <c r="Q18" i="13" s="1"/>
  <c r="K18" i="25" s="1"/>
  <c r="N121" i="13"/>
  <c r="O121" i="13" s="1"/>
  <c r="P121" i="13" s="1"/>
  <c r="Q121" i="13" s="1"/>
  <c r="K121" i="25" s="1"/>
  <c r="N60" i="13"/>
  <c r="O60" i="13" s="1"/>
  <c r="P60" i="13" s="1"/>
  <c r="Q60" i="13" s="1"/>
  <c r="N197" i="13"/>
  <c r="O197" i="13" s="1"/>
  <c r="P197" i="13" s="1"/>
  <c r="Q197" i="13" s="1"/>
  <c r="K197" i="25" s="1"/>
  <c r="N117" i="13"/>
  <c r="O117" i="13" s="1"/>
  <c r="P117" i="13" s="1"/>
  <c r="Q117" i="13" s="1"/>
  <c r="N75" i="13"/>
  <c r="O75" i="13" s="1"/>
  <c r="P75" i="13" s="1"/>
  <c r="Q75" i="13" s="1"/>
  <c r="N109" i="13"/>
  <c r="O109" i="13" s="1"/>
  <c r="P109" i="13" s="1"/>
  <c r="Q109" i="13" s="1"/>
  <c r="N15" i="13"/>
  <c r="O15" i="13" s="1"/>
  <c r="P15" i="13" s="1"/>
  <c r="Q15" i="13" s="1"/>
  <c r="N278" i="13"/>
  <c r="O278" i="13" s="1"/>
  <c r="P278" i="13" s="1"/>
  <c r="Q278" i="13" s="1"/>
  <c r="K278" i="25" s="1"/>
  <c r="N169" i="13"/>
  <c r="O169" i="13" s="1"/>
  <c r="P169" i="13" s="1"/>
  <c r="Q169" i="13" s="1"/>
  <c r="N129" i="13"/>
  <c r="O129" i="13" s="1"/>
  <c r="P129" i="13" s="1"/>
  <c r="Q129" i="13" s="1"/>
  <c r="N160" i="13"/>
  <c r="O160" i="13" s="1"/>
  <c r="P160" i="13" s="1"/>
  <c r="Q160" i="13" s="1"/>
  <c r="K160" i="25" s="1"/>
  <c r="N171" i="13"/>
  <c r="O171" i="13" s="1"/>
  <c r="P171" i="13" s="1"/>
  <c r="Q171" i="13" s="1"/>
  <c r="N228" i="13"/>
  <c r="O228" i="13" s="1"/>
  <c r="P228" i="13" s="1"/>
  <c r="Q228" i="13" s="1"/>
  <c r="K228" i="25" s="1"/>
  <c r="N233" i="13"/>
  <c r="O233" i="13" s="1"/>
  <c r="P233" i="13" s="1"/>
  <c r="Q233" i="13" s="1"/>
  <c r="K233" i="25" s="1"/>
  <c r="N152" i="13"/>
  <c r="O152" i="13" s="1"/>
  <c r="P152" i="13" s="1"/>
  <c r="Q152" i="13" s="1"/>
  <c r="N175" i="13"/>
  <c r="O175" i="13" s="1"/>
  <c r="P175" i="13" s="1"/>
  <c r="Q175" i="13" s="1"/>
  <c r="K175" i="25" s="1"/>
  <c r="N184" i="13"/>
  <c r="O184" i="13" s="1"/>
  <c r="P184" i="13" s="1"/>
  <c r="Q184" i="13" s="1"/>
  <c r="N288" i="13"/>
  <c r="O288" i="13" s="1"/>
  <c r="P288" i="13" s="1"/>
  <c r="Q288" i="13" s="1"/>
  <c r="N211" i="13"/>
  <c r="O211" i="13" s="1"/>
  <c r="P211" i="13" s="1"/>
  <c r="Q211" i="13" s="1"/>
  <c r="N51" i="13"/>
  <c r="O51" i="13" s="1"/>
  <c r="P51" i="13" s="1"/>
  <c r="Q51" i="13" s="1"/>
  <c r="K51" i="25" s="1"/>
  <c r="N303" i="13"/>
  <c r="O303" i="13" s="1"/>
  <c r="P303" i="13" s="1"/>
  <c r="Q303" i="13" s="1"/>
  <c r="K303" i="25" s="1"/>
  <c r="N299" i="13"/>
  <c r="O299" i="13" s="1"/>
  <c r="P299" i="13" s="1"/>
  <c r="Q299" i="13" s="1"/>
  <c r="N134" i="13"/>
  <c r="O134" i="13" s="1"/>
  <c r="P134" i="13" s="1"/>
  <c r="Q134" i="13" s="1"/>
  <c r="N94" i="13"/>
  <c r="O94" i="13" s="1"/>
  <c r="P94" i="13" s="1"/>
  <c r="Q94" i="13" s="1"/>
  <c r="N17" i="13"/>
  <c r="O17" i="13" s="1"/>
  <c r="P17" i="13" s="1"/>
  <c r="Q17" i="13" s="1"/>
  <c r="K17" i="25" s="1"/>
  <c r="N229" i="13"/>
  <c r="O229" i="13" s="1"/>
  <c r="P229" i="13" s="1"/>
  <c r="Q229" i="13" s="1"/>
  <c r="N215" i="13"/>
  <c r="O215" i="13" s="1"/>
  <c r="P215" i="13" s="1"/>
  <c r="Q215" i="13" s="1"/>
  <c r="N287" i="13"/>
  <c r="O287" i="13" s="1"/>
  <c r="P287" i="13" s="1"/>
  <c r="Q287" i="13" s="1"/>
  <c r="K287" i="25" s="1"/>
  <c r="N264" i="13"/>
  <c r="O264" i="13" s="1"/>
  <c r="P264" i="13" s="1"/>
  <c r="Q264" i="13" s="1"/>
  <c r="K264" i="25" s="1"/>
  <c r="N282" i="13"/>
  <c r="O282" i="13" s="1"/>
  <c r="P282" i="13" s="1"/>
  <c r="Q282" i="13" s="1"/>
  <c r="N164" i="13"/>
  <c r="O164" i="13" s="1"/>
  <c r="P164" i="13" s="1"/>
  <c r="Q164" i="13" s="1"/>
  <c r="K164" i="25" s="1"/>
  <c r="N31" i="13"/>
  <c r="O31" i="13" s="1"/>
  <c r="P31" i="13" s="1"/>
  <c r="Q31" i="13" s="1"/>
  <c r="N200" i="13"/>
  <c r="O200" i="13" s="1"/>
  <c r="P200" i="13" s="1"/>
  <c r="Q200" i="13" s="1"/>
  <c r="K200" i="25" s="1"/>
  <c r="N304" i="13"/>
  <c r="O304" i="13" s="1"/>
  <c r="P304" i="13" s="1"/>
  <c r="Q304" i="13" s="1"/>
  <c r="K304" i="25" s="1"/>
  <c r="N188" i="13"/>
  <c r="O188" i="13" s="1"/>
  <c r="P188" i="13" s="1"/>
  <c r="Q188" i="13" s="1"/>
  <c r="K188" i="25" s="1"/>
  <c r="N291" i="13"/>
  <c r="O291" i="13" s="1"/>
  <c r="P291" i="13" s="1"/>
  <c r="Q291" i="13" s="1"/>
  <c r="N119" i="13"/>
  <c r="O119" i="13" s="1"/>
  <c r="P119" i="13" s="1"/>
  <c r="Q119" i="13" s="1"/>
  <c r="N245" i="13"/>
  <c r="O245" i="13" s="1"/>
  <c r="P245" i="13" s="1"/>
  <c r="Q245" i="13" s="1"/>
  <c r="N302" i="13"/>
  <c r="O302" i="13" s="1"/>
  <c r="P302" i="13" s="1"/>
  <c r="Q302" i="13" s="1"/>
  <c r="K302" i="25" s="1"/>
  <c r="N96" i="13"/>
  <c r="O96" i="13" s="1"/>
  <c r="P96" i="13" s="1"/>
  <c r="Q96" i="13" s="1"/>
  <c r="K96" i="25" s="1"/>
  <c r="N98" i="13"/>
  <c r="O98" i="13" s="1"/>
  <c r="P98" i="13" s="1"/>
  <c r="Q98" i="13" s="1"/>
  <c r="K98" i="25" s="1"/>
  <c r="N307" i="13"/>
  <c r="O307" i="13" s="1"/>
  <c r="P307" i="13" s="1"/>
  <c r="Q307" i="13" s="1"/>
  <c r="K307" i="25" s="1"/>
  <c r="N137" i="13"/>
  <c r="O137" i="13" s="1"/>
  <c r="P137" i="13" s="1"/>
  <c r="Q137" i="13" s="1"/>
  <c r="N138" i="13"/>
  <c r="O138" i="13" s="1"/>
  <c r="P138" i="13" s="1"/>
  <c r="Q138" i="13" s="1"/>
  <c r="N187" i="13"/>
  <c r="O187" i="13" s="1"/>
  <c r="P187" i="13" s="1"/>
  <c r="Q187" i="13" s="1"/>
  <c r="K187" i="25" s="1"/>
  <c r="N42" i="13"/>
  <c r="O42" i="13" s="1"/>
  <c r="P42" i="13" s="1"/>
  <c r="Q42" i="13" s="1"/>
  <c r="K42" i="25" s="1"/>
  <c r="N86" i="13"/>
  <c r="O86" i="13" s="1"/>
  <c r="P86" i="13" s="1"/>
  <c r="Q86" i="13" s="1"/>
  <c r="N111" i="13"/>
  <c r="O111" i="13" s="1"/>
  <c r="P111" i="13" s="1"/>
  <c r="Q111" i="13" s="1"/>
  <c r="N154" i="13"/>
  <c r="O154" i="13" s="1"/>
  <c r="P154" i="13" s="1"/>
  <c r="Q154" i="13" s="1"/>
  <c r="N112" i="13"/>
  <c r="O112" i="13" s="1"/>
  <c r="P112" i="13" s="1"/>
  <c r="Q112" i="13" s="1"/>
  <c r="N279" i="13"/>
  <c r="O279" i="13" s="1"/>
  <c r="P279" i="13" s="1"/>
  <c r="Q279" i="13" s="1"/>
  <c r="N311" i="13"/>
  <c r="O311" i="13" s="1"/>
  <c r="P311" i="13" s="1"/>
  <c r="Q311" i="13" s="1"/>
  <c r="K311" i="25" s="1"/>
  <c r="N280" i="13"/>
  <c r="O280" i="13" s="1"/>
  <c r="P280" i="13" s="1"/>
  <c r="Q280" i="13" s="1"/>
  <c r="K280" i="25" s="1"/>
  <c r="N64" i="13"/>
  <c r="O64" i="13" s="1"/>
  <c r="P64" i="13" s="1"/>
  <c r="Q64" i="13" s="1"/>
  <c r="K64" i="25" s="1"/>
  <c r="N126" i="13"/>
  <c r="O126" i="13" s="1"/>
  <c r="P126" i="13" s="1"/>
  <c r="Q126" i="13" s="1"/>
  <c r="N294" i="13"/>
  <c r="O294" i="13" s="1"/>
  <c r="P294" i="13" s="1"/>
  <c r="Q294" i="13" s="1"/>
  <c r="N77" i="13"/>
  <c r="O77" i="13" s="1"/>
  <c r="P77" i="13" s="1"/>
  <c r="Q77" i="13" s="1"/>
  <c r="N281" i="13"/>
  <c r="O281" i="13" s="1"/>
  <c r="P281" i="13" s="1"/>
  <c r="Q281" i="13" s="1"/>
  <c r="N222" i="13"/>
  <c r="O222" i="13" s="1"/>
  <c r="P222" i="13" s="1"/>
  <c r="Q222" i="13" s="1"/>
  <c r="K222" i="25" s="1"/>
  <c r="N23" i="13"/>
  <c r="O23" i="13" s="1"/>
  <c r="P23" i="13" s="1"/>
  <c r="Q23" i="13" s="1"/>
  <c r="N247" i="13"/>
  <c r="O247" i="13" s="1"/>
  <c r="P247" i="13" s="1"/>
  <c r="Q247" i="13" s="1"/>
  <c r="K247" i="25" s="1"/>
  <c r="N13" i="13"/>
  <c r="O13" i="13" s="1"/>
  <c r="P13" i="13" s="1"/>
  <c r="Q13" i="13" s="1"/>
  <c r="N255" i="13"/>
  <c r="O255" i="13" s="1"/>
  <c r="P255" i="13" s="1"/>
  <c r="Q255" i="13" s="1"/>
  <c r="N218" i="13"/>
  <c r="O218" i="13" s="1"/>
  <c r="P218" i="13" s="1"/>
  <c r="Q218" i="13" s="1"/>
  <c r="N261" i="13"/>
  <c r="O261" i="13" s="1"/>
  <c r="P261" i="13" s="1"/>
  <c r="Q261" i="13" s="1"/>
  <c r="N250" i="13"/>
  <c r="O250" i="13" s="1"/>
  <c r="P250" i="13" s="1"/>
  <c r="Q250" i="13" s="1"/>
  <c r="N22" i="13"/>
  <c r="O22" i="13" s="1"/>
  <c r="P22" i="13" s="1"/>
  <c r="Q22" i="13" s="1"/>
  <c r="K22" i="25" s="1"/>
  <c r="N40" i="13"/>
  <c r="O40" i="13" s="1"/>
  <c r="P40" i="13" s="1"/>
  <c r="Q40" i="13" s="1"/>
  <c r="K40" i="25" s="1"/>
  <c r="N309" i="13"/>
  <c r="O309" i="13" s="1"/>
  <c r="P309" i="13" s="1"/>
  <c r="Q309" i="13" s="1"/>
  <c r="K309" i="25" s="1"/>
  <c r="N33" i="13"/>
  <c r="O33" i="13" s="1"/>
  <c r="P33" i="13" s="1"/>
  <c r="Q33" i="13" s="1"/>
  <c r="N71" i="13"/>
  <c r="O71" i="13" s="1"/>
  <c r="P71" i="13" s="1"/>
  <c r="Q71" i="13" s="1"/>
  <c r="N251" i="13"/>
  <c r="O251" i="13" s="1"/>
  <c r="P251" i="13" s="1"/>
  <c r="Q251" i="13" s="1"/>
  <c r="N191" i="13"/>
  <c r="N11" i="13"/>
  <c r="O11" i="13" s="1"/>
  <c r="P11" i="13" s="1"/>
  <c r="Q11" i="13" s="1"/>
  <c r="N47" i="13"/>
  <c r="O47" i="13" s="1"/>
  <c r="P47" i="13" s="1"/>
  <c r="Q47" i="13" s="1"/>
  <c r="N82" i="13"/>
  <c r="O82" i="13" s="1"/>
  <c r="P82" i="13" s="1"/>
  <c r="Q82" i="13" s="1"/>
  <c r="N159" i="13"/>
  <c r="O159" i="13" s="1"/>
  <c r="P159" i="13" s="1"/>
  <c r="Q159" i="13" s="1"/>
  <c r="N92" i="13"/>
  <c r="O92" i="13" s="1"/>
  <c r="P92" i="13" s="1"/>
  <c r="Q92" i="13" s="1"/>
  <c r="K92" i="25" s="1"/>
  <c r="N113" i="13"/>
  <c r="O113" i="13" s="1"/>
  <c r="P113" i="13" s="1"/>
  <c r="Q113" i="13" s="1"/>
  <c r="K113" i="25" s="1"/>
  <c r="N101" i="13"/>
  <c r="O101" i="13" s="1"/>
  <c r="P101" i="13" s="1"/>
  <c r="Q101" i="13" s="1"/>
  <c r="K101" i="25" s="1"/>
  <c r="N156" i="13"/>
  <c r="O156" i="13" s="1"/>
  <c r="P156" i="13" s="1"/>
  <c r="Q156" i="13" s="1"/>
  <c r="N10" i="13"/>
  <c r="O10" i="13" s="1"/>
  <c r="P10" i="13" s="1"/>
  <c r="Q10" i="13" s="1"/>
  <c r="N100" i="13"/>
  <c r="O100" i="13" s="1"/>
  <c r="P100" i="13" s="1"/>
  <c r="Q100" i="13" s="1"/>
  <c r="K100" i="25" s="1"/>
  <c r="N103" i="13"/>
  <c r="O103" i="13" s="1"/>
  <c r="P103" i="13" s="1"/>
  <c r="Q103" i="13" s="1"/>
  <c r="N37" i="13"/>
  <c r="O37" i="13" s="1"/>
  <c r="P37" i="13" s="1"/>
  <c r="Q37" i="13" s="1"/>
  <c r="N78" i="13"/>
  <c r="O78" i="13" s="1"/>
  <c r="P78" i="13" s="1"/>
  <c r="Q78" i="13" s="1"/>
  <c r="N36" i="13"/>
  <c r="O36" i="13" s="1"/>
  <c r="P36" i="13" s="1"/>
  <c r="Q36" i="13" s="1"/>
  <c r="N274" i="13"/>
  <c r="O274" i="13" s="1"/>
  <c r="P274" i="13" s="1"/>
  <c r="Q274" i="13" s="1"/>
  <c r="K274" i="25" s="1"/>
  <c r="N216" i="13"/>
  <c r="O216" i="13" s="1"/>
  <c r="P216" i="13" s="1"/>
  <c r="Q216" i="13" s="1"/>
  <c r="K216" i="25" s="1"/>
  <c r="N283" i="13"/>
  <c r="O283" i="13" s="1"/>
  <c r="P283" i="13" s="1"/>
  <c r="Q283" i="13" s="1"/>
  <c r="K283" i="25" s="1"/>
  <c r="N242" i="13"/>
  <c r="O242" i="13" s="1"/>
  <c r="P242" i="13" s="1"/>
  <c r="Q242" i="13" s="1"/>
  <c r="N198" i="13"/>
  <c r="O198" i="13" s="1"/>
  <c r="P198" i="13" s="1"/>
  <c r="Q198" i="13" s="1"/>
  <c r="N58" i="13"/>
  <c r="O58" i="13" s="1"/>
  <c r="P58" i="13" s="1"/>
  <c r="Q58" i="13" s="1"/>
  <c r="K58" i="25" s="1"/>
  <c r="N50" i="13"/>
  <c r="O50" i="13" s="1"/>
  <c r="P50" i="13" s="1"/>
  <c r="Q50" i="13" s="1"/>
  <c r="K50" i="25" s="1"/>
  <c r="N62" i="13"/>
  <c r="O62" i="13" s="1"/>
  <c r="P62" i="13" s="1"/>
  <c r="Q62" i="13" s="1"/>
  <c r="K62" i="25" s="1"/>
  <c r="N74" i="13"/>
  <c r="O74" i="13" s="1"/>
  <c r="P74" i="13" s="1"/>
  <c r="Q74" i="13" s="1"/>
  <c r="K74" i="25" s="1"/>
  <c r="N25" i="13"/>
  <c r="O25" i="13" s="1"/>
  <c r="P25" i="13" s="1"/>
  <c r="Q25" i="13" s="1"/>
  <c r="K25" i="25" s="1"/>
  <c r="N99" i="13"/>
  <c r="O99" i="13" s="1"/>
  <c r="P99" i="13" s="1"/>
  <c r="Q99" i="13" s="1"/>
  <c r="N182" i="13"/>
  <c r="O182" i="13" s="1"/>
  <c r="P182" i="13" s="1"/>
  <c r="Q182" i="13" s="1"/>
  <c r="N177" i="13"/>
  <c r="O177" i="13" s="1"/>
  <c r="P177" i="13" s="1"/>
  <c r="Q177" i="13" s="1"/>
  <c r="N55" i="13"/>
  <c r="O55" i="13" s="1"/>
  <c r="P55" i="13" s="1"/>
  <c r="Q55" i="13" s="1"/>
  <c r="N208" i="13"/>
  <c r="O208" i="13" s="1"/>
  <c r="P208" i="13" s="1"/>
  <c r="Q208" i="13" s="1"/>
  <c r="N225" i="13"/>
  <c r="O225" i="13" s="1"/>
  <c r="P225" i="13" s="1"/>
  <c r="Q225" i="13" s="1"/>
  <c r="N168" i="13"/>
  <c r="O168" i="13" s="1"/>
  <c r="P168" i="13" s="1"/>
  <c r="Q168" i="13" s="1"/>
  <c r="K168" i="25" s="1"/>
  <c r="N301" i="13"/>
  <c r="O301" i="13" s="1"/>
  <c r="P301" i="13" s="1"/>
  <c r="Q301" i="13" s="1"/>
  <c r="N88" i="13"/>
  <c r="O88" i="13" s="1"/>
  <c r="P88" i="13" s="1"/>
  <c r="Q88" i="13" s="1"/>
  <c r="K88" i="25" s="1"/>
  <c r="N54" i="13"/>
  <c r="O54" i="13" s="1"/>
  <c r="P54" i="13" s="1"/>
  <c r="Q54" i="13" s="1"/>
  <c r="K54" i="25" s="1"/>
  <c r="N46" i="13"/>
  <c r="O46" i="13" s="1"/>
  <c r="P46" i="13" s="1"/>
  <c r="Q46" i="13" s="1"/>
  <c r="K46" i="25" s="1"/>
  <c r="N237" i="13"/>
  <c r="O237" i="13" s="1"/>
  <c r="P237" i="13" s="1"/>
  <c r="Q237" i="13" s="1"/>
  <c r="K237" i="25" s="1"/>
  <c r="N148" i="13"/>
  <c r="O148" i="13" s="1"/>
  <c r="P148" i="13" s="1"/>
  <c r="Q148" i="13" s="1"/>
  <c r="K148" i="25" s="1"/>
  <c r="N179" i="13"/>
  <c r="O179" i="13" s="1"/>
  <c r="P179" i="13" s="1"/>
  <c r="Q179" i="13" s="1"/>
  <c r="K179" i="25" s="1"/>
  <c r="N253" i="13"/>
  <c r="O253" i="13" s="1"/>
  <c r="P253" i="13" s="1"/>
  <c r="Q253" i="13" s="1"/>
  <c r="K253" i="25" s="1"/>
  <c r="N49" i="13"/>
  <c r="O49" i="13" s="1"/>
  <c r="P49" i="13" s="1"/>
  <c r="Q49" i="13" s="1"/>
  <c r="N158" i="13"/>
  <c r="O158" i="13" s="1"/>
  <c r="P158" i="13" s="1"/>
  <c r="Q158" i="13" s="1"/>
  <c r="K158" i="25" s="1"/>
  <c r="N272" i="13"/>
  <c r="O272" i="13" s="1"/>
  <c r="P272" i="13" s="1"/>
  <c r="Q272" i="13" s="1"/>
  <c r="K272" i="25" s="1"/>
  <c r="N227" i="13"/>
  <c r="O227" i="13" s="1"/>
  <c r="P227" i="13" s="1"/>
  <c r="Q227" i="13" s="1"/>
  <c r="K227" i="25" s="1"/>
  <c r="N295" i="13"/>
  <c r="O295" i="13" s="1"/>
  <c r="P295" i="13" s="1"/>
  <c r="Q295" i="13" s="1"/>
  <c r="N149" i="13"/>
  <c r="O149" i="13" s="1"/>
  <c r="P149" i="13" s="1"/>
  <c r="Q149" i="13" s="1"/>
  <c r="N186" i="13"/>
  <c r="O186" i="13" s="1"/>
  <c r="P186" i="13" s="1"/>
  <c r="Q186" i="13" s="1"/>
  <c r="N146" i="13"/>
  <c r="O146" i="13" s="1"/>
  <c r="P146" i="13" s="1"/>
  <c r="Q146" i="13" s="1"/>
  <c r="N180" i="13"/>
  <c r="O180" i="13" s="1"/>
  <c r="P180" i="13" s="1"/>
  <c r="Q180" i="13" s="1"/>
  <c r="N308" i="13"/>
  <c r="O308" i="13" s="1"/>
  <c r="P308" i="13" s="1"/>
  <c r="Q308" i="13" s="1"/>
  <c r="N213" i="13"/>
  <c r="O213" i="13" s="1"/>
  <c r="P213" i="13" s="1"/>
  <c r="Q213" i="13" s="1"/>
  <c r="N105" i="13"/>
  <c r="O105" i="13" s="1"/>
  <c r="P105" i="13" s="1"/>
  <c r="Q105" i="13" s="1"/>
  <c r="N206" i="13"/>
  <c r="O206" i="13" s="1"/>
  <c r="P206" i="13" s="1"/>
  <c r="Q206" i="13" s="1"/>
  <c r="N118" i="13"/>
  <c r="O118" i="13" s="1"/>
  <c r="P118" i="13" s="1"/>
  <c r="Q118" i="13" s="1"/>
  <c r="K118" i="25" s="1"/>
  <c r="N161" i="13"/>
  <c r="O161" i="13" s="1"/>
  <c r="P161" i="13" s="1"/>
  <c r="Q161" i="13" s="1"/>
  <c r="K161" i="25" s="1"/>
  <c r="N59" i="13"/>
  <c r="O59" i="13" s="1"/>
  <c r="P59" i="13" s="1"/>
  <c r="Q59" i="13" s="1"/>
  <c r="K59" i="25" s="1"/>
  <c r="N276" i="13"/>
  <c r="O276" i="13" s="1"/>
  <c r="P276" i="13" s="1"/>
  <c r="Q276" i="13" s="1"/>
  <c r="K276" i="25" s="1"/>
  <c r="N20" i="13"/>
  <c r="O20" i="13" s="1"/>
  <c r="P20" i="13" s="1"/>
  <c r="Q20" i="13" s="1"/>
  <c r="K20" i="25" s="1"/>
  <c r="N19" i="13"/>
  <c r="O19" i="13" s="1"/>
  <c r="P19" i="13" s="1"/>
  <c r="Q19" i="13" s="1"/>
  <c r="K19" i="25" s="1"/>
  <c r="N185" i="13"/>
  <c r="O185" i="13" s="1"/>
  <c r="P185" i="13" s="1"/>
  <c r="Q185" i="13" s="1"/>
  <c r="N258" i="13"/>
  <c r="O258" i="13" s="1"/>
  <c r="P258" i="13" s="1"/>
  <c r="Q258" i="13" s="1"/>
  <c r="K258" i="25" s="1"/>
  <c r="N224" i="13"/>
  <c r="O224" i="13" s="1"/>
  <c r="P224" i="13" s="1"/>
  <c r="Q224" i="13" s="1"/>
  <c r="N91" i="13"/>
  <c r="O91" i="13" s="1"/>
  <c r="P91" i="13" s="1"/>
  <c r="Q91" i="13" s="1"/>
  <c r="K91" i="25" s="1"/>
  <c r="N67" i="13"/>
  <c r="O67" i="13" s="1"/>
  <c r="P67" i="13" s="1"/>
  <c r="Q67" i="13" s="1"/>
  <c r="N173" i="13"/>
  <c r="O173" i="13" s="1"/>
  <c r="P173" i="13" s="1"/>
  <c r="Q173" i="13" s="1"/>
  <c r="N142" i="13"/>
  <c r="O142" i="13" s="1"/>
  <c r="P142" i="13" s="1"/>
  <c r="Q142" i="13" s="1"/>
  <c r="N141" i="13"/>
  <c r="O141" i="13" s="1"/>
  <c r="P141" i="13" s="1"/>
  <c r="Q141" i="13" s="1"/>
  <c r="N72" i="13"/>
  <c r="O72" i="13" s="1"/>
  <c r="P72" i="13" s="1"/>
  <c r="Q72" i="13" s="1"/>
  <c r="K72" i="25" s="1"/>
  <c r="N139" i="13"/>
  <c r="O139" i="13" s="1"/>
  <c r="P139" i="13" s="1"/>
  <c r="Q139" i="13" s="1"/>
  <c r="K139" i="25" s="1"/>
  <c r="N189" i="13"/>
  <c r="O189" i="13" s="1"/>
  <c r="P189" i="13" s="1"/>
  <c r="Q189" i="13" s="1"/>
  <c r="K189" i="25" s="1"/>
  <c r="N203" i="13"/>
  <c r="O203" i="13" s="1"/>
  <c r="P203" i="13" s="1"/>
  <c r="Q203" i="13" s="1"/>
  <c r="K203" i="25" s="1"/>
  <c r="N21" i="13"/>
  <c r="O21" i="13" s="1"/>
  <c r="P21" i="13" s="1"/>
  <c r="Q21" i="13" s="1"/>
  <c r="K21" i="25" s="1"/>
  <c r="N257" i="13"/>
  <c r="O257" i="13" s="1"/>
  <c r="P257" i="13" s="1"/>
  <c r="Q257" i="13" s="1"/>
  <c r="K257" i="25" s="1"/>
  <c r="N97" i="13"/>
  <c r="O97" i="13" s="1"/>
  <c r="P97" i="13" s="1"/>
  <c r="Q97" i="13" s="1"/>
  <c r="K97" i="25" s="1"/>
  <c r="N34" i="13"/>
  <c r="O34" i="13" s="1"/>
  <c r="P34" i="13" s="1"/>
  <c r="Q34" i="13" s="1"/>
  <c r="N143" i="13"/>
  <c r="O143" i="13" s="1"/>
  <c r="P143" i="13" s="1"/>
  <c r="Q143" i="13" s="1"/>
  <c r="K143" i="25" s="1"/>
  <c r="N76" i="13"/>
  <c r="O76" i="13" s="1"/>
  <c r="P76" i="13" s="1"/>
  <c r="Q76" i="13" s="1"/>
  <c r="N108" i="13"/>
  <c r="O108" i="13" s="1"/>
  <c r="P108" i="13" s="1"/>
  <c r="Q108" i="13" s="1"/>
  <c r="N16" i="13"/>
  <c r="O16" i="13" s="1"/>
  <c r="P16" i="13" s="1"/>
  <c r="Q16" i="13" s="1"/>
  <c r="N312" i="13"/>
  <c r="O312" i="13" s="1"/>
  <c r="P312" i="13" s="1"/>
  <c r="Q312" i="13" s="1"/>
  <c r="N131" i="13"/>
  <c r="O131" i="13" s="1"/>
  <c r="P131" i="13" s="1"/>
  <c r="Q131" i="13" s="1"/>
  <c r="N212" i="13"/>
  <c r="O212" i="13" s="1"/>
  <c r="P212" i="13" s="1"/>
  <c r="Q212" i="13" s="1"/>
  <c r="N106" i="13"/>
  <c r="O106" i="13" s="1"/>
  <c r="P106" i="13" s="1"/>
  <c r="Q106" i="13" s="1"/>
  <c r="K106" i="25" s="1"/>
  <c r="N28" i="13"/>
  <c r="O28" i="13" s="1"/>
  <c r="P28" i="13" s="1"/>
  <c r="Q28" i="13" s="1"/>
  <c r="K28" i="25" s="1"/>
  <c r="N210" i="13"/>
  <c r="O210" i="13" s="1"/>
  <c r="P210" i="13" s="1"/>
  <c r="Q210" i="13" s="1"/>
  <c r="N155" i="13"/>
  <c r="O155" i="13" s="1"/>
  <c r="P155" i="13" s="1"/>
  <c r="Q155" i="13" s="1"/>
  <c r="K155" i="25" s="1"/>
  <c r="N207" i="13"/>
  <c r="O207" i="13" s="1"/>
  <c r="P207" i="13" s="1"/>
  <c r="Q207" i="13" s="1"/>
  <c r="N122" i="13"/>
  <c r="O122" i="13" s="1"/>
  <c r="P122" i="13" s="1"/>
  <c r="Q122" i="13" s="1"/>
  <c r="N52" i="13"/>
  <c r="O52" i="13" s="1"/>
  <c r="P52" i="13" s="1"/>
  <c r="Q52" i="13" s="1"/>
  <c r="N12" i="13"/>
  <c r="O12" i="13" s="1"/>
  <c r="P12" i="13" s="1"/>
  <c r="Q12" i="13" s="1"/>
  <c r="N85" i="13"/>
  <c r="O85" i="13" s="1"/>
  <c r="P85" i="13" s="1"/>
  <c r="Q85" i="13" s="1"/>
  <c r="N135" i="13"/>
  <c r="O135" i="13" s="1"/>
  <c r="P135" i="13" s="1"/>
  <c r="Q135" i="13" s="1"/>
  <c r="N246" i="13"/>
  <c r="O246" i="13" s="1"/>
  <c r="P246" i="13" s="1"/>
  <c r="Q246" i="13" s="1"/>
  <c r="N150" i="13"/>
  <c r="O150" i="13" s="1"/>
  <c r="P150" i="13" s="1"/>
  <c r="Q150" i="13" s="1"/>
  <c r="N256" i="13"/>
  <c r="O256" i="13" s="1"/>
  <c r="P256" i="13" s="1"/>
  <c r="Q256" i="13" s="1"/>
  <c r="N123" i="13"/>
  <c r="O123" i="13" s="1"/>
  <c r="P123" i="13" s="1"/>
  <c r="Q123" i="13" s="1"/>
  <c r="N201" i="13"/>
  <c r="O201" i="13" s="1"/>
  <c r="P201" i="13" s="1"/>
  <c r="Q201" i="13" s="1"/>
  <c r="N162" i="13"/>
  <c r="O162" i="13" s="1"/>
  <c r="P162" i="13" s="1"/>
  <c r="Q162" i="13" s="1"/>
  <c r="N292" i="13"/>
  <c r="O292" i="13" s="1"/>
  <c r="P292" i="13" s="1"/>
  <c r="Q292" i="13" s="1"/>
  <c r="N259" i="13"/>
  <c r="O259" i="13" s="1"/>
  <c r="P259" i="13" s="1"/>
  <c r="Q259" i="13" s="1"/>
  <c r="N205" i="13"/>
  <c r="O205" i="13" s="1"/>
  <c r="P205" i="13" s="1"/>
  <c r="Q205" i="13" s="1"/>
  <c r="N73" i="13"/>
  <c r="O73" i="13" s="1"/>
  <c r="P73" i="13" s="1"/>
  <c r="Q73" i="13" s="1"/>
  <c r="N57" i="13"/>
  <c r="O57" i="13" s="1"/>
  <c r="P57" i="13" s="1"/>
  <c r="Q57" i="13" s="1"/>
  <c r="N30" i="13"/>
  <c r="O30" i="13" s="1"/>
  <c r="P30" i="13" s="1"/>
  <c r="Q30" i="13" s="1"/>
  <c r="N176" i="13"/>
  <c r="O176" i="13" s="1"/>
  <c r="P176" i="13" s="1"/>
  <c r="Q176" i="13" s="1"/>
  <c r="N39" i="13"/>
  <c r="O39" i="13" s="1"/>
  <c r="P39" i="13" s="1"/>
  <c r="Q39" i="13" s="1"/>
  <c r="N275" i="13"/>
  <c r="O275" i="13" s="1"/>
  <c r="P275" i="13" s="1"/>
  <c r="Q275" i="13" s="1"/>
  <c r="N277" i="13"/>
  <c r="O277" i="13" s="1"/>
  <c r="P277" i="13" s="1"/>
  <c r="Q277" i="13" s="1"/>
  <c r="N266" i="13"/>
  <c r="O266" i="13" s="1"/>
  <c r="P266" i="13" s="1"/>
  <c r="Q266" i="13" s="1"/>
  <c r="N70" i="13"/>
  <c r="O70" i="13" s="1"/>
  <c r="P70" i="13" s="1"/>
  <c r="Q70" i="13" s="1"/>
  <c r="N194" i="13"/>
  <c r="O194" i="13" s="1"/>
  <c r="P194" i="13" s="1"/>
  <c r="Q194" i="13" s="1"/>
  <c r="N239" i="13"/>
  <c r="O239" i="13" s="1"/>
  <c r="P239" i="13" s="1"/>
  <c r="Q239" i="13" s="1"/>
  <c r="N293" i="13"/>
  <c r="O293" i="13" s="1"/>
  <c r="P293" i="13" s="1"/>
  <c r="Q293" i="13" s="1"/>
  <c r="N9" i="13"/>
  <c r="O9" i="13" s="1"/>
  <c r="P9" i="13" s="1"/>
  <c r="Q9" i="13" s="1"/>
  <c r="N238" i="13"/>
  <c r="O238" i="13" s="1"/>
  <c r="P238" i="13" s="1"/>
  <c r="Q238" i="13" s="1"/>
  <c r="N145" i="13"/>
  <c r="O145" i="13" s="1"/>
  <c r="P145" i="13" s="1"/>
  <c r="Q145" i="13" s="1"/>
  <c r="N262" i="13"/>
  <c r="O262" i="13" s="1"/>
  <c r="P262" i="13" s="1"/>
  <c r="Q262" i="13" s="1"/>
  <c r="N273" i="13"/>
  <c r="O273" i="13" s="1"/>
  <c r="P273" i="13" s="1"/>
  <c r="Q273" i="13" s="1"/>
  <c r="N271" i="13"/>
  <c r="O271" i="13" s="1"/>
  <c r="P271" i="13" s="1"/>
  <c r="Q271" i="13" s="1"/>
  <c r="N114" i="13"/>
  <c r="O114" i="13" s="1"/>
  <c r="P114" i="13" s="1"/>
  <c r="Q114" i="13" s="1"/>
  <c r="N285" i="13"/>
  <c r="O285" i="13" s="1"/>
  <c r="P285" i="13" s="1"/>
  <c r="Q285" i="13" s="1"/>
  <c r="N48" i="13"/>
  <c r="O48" i="13" s="1"/>
  <c r="P48" i="13" s="1"/>
  <c r="Q48" i="13" s="1"/>
  <c r="N89" i="13"/>
  <c r="O89" i="13" s="1"/>
  <c r="P89" i="13" s="1"/>
  <c r="Q89" i="13" s="1"/>
  <c r="N38" i="13"/>
  <c r="O38" i="13" s="1"/>
  <c r="P38" i="13" s="1"/>
  <c r="Q38" i="13" s="1"/>
  <c r="N202" i="13"/>
  <c r="O202" i="13" s="1"/>
  <c r="P202" i="13" s="1"/>
  <c r="Q202" i="13" s="1"/>
  <c r="N269" i="13"/>
  <c r="O269" i="13" s="1"/>
  <c r="P269" i="13" s="1"/>
  <c r="Q269" i="13" s="1"/>
  <c r="N190" i="13"/>
  <c r="O190" i="13" s="1"/>
  <c r="P190" i="13" s="1"/>
  <c r="Q190" i="13" s="1"/>
  <c r="N110" i="13"/>
  <c r="O110" i="13" s="1"/>
  <c r="P110" i="13" s="1"/>
  <c r="Q110" i="13" s="1"/>
  <c r="N7" i="13"/>
  <c r="O7" i="13" s="1"/>
  <c r="P7" i="13" s="1"/>
  <c r="Q7" i="13" s="1"/>
  <c r="N234" i="13"/>
  <c r="O234" i="13" s="1"/>
  <c r="P234" i="13" s="1"/>
  <c r="Q234" i="13" s="1"/>
  <c r="N153" i="13"/>
  <c r="O153" i="13" s="1"/>
  <c r="P153" i="13" s="1"/>
  <c r="Q153" i="13" s="1"/>
  <c r="N236" i="13"/>
  <c r="O236" i="13" s="1"/>
  <c r="P236" i="13" s="1"/>
  <c r="Q236" i="13" s="1"/>
  <c r="N270" i="13"/>
  <c r="O270" i="13" s="1"/>
  <c r="P270" i="13" s="1"/>
  <c r="Q270" i="13" s="1"/>
  <c r="N214" i="13"/>
  <c r="O214" i="13" s="1"/>
  <c r="P214" i="13" s="1"/>
  <c r="Q214" i="13" s="1"/>
  <c r="N231" i="13"/>
  <c r="O231" i="13" s="1"/>
  <c r="P231" i="13" s="1"/>
  <c r="Q231" i="13" s="1"/>
  <c r="N166" i="13"/>
  <c r="O166" i="13" s="1"/>
  <c r="P166" i="13" s="1"/>
  <c r="Q166" i="13" s="1"/>
  <c r="N174" i="13"/>
  <c r="O174" i="13" s="1"/>
  <c r="P174" i="13" s="1"/>
  <c r="Q174" i="13" s="1"/>
  <c r="N290" i="13"/>
  <c r="O290" i="13" s="1"/>
  <c r="P290" i="13" s="1"/>
  <c r="Q290" i="13" s="1"/>
  <c r="N124" i="13"/>
  <c r="O124" i="13" s="1"/>
  <c r="P124" i="13" s="1"/>
  <c r="Q124" i="13" s="1"/>
  <c r="N178" i="13"/>
  <c r="O178" i="13" s="1"/>
  <c r="P178" i="13" s="1"/>
  <c r="Q178" i="13" s="1"/>
  <c r="N115" i="13"/>
  <c r="O115" i="13" s="1"/>
  <c r="P115" i="13" s="1"/>
  <c r="Q115" i="13" s="1"/>
  <c r="N26" i="13"/>
  <c r="O26" i="13" s="1"/>
  <c r="P26" i="13" s="1"/>
  <c r="Q26" i="13" s="1"/>
  <c r="N249" i="13"/>
  <c r="O249" i="13" s="1"/>
  <c r="P249" i="13" s="1"/>
  <c r="Q249" i="13" s="1"/>
  <c r="N69" i="13"/>
  <c r="O69" i="13" s="1"/>
  <c r="P69" i="13" s="1"/>
  <c r="Q69" i="13" s="1"/>
  <c r="N56" i="13"/>
  <c r="O56" i="13" s="1"/>
  <c r="P56" i="13" s="1"/>
  <c r="Q56" i="13" s="1"/>
  <c r="N90" i="13"/>
  <c r="O90" i="13" s="1"/>
  <c r="P90" i="13" s="1"/>
  <c r="Q90" i="13" s="1"/>
  <c r="K90" i="25" s="1"/>
  <c r="N310" i="13"/>
  <c r="O310" i="13" s="1"/>
  <c r="P310" i="13" s="1"/>
  <c r="Q310" i="13" s="1"/>
  <c r="N44" i="13"/>
  <c r="O44" i="13" s="1"/>
  <c r="P44" i="13" s="1"/>
  <c r="Q44" i="13" s="1"/>
  <c r="N172" i="13"/>
  <c r="O172" i="13" s="1"/>
  <c r="P172" i="13" s="1"/>
  <c r="Q172" i="13" s="1"/>
  <c r="N289" i="13"/>
  <c r="O289" i="13" s="1"/>
  <c r="P289" i="13" s="1"/>
  <c r="Q289" i="13" s="1"/>
  <c r="N65" i="13"/>
  <c r="O65" i="13" s="1"/>
  <c r="P65" i="13" s="1"/>
  <c r="Q65" i="13" s="1"/>
  <c r="N192" i="13"/>
  <c r="O192" i="13" s="1"/>
  <c r="P192" i="13" s="1"/>
  <c r="Q192" i="13" s="1"/>
  <c r="N116" i="13"/>
  <c r="O116" i="13" s="1"/>
  <c r="P116" i="13" s="1"/>
  <c r="Q116" i="13" s="1"/>
  <c r="N32" i="13"/>
  <c r="O32" i="13" s="1"/>
  <c r="P32" i="13" s="1"/>
  <c r="Q32" i="13" s="1"/>
  <c r="N84" i="13"/>
  <c r="O84" i="13" s="1"/>
  <c r="P84" i="13" s="1"/>
  <c r="Q84" i="13" s="1"/>
  <c r="N298" i="13"/>
  <c r="O298" i="13" s="1"/>
  <c r="P298" i="13" s="1"/>
  <c r="Q298" i="13" s="1"/>
  <c r="N125" i="13"/>
  <c r="O125" i="13" s="1"/>
  <c r="P125" i="13" s="1"/>
  <c r="Q125" i="13" s="1"/>
  <c r="N104" i="13"/>
  <c r="O104" i="13" s="1"/>
  <c r="P104" i="13" s="1"/>
  <c r="Q104" i="13" s="1"/>
  <c r="N263" i="13"/>
  <c r="O263" i="13" s="1"/>
  <c r="P263" i="13" s="1"/>
  <c r="Q263" i="13" s="1"/>
  <c r="N235" i="13"/>
  <c r="O235" i="13" s="1"/>
  <c r="P235" i="13" s="1"/>
  <c r="Q235" i="13" s="1"/>
  <c r="N226" i="13"/>
  <c r="O226" i="13" s="1"/>
  <c r="P226" i="13" s="1"/>
  <c r="Q226" i="13" s="1"/>
  <c r="N240" i="13"/>
  <c r="O240" i="13" s="1"/>
  <c r="P240" i="13" s="1"/>
  <c r="Q240" i="13" s="1"/>
  <c r="N136" i="13"/>
  <c r="O136" i="13" s="1"/>
  <c r="P136" i="13" s="1"/>
  <c r="Q136" i="13" s="1"/>
  <c r="N221" i="13"/>
  <c r="O221" i="13" s="1"/>
  <c r="P221" i="13" s="1"/>
  <c r="Q221" i="13" s="1"/>
  <c r="N79" i="13"/>
  <c r="O79" i="13" s="1"/>
  <c r="P79" i="13" s="1"/>
  <c r="Q79" i="13" s="1"/>
  <c r="N24" i="13"/>
  <c r="O24" i="13" s="1"/>
  <c r="P24" i="13" s="1"/>
  <c r="Q24" i="13" s="1"/>
  <c r="N63" i="13"/>
  <c r="O63" i="13" s="1"/>
  <c r="P63" i="13" s="1"/>
  <c r="Q63" i="13" s="1"/>
  <c r="N217" i="13"/>
  <c r="O217" i="13" s="1"/>
  <c r="P217" i="13" s="1"/>
  <c r="Q217" i="13" s="1"/>
  <c r="N305" i="13"/>
  <c r="O305" i="13" s="1"/>
  <c r="P305" i="13" s="1"/>
  <c r="Q305" i="13" s="1"/>
  <c r="N107" i="13"/>
  <c r="O107" i="13" s="1"/>
  <c r="P107" i="13" s="1"/>
  <c r="Q107" i="13" s="1"/>
  <c r="N61" i="13"/>
  <c r="O61" i="13" s="1"/>
  <c r="P61" i="13" s="1"/>
  <c r="Q61" i="13" s="1"/>
  <c r="N14" i="13"/>
  <c r="O14" i="13" s="1"/>
  <c r="P14" i="13" s="1"/>
  <c r="Q14" i="13" s="1"/>
  <c r="N223" i="13"/>
  <c r="O223" i="13" s="1"/>
  <c r="P223" i="13" s="1"/>
  <c r="Q223" i="13" s="1"/>
  <c r="N204" i="13"/>
  <c r="O204" i="13" s="1"/>
  <c r="P204" i="13" s="1"/>
  <c r="Q204" i="13" s="1"/>
  <c r="N286" i="13"/>
  <c r="O286" i="13" s="1"/>
  <c r="P286" i="13" s="1"/>
  <c r="Q286" i="13" s="1"/>
  <c r="N296" i="13"/>
  <c r="O296" i="13" s="1"/>
  <c r="P296" i="13" s="1"/>
  <c r="Q296" i="13" s="1"/>
  <c r="N133" i="13"/>
  <c r="O133" i="13" s="1"/>
  <c r="P133" i="13" s="1"/>
  <c r="Q133" i="13" s="1"/>
  <c r="N41" i="13"/>
  <c r="O41" i="13" s="1"/>
  <c r="P41" i="13" s="1"/>
  <c r="Q41" i="13" s="1"/>
  <c r="N130" i="13"/>
  <c r="O130" i="13" s="1"/>
  <c r="P130" i="13" s="1"/>
  <c r="Q130" i="13" s="1"/>
  <c r="N248" i="13"/>
  <c r="O248" i="13" s="1"/>
  <c r="P248" i="13" s="1"/>
  <c r="Q248" i="13" s="1"/>
  <c r="N265" i="13"/>
  <c r="O265" i="13" s="1"/>
  <c r="P265" i="13" s="1"/>
  <c r="Q265" i="13" s="1"/>
  <c r="N151" i="13"/>
  <c r="O151" i="13" s="1"/>
  <c r="P151" i="13" s="1"/>
  <c r="Q151" i="13" s="1"/>
  <c r="N66" i="13"/>
  <c r="O66" i="13" s="1"/>
  <c r="P66" i="13" s="1"/>
  <c r="Q66" i="13" s="1"/>
  <c r="N27" i="13"/>
  <c r="O27" i="13" s="1"/>
  <c r="P27" i="13" s="1"/>
  <c r="Q27" i="13" s="1"/>
  <c r="N163" i="13"/>
  <c r="O163" i="13" s="1"/>
  <c r="P163" i="13" s="1"/>
  <c r="Q163" i="13" s="1"/>
  <c r="K163" i="25" s="1"/>
  <c r="N35" i="13"/>
  <c r="O35" i="13" s="1"/>
  <c r="P35" i="13" s="1"/>
  <c r="Q35" i="13" s="1"/>
  <c r="N80" i="13"/>
  <c r="O80" i="13" s="1"/>
  <c r="P80" i="13" s="1"/>
  <c r="Q80" i="13" s="1"/>
  <c r="N230" i="13"/>
  <c r="O230" i="13" s="1"/>
  <c r="P230" i="13" s="1"/>
  <c r="Q230" i="13" s="1"/>
  <c r="N313" i="13"/>
  <c r="O313" i="13" s="1"/>
  <c r="P313" i="13" s="1"/>
  <c r="Q313" i="13" s="1"/>
  <c r="N193" i="13"/>
  <c r="O193" i="13" s="1"/>
  <c r="P193" i="13" s="1"/>
  <c r="Q193" i="13" s="1"/>
  <c r="N132" i="13"/>
  <c r="O132" i="13" s="1"/>
  <c r="P132" i="13" s="1"/>
  <c r="Q132" i="13" s="1"/>
  <c r="K68" i="25"/>
  <c r="N300" i="13"/>
  <c r="O300" i="13" s="1"/>
  <c r="P300" i="13" s="1"/>
  <c r="Q300" i="13" s="1"/>
  <c r="N120" i="13"/>
  <c r="O120" i="13" s="1"/>
  <c r="P120" i="13" s="1"/>
  <c r="Q120" i="13" s="1"/>
  <c r="N252" i="13"/>
  <c r="O252" i="13" s="1"/>
  <c r="P252" i="13" s="1"/>
  <c r="Q252" i="13" s="1"/>
  <c r="N29" i="13"/>
  <c r="O29" i="13" s="1"/>
  <c r="P29" i="13" s="1"/>
  <c r="Q29" i="13" s="1"/>
  <c r="N195" i="13"/>
  <c r="O195" i="13" s="1"/>
  <c r="P195" i="13" s="1"/>
  <c r="Q195" i="13" s="1"/>
  <c r="N254" i="13"/>
  <c r="O254" i="13" s="1"/>
  <c r="P254" i="13" s="1"/>
  <c r="Q254" i="13" s="1"/>
  <c r="K254" i="25" s="1"/>
  <c r="N170" i="13"/>
  <c r="O170" i="13" s="1"/>
  <c r="P170" i="13" s="1"/>
  <c r="Q170" i="13" s="1"/>
  <c r="N244" i="13"/>
  <c r="O244" i="13" s="1"/>
  <c r="P244" i="13" s="1"/>
  <c r="Q244" i="13" s="1"/>
  <c r="N219" i="13"/>
  <c r="O219" i="13" s="1"/>
  <c r="D10" i="34"/>
  <c r="D11" i="34" s="1"/>
  <c r="O254" i="25" l="1"/>
  <c r="G254" i="51" s="1"/>
  <c r="O90" i="25"/>
  <c r="G90" i="51" s="1"/>
  <c r="O155" i="25"/>
  <c r="G155" i="51" s="1"/>
  <c r="O97" i="25"/>
  <c r="G97" i="51" s="1"/>
  <c r="O189" i="25"/>
  <c r="G189" i="51" s="1"/>
  <c r="O20" i="25"/>
  <c r="G20" i="51" s="1"/>
  <c r="O118" i="25"/>
  <c r="G118" i="51" s="1"/>
  <c r="O158" i="25"/>
  <c r="G158" i="51" s="1"/>
  <c r="O148" i="25"/>
  <c r="G148" i="51" s="1"/>
  <c r="O88" i="25"/>
  <c r="G88" i="51" s="1"/>
  <c r="O50" i="25"/>
  <c r="G50" i="51" s="1"/>
  <c r="O283" i="25"/>
  <c r="G283" i="51" s="1"/>
  <c r="O92" i="25"/>
  <c r="G92" i="51" s="1"/>
  <c r="O64" i="25"/>
  <c r="G64" i="51" s="1"/>
  <c r="O42" i="25"/>
  <c r="G42" i="51" s="1"/>
  <c r="O307" i="25"/>
  <c r="G307" i="51" s="1"/>
  <c r="O304" i="25"/>
  <c r="G304" i="51" s="1"/>
  <c r="O233" i="25"/>
  <c r="G233" i="51" s="1"/>
  <c r="O140" i="25"/>
  <c r="G140" i="51" s="1"/>
  <c r="O306" i="25"/>
  <c r="G306" i="51" s="1"/>
  <c r="O284" i="25"/>
  <c r="G284" i="51" s="1"/>
  <c r="O209" i="25"/>
  <c r="G209" i="51" s="1"/>
  <c r="O267" i="25"/>
  <c r="G267" i="51" s="1"/>
  <c r="O232" i="25"/>
  <c r="G232" i="51" s="1"/>
  <c r="O163" i="25"/>
  <c r="G163" i="51" s="1"/>
  <c r="O257" i="25"/>
  <c r="G257" i="51" s="1"/>
  <c r="O139" i="25"/>
  <c r="G139" i="51" s="1"/>
  <c r="O258" i="25"/>
  <c r="G258" i="51" s="1"/>
  <c r="O276" i="25"/>
  <c r="G276" i="51" s="1"/>
  <c r="O237" i="25"/>
  <c r="G237" i="51" s="1"/>
  <c r="O25" i="25"/>
  <c r="G25" i="51" s="1"/>
  <c r="O58" i="25"/>
  <c r="G58" i="51" s="1"/>
  <c r="O216" i="25"/>
  <c r="G216" i="51" s="1"/>
  <c r="O309" i="25"/>
  <c r="G309" i="51" s="1"/>
  <c r="O247" i="25"/>
  <c r="G247" i="51" s="1"/>
  <c r="O280" i="25"/>
  <c r="G280" i="51" s="1"/>
  <c r="O187" i="25"/>
  <c r="G187" i="51" s="1"/>
  <c r="O98" i="25"/>
  <c r="G98" i="51" s="1"/>
  <c r="O200" i="25"/>
  <c r="G200" i="51" s="1"/>
  <c r="O264" i="25"/>
  <c r="G264" i="51" s="1"/>
  <c r="O17" i="25"/>
  <c r="G17" i="51" s="1"/>
  <c r="O303" i="25"/>
  <c r="G303" i="51" s="1"/>
  <c r="O228" i="25"/>
  <c r="G228" i="51" s="1"/>
  <c r="O121" i="25"/>
  <c r="G121" i="51" s="1"/>
  <c r="O165" i="25"/>
  <c r="G165" i="51" s="1"/>
  <c r="O93" i="25"/>
  <c r="G93" i="51" s="1"/>
  <c r="O8" i="25"/>
  <c r="G8" i="51" s="1"/>
  <c r="O45" i="25"/>
  <c r="G45" i="51" s="1"/>
  <c r="O95" i="25"/>
  <c r="G95" i="51" s="1"/>
  <c r="O83" i="25"/>
  <c r="G83" i="51" s="1"/>
  <c r="O268" i="25"/>
  <c r="G268" i="51" s="1"/>
  <c r="O68" i="25"/>
  <c r="G68" i="51" s="1"/>
  <c r="O28" i="25"/>
  <c r="G28" i="51" s="1"/>
  <c r="O143" i="25"/>
  <c r="G143" i="51" s="1"/>
  <c r="O21" i="25"/>
  <c r="G21" i="51" s="1"/>
  <c r="O72" i="25"/>
  <c r="G72" i="51" s="1"/>
  <c r="O59" i="25"/>
  <c r="G59" i="51" s="1"/>
  <c r="O227" i="25"/>
  <c r="G227" i="51" s="1"/>
  <c r="O253" i="25"/>
  <c r="G253" i="51" s="1"/>
  <c r="O46" i="25"/>
  <c r="G46" i="51" s="1"/>
  <c r="O168" i="25"/>
  <c r="G168" i="51" s="1"/>
  <c r="O74" i="25"/>
  <c r="G74" i="51" s="1"/>
  <c r="O274" i="25"/>
  <c r="G274" i="51" s="1"/>
  <c r="O101" i="25"/>
  <c r="G101" i="51" s="1"/>
  <c r="O40" i="25"/>
  <c r="G40" i="51" s="1"/>
  <c r="O311" i="25"/>
  <c r="G311" i="51" s="1"/>
  <c r="O96" i="25"/>
  <c r="G96" i="51" s="1"/>
  <c r="O287" i="25"/>
  <c r="G287" i="51" s="1"/>
  <c r="O51" i="25"/>
  <c r="G51" i="51" s="1"/>
  <c r="O175" i="25"/>
  <c r="G175" i="51" s="1"/>
  <c r="O278" i="25"/>
  <c r="G278" i="51" s="1"/>
  <c r="O18" i="25"/>
  <c r="G18" i="51" s="1"/>
  <c r="O167" i="25"/>
  <c r="G167" i="51" s="1"/>
  <c r="O297" i="25"/>
  <c r="G297" i="51" s="1"/>
  <c r="O144" i="25"/>
  <c r="G144" i="51" s="1"/>
  <c r="O147" i="25"/>
  <c r="G147" i="51" s="1"/>
  <c r="O106" i="25"/>
  <c r="G106" i="51" s="1"/>
  <c r="O203" i="25"/>
  <c r="G203" i="51" s="1"/>
  <c r="O91" i="25"/>
  <c r="G91" i="51" s="1"/>
  <c r="O19" i="25"/>
  <c r="G19" i="51" s="1"/>
  <c r="O161" i="25"/>
  <c r="G161" i="51" s="1"/>
  <c r="O272" i="25"/>
  <c r="G272" i="51" s="1"/>
  <c r="O179" i="25"/>
  <c r="G179" i="51" s="1"/>
  <c r="O54" i="25"/>
  <c r="G54" i="51" s="1"/>
  <c r="O62" i="25"/>
  <c r="G62" i="51" s="1"/>
  <c r="O100" i="25"/>
  <c r="G100" i="51" s="1"/>
  <c r="O113" i="25"/>
  <c r="G113" i="51" s="1"/>
  <c r="O22" i="25"/>
  <c r="G22" i="51" s="1"/>
  <c r="O222" i="25"/>
  <c r="G222" i="51" s="1"/>
  <c r="O302" i="25"/>
  <c r="G302" i="51" s="1"/>
  <c r="O188" i="25"/>
  <c r="G188" i="51" s="1"/>
  <c r="O164" i="25"/>
  <c r="G164" i="51" s="1"/>
  <c r="O160" i="25"/>
  <c r="G160" i="51" s="1"/>
  <c r="O197" i="25"/>
  <c r="G197" i="51" s="1"/>
  <c r="O260" i="25"/>
  <c r="G260" i="51" s="1"/>
  <c r="O220" i="25"/>
  <c r="G220" i="51" s="1"/>
  <c r="H220" i="51" s="1"/>
  <c r="O127" i="25"/>
  <c r="G127" i="51" s="1"/>
  <c r="O87" i="25"/>
  <c r="G87" i="51" s="1"/>
  <c r="H155" i="51"/>
  <c r="R68" i="13"/>
  <c r="S68" i="13" s="1"/>
  <c r="J314" i="39"/>
  <c r="I315" i="25" s="1"/>
  <c r="E38" i="48"/>
  <c r="R232" i="13"/>
  <c r="S232" i="13" s="1"/>
  <c r="R147" i="13"/>
  <c r="S147" i="13" s="1"/>
  <c r="I6" i="25"/>
  <c r="N6" i="13"/>
  <c r="O6" i="13" s="1"/>
  <c r="P6" i="13" s="1"/>
  <c r="Q6" i="13" s="1"/>
  <c r="K6" i="25" s="1"/>
  <c r="R45" i="13"/>
  <c r="S45" i="13" s="1"/>
  <c r="J5" i="12"/>
  <c r="R144" i="13"/>
  <c r="S144" i="13" s="1"/>
  <c r="R87" i="13"/>
  <c r="S87" i="13" s="1"/>
  <c r="R306" i="13"/>
  <c r="S306" i="13" s="1"/>
  <c r="R209" i="13"/>
  <c r="S209" i="13" s="1"/>
  <c r="R95" i="13"/>
  <c r="S95" i="13" s="1"/>
  <c r="R268" i="13"/>
  <c r="S268" i="13" s="1"/>
  <c r="R267" i="13"/>
  <c r="S267" i="13" s="1"/>
  <c r="R83" i="13"/>
  <c r="S83" i="13" s="1"/>
  <c r="R284" i="13"/>
  <c r="S284" i="13" s="1"/>
  <c r="R127" i="13"/>
  <c r="S127" i="13" s="1"/>
  <c r="R220" i="13"/>
  <c r="S220" i="13" s="1"/>
  <c r="O191" i="13"/>
  <c r="P191" i="13" s="1"/>
  <c r="Q191" i="13" s="1"/>
  <c r="K191" i="25" s="1"/>
  <c r="I5" i="12"/>
  <c r="L95" i="25"/>
  <c r="N95" i="25" s="1"/>
  <c r="L257" i="25"/>
  <c r="N257" i="25" s="1"/>
  <c r="L272" i="25"/>
  <c r="N272" i="25" s="1"/>
  <c r="L74" i="25"/>
  <c r="N74" i="25" s="1"/>
  <c r="L164" i="25"/>
  <c r="N164" i="25" s="1"/>
  <c r="L284" i="25"/>
  <c r="N284" i="25" s="1"/>
  <c r="L158" i="25"/>
  <c r="N158" i="25" s="1"/>
  <c r="L254" i="25"/>
  <c r="N254" i="25" s="1"/>
  <c r="L232" i="25"/>
  <c r="N232" i="25" s="1"/>
  <c r="L91" i="25"/>
  <c r="N91" i="25" s="1"/>
  <c r="L276" i="25"/>
  <c r="N276" i="25" s="1"/>
  <c r="L148" i="25"/>
  <c r="N148" i="25" s="1"/>
  <c r="L50" i="25"/>
  <c r="N50" i="25" s="1"/>
  <c r="L283" i="25"/>
  <c r="N283" i="25" s="1"/>
  <c r="L307" i="25"/>
  <c r="N307" i="25" s="1"/>
  <c r="L175" i="25"/>
  <c r="N175" i="25" s="1"/>
  <c r="L160" i="25"/>
  <c r="N160" i="25" s="1"/>
  <c r="L297" i="25"/>
  <c r="N297" i="25" s="1"/>
  <c r="L83" i="25"/>
  <c r="N83" i="25" s="1"/>
  <c r="L163" i="25"/>
  <c r="N163" i="25" s="1"/>
  <c r="L87" i="25"/>
  <c r="N87" i="25" s="1"/>
  <c r="L189" i="25"/>
  <c r="N189" i="25" s="1"/>
  <c r="L59" i="25"/>
  <c r="N59" i="25" s="1"/>
  <c r="L237" i="25"/>
  <c r="N237" i="25" s="1"/>
  <c r="L58" i="25"/>
  <c r="N58" i="25" s="1"/>
  <c r="L216" i="25"/>
  <c r="N216" i="25" s="1"/>
  <c r="L98" i="25"/>
  <c r="N98" i="25" s="1"/>
  <c r="L260" i="25"/>
  <c r="N260" i="25" s="1"/>
  <c r="L68" i="25"/>
  <c r="N68" i="25" s="1"/>
  <c r="L253" i="25"/>
  <c r="N253" i="25" s="1"/>
  <c r="L311" i="25"/>
  <c r="N311" i="25" s="1"/>
  <c r="L140" i="25"/>
  <c r="N140" i="25" s="1"/>
  <c r="L100" i="25"/>
  <c r="N100" i="25" s="1"/>
  <c r="L18" i="25"/>
  <c r="N18" i="25" s="1"/>
  <c r="L209" i="25"/>
  <c r="N209" i="25" s="1"/>
  <c r="L90" i="25"/>
  <c r="N90" i="25" s="1"/>
  <c r="L139" i="25"/>
  <c r="N139" i="25" s="1"/>
  <c r="L274" i="25"/>
  <c r="N274" i="25" s="1"/>
  <c r="L309" i="25"/>
  <c r="N309" i="25" s="1"/>
  <c r="L233" i="25"/>
  <c r="N233" i="25" s="1"/>
  <c r="L165" i="25"/>
  <c r="N165" i="25" s="1"/>
  <c r="L127" i="25"/>
  <c r="N127" i="25" s="1"/>
  <c r="L268" i="25"/>
  <c r="N268" i="25" s="1"/>
  <c r="L144" i="25"/>
  <c r="N144" i="25" s="1"/>
  <c r="L72" i="25"/>
  <c r="N72" i="25" s="1"/>
  <c r="L118" i="25"/>
  <c r="N118" i="25" s="1"/>
  <c r="L54" i="25"/>
  <c r="N54" i="25" s="1"/>
  <c r="L40" i="25"/>
  <c r="N40" i="25" s="1"/>
  <c r="L302" i="25"/>
  <c r="N302" i="25" s="1"/>
  <c r="L304" i="25"/>
  <c r="N304" i="25" s="1"/>
  <c r="L264" i="25"/>
  <c r="N264" i="25" s="1"/>
  <c r="L303" i="25"/>
  <c r="N303" i="25" s="1"/>
  <c r="L278" i="25"/>
  <c r="N278" i="25" s="1"/>
  <c r="L197" i="25"/>
  <c r="N197" i="25" s="1"/>
  <c r="L167" i="25"/>
  <c r="N167" i="25" s="1"/>
  <c r="L168" i="25"/>
  <c r="N168" i="25" s="1"/>
  <c r="L228" i="25"/>
  <c r="N228" i="25" s="1"/>
  <c r="L21" i="25"/>
  <c r="N21" i="25" s="1"/>
  <c r="L62" i="25"/>
  <c r="N62" i="25" s="1"/>
  <c r="L222" i="25"/>
  <c r="N222" i="25" s="1"/>
  <c r="L17" i="25"/>
  <c r="N17" i="25" s="1"/>
  <c r="L155" i="25"/>
  <c r="N155" i="25" s="1"/>
  <c r="L258" i="25"/>
  <c r="N258" i="25" s="1"/>
  <c r="L46" i="25"/>
  <c r="N46" i="25" s="1"/>
  <c r="L101" i="25"/>
  <c r="N101" i="25" s="1"/>
  <c r="L188" i="25"/>
  <c r="N188" i="25" s="1"/>
  <c r="L147" i="25"/>
  <c r="N147" i="25" s="1"/>
  <c r="L267" i="25"/>
  <c r="N267" i="25" s="1"/>
  <c r="L45" i="25"/>
  <c r="N45" i="25" s="1"/>
  <c r="L28" i="25"/>
  <c r="N28" i="25" s="1"/>
  <c r="L143" i="25"/>
  <c r="N143" i="25" s="1"/>
  <c r="L88" i="25"/>
  <c r="N88" i="25" s="1"/>
  <c r="L113" i="25"/>
  <c r="N113" i="25" s="1"/>
  <c r="L22" i="25"/>
  <c r="N22" i="25" s="1"/>
  <c r="L64" i="25"/>
  <c r="N64" i="25" s="1"/>
  <c r="L42" i="25"/>
  <c r="N42" i="25" s="1"/>
  <c r="L200" i="25"/>
  <c r="N200" i="25" s="1"/>
  <c r="L287" i="25"/>
  <c r="N287" i="25" s="1"/>
  <c r="L51" i="25"/>
  <c r="N51" i="25" s="1"/>
  <c r="L8" i="25"/>
  <c r="N8" i="25" s="1"/>
  <c r="L306" i="25"/>
  <c r="N306" i="25" s="1"/>
  <c r="L19" i="25"/>
  <c r="N19" i="25" s="1"/>
  <c r="L25" i="25"/>
  <c r="N25" i="25" s="1"/>
  <c r="L20" i="25"/>
  <c r="N20" i="25" s="1"/>
  <c r="L179" i="25"/>
  <c r="N179" i="25" s="1"/>
  <c r="L93" i="25"/>
  <c r="N93" i="25" s="1"/>
  <c r="L203" i="25"/>
  <c r="N203" i="25" s="1"/>
  <c r="L220" i="25"/>
  <c r="N220" i="25" s="1"/>
  <c r="L161" i="25"/>
  <c r="N161" i="25" s="1"/>
  <c r="L96" i="25"/>
  <c r="N96" i="25" s="1"/>
  <c r="L106" i="25"/>
  <c r="N106" i="25" s="1"/>
  <c r="L97" i="25"/>
  <c r="N97" i="25" s="1"/>
  <c r="L227" i="25"/>
  <c r="N227" i="25" s="1"/>
  <c r="L92" i="25"/>
  <c r="N92" i="25" s="1"/>
  <c r="L247" i="25"/>
  <c r="N247" i="25" s="1"/>
  <c r="L280" i="25"/>
  <c r="N280" i="25" s="1"/>
  <c r="L187" i="25"/>
  <c r="N187" i="25" s="1"/>
  <c r="L121" i="25"/>
  <c r="N121" i="25" s="1"/>
  <c r="R303" i="13"/>
  <c r="S303" i="13" s="1"/>
  <c r="R8" i="13"/>
  <c r="S8" i="13" s="1"/>
  <c r="R278" i="13"/>
  <c r="S278" i="13" s="1"/>
  <c r="R93" i="13"/>
  <c r="S93" i="13" s="1"/>
  <c r="R304" i="13"/>
  <c r="S304" i="13" s="1"/>
  <c r="R167" i="13"/>
  <c r="S167" i="13" s="1"/>
  <c r="R197" i="13"/>
  <c r="S197" i="13" s="1"/>
  <c r="R309" i="13"/>
  <c r="S309" i="13" s="1"/>
  <c r="R165" i="13"/>
  <c r="S165" i="13" s="1"/>
  <c r="R260" i="13"/>
  <c r="S260" i="13" s="1"/>
  <c r="R58" i="13"/>
  <c r="S58" i="13" s="1"/>
  <c r="R233" i="13"/>
  <c r="S233" i="13" s="1"/>
  <c r="R140" i="13"/>
  <c r="S140" i="13" s="1"/>
  <c r="R164" i="13"/>
  <c r="S164" i="13" s="1"/>
  <c r="R96" i="13"/>
  <c r="S96" i="13" s="1"/>
  <c r="R18" i="13"/>
  <c r="S18" i="13" s="1"/>
  <c r="R188" i="13"/>
  <c r="S188" i="13" s="1"/>
  <c r="R237" i="13"/>
  <c r="S237" i="13" s="1"/>
  <c r="R285" i="13"/>
  <c r="S285" i="13" s="1"/>
  <c r="R124" i="13"/>
  <c r="S124" i="13" s="1"/>
  <c r="R305" i="13"/>
  <c r="S305" i="13" s="1"/>
  <c r="R187" i="13"/>
  <c r="S187" i="13" s="1"/>
  <c r="R228" i="13"/>
  <c r="S228" i="13" s="1"/>
  <c r="R297" i="13"/>
  <c r="S297" i="13" s="1"/>
  <c r="R227" i="13"/>
  <c r="S227" i="13" s="1"/>
  <c r="R175" i="13"/>
  <c r="S175" i="13" s="1"/>
  <c r="R98" i="13"/>
  <c r="S98" i="13" s="1"/>
  <c r="R152" i="13"/>
  <c r="S152" i="13" s="1"/>
  <c r="R91" i="13"/>
  <c r="S91" i="13" s="1"/>
  <c r="R311" i="13"/>
  <c r="S311" i="13" s="1"/>
  <c r="R74" i="13"/>
  <c r="S74" i="13" s="1"/>
  <c r="R121" i="13"/>
  <c r="S121" i="13" s="1"/>
  <c r="R17" i="13"/>
  <c r="S17" i="13" s="1"/>
  <c r="R28" i="13"/>
  <c r="S28" i="13" s="1"/>
  <c r="R160" i="13"/>
  <c r="S160" i="13" s="1"/>
  <c r="R100" i="13"/>
  <c r="S100" i="13" s="1"/>
  <c r="R238" i="13"/>
  <c r="S238" i="13" s="1"/>
  <c r="R222" i="13"/>
  <c r="S222" i="13" s="1"/>
  <c r="R287" i="13"/>
  <c r="S287" i="13" s="1"/>
  <c r="R56" i="13"/>
  <c r="S56" i="13" s="1"/>
  <c r="R247" i="13"/>
  <c r="S247" i="13" s="1"/>
  <c r="R302" i="13"/>
  <c r="S302" i="13" s="1"/>
  <c r="R113" i="13"/>
  <c r="S113" i="13" s="1"/>
  <c r="R51" i="13"/>
  <c r="S51" i="13" s="1"/>
  <c r="R280" i="13"/>
  <c r="S280" i="13" s="1"/>
  <c r="R192" i="13"/>
  <c r="S192" i="13" s="1"/>
  <c r="R107" i="13"/>
  <c r="S107" i="13" s="1"/>
  <c r="R264" i="13"/>
  <c r="S264" i="13" s="1"/>
  <c r="R88" i="13"/>
  <c r="S88" i="13" s="1"/>
  <c r="R70" i="13"/>
  <c r="S70" i="13" s="1"/>
  <c r="R283" i="13"/>
  <c r="S283" i="13" s="1"/>
  <c r="R59" i="13"/>
  <c r="S59" i="13" s="1"/>
  <c r="R31" i="13"/>
  <c r="S31" i="13" s="1"/>
  <c r="R9" i="13"/>
  <c r="S9" i="13" s="1"/>
  <c r="R64" i="13"/>
  <c r="S64" i="13" s="1"/>
  <c r="R216" i="13"/>
  <c r="S216" i="13" s="1"/>
  <c r="R174" i="13"/>
  <c r="S174" i="13" s="1"/>
  <c r="R143" i="13"/>
  <c r="S143" i="13" s="1"/>
  <c r="R189" i="13"/>
  <c r="S189" i="13" s="1"/>
  <c r="R50" i="13"/>
  <c r="S50" i="13" s="1"/>
  <c r="R146" i="13"/>
  <c r="S146" i="13" s="1"/>
  <c r="R42" i="13"/>
  <c r="S42" i="13" s="1"/>
  <c r="R22" i="13"/>
  <c r="S22" i="13" s="1"/>
  <c r="R52" i="13"/>
  <c r="S52" i="13" s="1"/>
  <c r="R307" i="13"/>
  <c r="S307" i="13" s="1"/>
  <c r="R200" i="13"/>
  <c r="S200" i="13" s="1"/>
  <c r="R150" i="13"/>
  <c r="S150" i="13" s="1"/>
  <c r="R274" i="13"/>
  <c r="S274" i="13" s="1"/>
  <c r="R132" i="13"/>
  <c r="S132" i="13" s="1"/>
  <c r="R168" i="13"/>
  <c r="S168" i="13" s="1"/>
  <c r="R92" i="13"/>
  <c r="S92" i="13" s="1"/>
  <c r="R115" i="13"/>
  <c r="S115" i="13" s="1"/>
  <c r="R101" i="13"/>
  <c r="S101" i="13" s="1"/>
  <c r="R130" i="13"/>
  <c r="S130" i="13" s="1"/>
  <c r="R97" i="13"/>
  <c r="S97" i="13" s="1"/>
  <c r="R298" i="13"/>
  <c r="S298" i="13" s="1"/>
  <c r="R217" i="13"/>
  <c r="S217" i="13" s="1"/>
  <c r="R257" i="13"/>
  <c r="S257" i="13" s="1"/>
  <c r="R296" i="13"/>
  <c r="S296" i="13" s="1"/>
  <c r="R106" i="13"/>
  <c r="S106" i="13" s="1"/>
  <c r="R135" i="13"/>
  <c r="S135" i="13" s="1"/>
  <c r="R19" i="13"/>
  <c r="S19" i="13" s="1"/>
  <c r="R190" i="13"/>
  <c r="S190" i="13" s="1"/>
  <c r="R194" i="13"/>
  <c r="S194" i="13" s="1"/>
  <c r="R155" i="13"/>
  <c r="S155" i="13" s="1"/>
  <c r="R252" i="13"/>
  <c r="S252" i="13" s="1"/>
  <c r="R139" i="13"/>
  <c r="S139" i="13" s="1"/>
  <c r="R25" i="13"/>
  <c r="S25" i="13" s="1"/>
  <c r="R250" i="13"/>
  <c r="S250" i="13" s="1"/>
  <c r="R286" i="13"/>
  <c r="S286" i="13" s="1"/>
  <c r="R272" i="13"/>
  <c r="S272" i="13" s="1"/>
  <c r="R277" i="13"/>
  <c r="S277" i="13" s="1"/>
  <c r="R254" i="13"/>
  <c r="S254" i="13" s="1"/>
  <c r="R246" i="13"/>
  <c r="S246" i="13" s="1"/>
  <c r="R62" i="13"/>
  <c r="S62" i="13" s="1"/>
  <c r="R253" i="13"/>
  <c r="S253" i="13" s="1"/>
  <c r="R159" i="13"/>
  <c r="S159" i="13" s="1"/>
  <c r="R40" i="13"/>
  <c r="S40" i="13" s="1"/>
  <c r="R72" i="13"/>
  <c r="S72" i="13" s="1"/>
  <c r="R265" i="13"/>
  <c r="S265" i="13" s="1"/>
  <c r="R39" i="13"/>
  <c r="S39" i="13" s="1"/>
  <c r="R123" i="13"/>
  <c r="S123" i="13" s="1"/>
  <c r="R116" i="13"/>
  <c r="S116" i="13" s="1"/>
  <c r="R20" i="13"/>
  <c r="S20" i="13" s="1"/>
  <c r="R110" i="13"/>
  <c r="S110" i="13" s="1"/>
  <c r="R158" i="13"/>
  <c r="S158" i="13" s="1"/>
  <c r="R273" i="13"/>
  <c r="S273" i="13" s="1"/>
  <c r="R248" i="13"/>
  <c r="S248" i="13" s="1"/>
  <c r="R54" i="13"/>
  <c r="S54" i="13" s="1"/>
  <c r="R153" i="13"/>
  <c r="S153" i="13" s="1"/>
  <c r="R90" i="13"/>
  <c r="S90" i="13" s="1"/>
  <c r="R161" i="13"/>
  <c r="S161" i="13" s="1"/>
  <c r="R21" i="13"/>
  <c r="S21" i="13" s="1"/>
  <c r="R27" i="13"/>
  <c r="S27" i="13" s="1"/>
  <c r="R266" i="13"/>
  <c r="S266" i="13" s="1"/>
  <c r="R46" i="13"/>
  <c r="S46" i="13" s="1"/>
  <c r="R262" i="13"/>
  <c r="S262" i="13" s="1"/>
  <c r="R231" i="13"/>
  <c r="S231" i="13" s="1"/>
  <c r="R203" i="13"/>
  <c r="S203" i="13" s="1"/>
  <c r="R48" i="13"/>
  <c r="S48" i="13" s="1"/>
  <c r="R276" i="13"/>
  <c r="S276" i="13" s="1"/>
  <c r="R239" i="13"/>
  <c r="S239" i="13" s="1"/>
  <c r="R204" i="13"/>
  <c r="S204" i="13" s="1"/>
  <c r="R258" i="13"/>
  <c r="S258" i="13" s="1"/>
  <c r="R269" i="13"/>
  <c r="S269" i="13" s="1"/>
  <c r="R148" i="13"/>
  <c r="S148" i="13" s="1"/>
  <c r="R118" i="13"/>
  <c r="S118" i="13" s="1"/>
  <c r="R271" i="13"/>
  <c r="S271" i="13" s="1"/>
  <c r="R179" i="13"/>
  <c r="S179" i="13" s="1"/>
  <c r="K122" i="25"/>
  <c r="K65" i="25"/>
  <c r="K259" i="25"/>
  <c r="K289" i="25"/>
  <c r="K79" i="25"/>
  <c r="K14" i="25"/>
  <c r="K310" i="25"/>
  <c r="K80" i="25"/>
  <c r="K57" i="25"/>
  <c r="K44" i="25"/>
  <c r="K38" i="25"/>
  <c r="K32" i="25"/>
  <c r="K270" i="25"/>
  <c r="K240" i="25"/>
  <c r="K145" i="25"/>
  <c r="K99" i="25"/>
  <c r="K112" i="25"/>
  <c r="K105" i="25"/>
  <c r="K199" i="25"/>
  <c r="K131" i="25"/>
  <c r="K60" i="25"/>
  <c r="K134" i="25"/>
  <c r="K263" i="25"/>
  <c r="K53" i="25"/>
  <c r="K23" i="25"/>
  <c r="K243" i="25"/>
  <c r="K301" i="25"/>
  <c r="R151" i="13"/>
  <c r="S151" i="13" s="1"/>
  <c r="R275" i="13"/>
  <c r="S275" i="13" s="1"/>
  <c r="K174" i="25"/>
  <c r="K244" i="25"/>
  <c r="K29" i="25"/>
  <c r="K26" i="25"/>
  <c r="K178" i="25"/>
  <c r="K236" i="25"/>
  <c r="K238" i="25"/>
  <c r="K73" i="25"/>
  <c r="K214" i="25"/>
  <c r="K171" i="25"/>
  <c r="K162" i="25"/>
  <c r="K109" i="25"/>
  <c r="K185" i="25"/>
  <c r="K77" i="25"/>
  <c r="K308" i="25"/>
  <c r="R234" i="13"/>
  <c r="S234" i="13" s="1"/>
  <c r="K34" i="25"/>
  <c r="K102" i="25"/>
  <c r="K33" i="25"/>
  <c r="K295" i="25"/>
  <c r="K186" i="25"/>
  <c r="K218" i="25"/>
  <c r="K192" i="25"/>
  <c r="R114" i="13"/>
  <c r="S114" i="13" s="1"/>
  <c r="K166" i="25"/>
  <c r="K10" i="25"/>
  <c r="R236" i="13"/>
  <c r="S236" i="13" s="1"/>
  <c r="K170" i="25"/>
  <c r="K252" i="25"/>
  <c r="K130" i="25"/>
  <c r="K124" i="25"/>
  <c r="K153" i="25"/>
  <c r="K190" i="25"/>
  <c r="K9" i="25"/>
  <c r="K277" i="25"/>
  <c r="K123" i="25"/>
  <c r="K150" i="25"/>
  <c r="K135" i="25"/>
  <c r="K245" i="25"/>
  <c r="K128" i="25"/>
  <c r="K154" i="25"/>
  <c r="K279" i="25"/>
  <c r="K300" i="25"/>
  <c r="K249" i="25"/>
  <c r="K229" i="25"/>
  <c r="K213" i="25"/>
  <c r="K37" i="25"/>
  <c r="K183" i="25"/>
  <c r="K108" i="25"/>
  <c r="K169" i="25"/>
  <c r="K75" i="25"/>
  <c r="K7" i="25"/>
  <c r="K151" i="25"/>
  <c r="K290" i="25"/>
  <c r="K271" i="25"/>
  <c r="K85" i="25"/>
  <c r="K15" i="25"/>
  <c r="K225" i="25"/>
  <c r="K313" i="25"/>
  <c r="K177" i="25"/>
  <c r="K71" i="25"/>
  <c r="K86" i="25"/>
  <c r="K314" i="25"/>
  <c r="K82" i="25"/>
  <c r="R193" i="13"/>
  <c r="S193" i="13" s="1"/>
  <c r="R249" i="13"/>
  <c r="S249" i="13" s="1"/>
  <c r="K256" i="25"/>
  <c r="R29" i="13"/>
  <c r="S29" i="13" s="1"/>
  <c r="K146" i="25"/>
  <c r="K133" i="25"/>
  <c r="K239" i="25"/>
  <c r="K282" i="25"/>
  <c r="K149" i="25"/>
  <c r="K196" i="25"/>
  <c r="K138" i="25"/>
  <c r="K294" i="25"/>
  <c r="K24" i="25"/>
  <c r="K235" i="25"/>
  <c r="R290" i="13"/>
  <c r="S290" i="13" s="1"/>
  <c r="K63" i="25"/>
  <c r="K142" i="25"/>
  <c r="K251" i="25"/>
  <c r="R85" i="13"/>
  <c r="S85" i="13" s="1"/>
  <c r="K288" i="25"/>
  <c r="K13" i="25"/>
  <c r="K184" i="25"/>
  <c r="K312" i="25"/>
  <c r="R195" i="13"/>
  <c r="S195" i="13" s="1"/>
  <c r="R120" i="13"/>
  <c r="S120" i="13" s="1"/>
  <c r="K129" i="25"/>
  <c r="R66" i="13"/>
  <c r="S66" i="13" s="1"/>
  <c r="K159" i="25"/>
  <c r="K210" i="25"/>
  <c r="R133" i="13"/>
  <c r="S133" i="13" s="1"/>
  <c r="K132" i="25"/>
  <c r="K27" i="25"/>
  <c r="K296" i="25"/>
  <c r="K269" i="25"/>
  <c r="K48" i="25"/>
  <c r="K194" i="25"/>
  <c r="K52" i="25"/>
  <c r="K81" i="25"/>
  <c r="K292" i="25"/>
  <c r="K136" i="25"/>
  <c r="K172" i="25"/>
  <c r="K207" i="25"/>
  <c r="K293" i="25"/>
  <c r="K84" i="25"/>
  <c r="K223" i="25"/>
  <c r="K30" i="25"/>
  <c r="K221" i="25"/>
  <c r="K69" i="25"/>
  <c r="K94" i="25"/>
  <c r="K291" i="25"/>
  <c r="K119" i="25"/>
  <c r="K103" i="25"/>
  <c r="K205" i="25"/>
  <c r="K212" i="25"/>
  <c r="K261" i="25"/>
  <c r="K120" i="25"/>
  <c r="K107" i="25"/>
  <c r="K234" i="25"/>
  <c r="K275" i="25"/>
  <c r="K16" i="25"/>
  <c r="K265" i="25"/>
  <c r="K125" i="25"/>
  <c r="K201" i="25"/>
  <c r="K47" i="25"/>
  <c r="K241" i="25"/>
  <c r="K104" i="25"/>
  <c r="K157" i="25"/>
  <c r="K182" i="25"/>
  <c r="K76" i="25"/>
  <c r="R300" i="13"/>
  <c r="S300" i="13" s="1"/>
  <c r="R163" i="13"/>
  <c r="S163" i="13" s="1"/>
  <c r="R26" i="13"/>
  <c r="S26" i="13" s="1"/>
  <c r="K286" i="25"/>
  <c r="K116" i="25"/>
  <c r="K56" i="25"/>
  <c r="K231" i="25"/>
  <c r="K70" i="25"/>
  <c r="K39" i="25"/>
  <c r="K230" i="25"/>
  <c r="K126" i="25"/>
  <c r="K78" i="25"/>
  <c r="K180" i="25"/>
  <c r="K31" i="25"/>
  <c r="K176" i="25"/>
  <c r="K195" i="25"/>
  <c r="K193" i="25"/>
  <c r="K66" i="25"/>
  <c r="K114" i="25"/>
  <c r="K89" i="25"/>
  <c r="K281" i="25"/>
  <c r="K117" i="25"/>
  <c r="K141" i="25"/>
  <c r="K137" i="25"/>
  <c r="K36" i="25"/>
  <c r="K224" i="25"/>
  <c r="K250" i="25"/>
  <c r="K217" i="25"/>
  <c r="K41" i="25"/>
  <c r="K246" i="25"/>
  <c r="K211" i="25"/>
  <c r="K173" i="25"/>
  <c r="K156" i="25"/>
  <c r="K299" i="25"/>
  <c r="K226" i="25"/>
  <c r="K12" i="25"/>
  <c r="R30" i="13"/>
  <c r="S30" i="13" s="1"/>
  <c r="R32" i="13"/>
  <c r="S32" i="13" s="1"/>
  <c r="K305" i="25"/>
  <c r="K115" i="25"/>
  <c r="K273" i="25"/>
  <c r="K255" i="25"/>
  <c r="K35" i="25"/>
  <c r="K206" i="25"/>
  <c r="K11" i="25"/>
  <c r="K198" i="25"/>
  <c r="K181" i="25"/>
  <c r="K67" i="25"/>
  <c r="K55" i="25"/>
  <c r="K215" i="25"/>
  <c r="R41" i="13"/>
  <c r="S41" i="13" s="1"/>
  <c r="K242" i="25"/>
  <c r="K43" i="25"/>
  <c r="K49" i="25"/>
  <c r="K208" i="25"/>
  <c r="K111" i="25"/>
  <c r="R223" i="13"/>
  <c r="S223" i="13" s="1"/>
  <c r="R125" i="13"/>
  <c r="S125" i="13" s="1"/>
  <c r="K61" i="25"/>
  <c r="R178" i="13"/>
  <c r="S178" i="13" s="1"/>
  <c r="K152" i="25"/>
  <c r="K202" i="25"/>
  <c r="K248" i="25"/>
  <c r="K204" i="25"/>
  <c r="K298" i="25"/>
  <c r="K110" i="25"/>
  <c r="K285" i="25"/>
  <c r="K262" i="25"/>
  <c r="K266" i="25"/>
  <c r="R244" i="13"/>
  <c r="S244" i="13" s="1"/>
  <c r="P219" i="13"/>
  <c r="Q219" i="13" s="1"/>
  <c r="R170" i="13"/>
  <c r="S170" i="13" s="1"/>
  <c r="R142" i="13"/>
  <c r="S142" i="13" s="1"/>
  <c r="R301" i="13"/>
  <c r="S301" i="13" s="1"/>
  <c r="R221" i="13"/>
  <c r="S221" i="13" s="1"/>
  <c r="R63" i="13"/>
  <c r="S63" i="13" s="1"/>
  <c r="R76" i="13"/>
  <c r="S76" i="13" s="1"/>
  <c r="R111" i="13"/>
  <c r="S111" i="13" s="1"/>
  <c r="R36" i="13"/>
  <c r="S36" i="13" s="1"/>
  <c r="R94" i="13"/>
  <c r="S94" i="13" s="1"/>
  <c r="R73" i="13"/>
  <c r="S73" i="13" s="1"/>
  <c r="R181" i="13"/>
  <c r="S181" i="13" s="1"/>
  <c r="R99" i="13"/>
  <c r="S99" i="13" s="1"/>
  <c r="R109" i="13"/>
  <c r="S109" i="13" s="1"/>
  <c r="R43" i="13"/>
  <c r="S43" i="13" s="1"/>
  <c r="R16" i="13"/>
  <c r="S16" i="13" s="1"/>
  <c r="R173" i="13"/>
  <c r="S173" i="13" s="1"/>
  <c r="R294" i="13"/>
  <c r="S294" i="13" s="1"/>
  <c r="R225" i="13"/>
  <c r="S225" i="13" s="1"/>
  <c r="R282" i="13"/>
  <c r="S282" i="13" s="1"/>
  <c r="R79" i="13"/>
  <c r="S79" i="13" s="1"/>
  <c r="R308" i="13"/>
  <c r="S308" i="13" s="1"/>
  <c r="R184" i="13"/>
  <c r="S184" i="13" s="1"/>
  <c r="R23" i="13"/>
  <c r="S23" i="13" s="1"/>
  <c r="R261" i="13"/>
  <c r="S261" i="13" s="1"/>
  <c r="R289" i="13"/>
  <c r="S289" i="13" s="1"/>
  <c r="R215" i="13"/>
  <c r="S215" i="13" s="1"/>
  <c r="R122" i="13"/>
  <c r="S122" i="13" s="1"/>
  <c r="R145" i="13"/>
  <c r="S145" i="13" s="1"/>
  <c r="R53" i="13"/>
  <c r="S53" i="13" s="1"/>
  <c r="R212" i="13"/>
  <c r="S212" i="13" s="1"/>
  <c r="R256" i="13"/>
  <c r="S256" i="13" s="1"/>
  <c r="R230" i="13"/>
  <c r="S230" i="13" s="1"/>
  <c r="R199" i="13"/>
  <c r="S199" i="13" s="1"/>
  <c r="R49" i="13"/>
  <c r="S49" i="13" s="1"/>
  <c r="R180" i="13"/>
  <c r="S180" i="13" s="1"/>
  <c r="R243" i="13"/>
  <c r="S243" i="13" s="1"/>
  <c r="R202" i="13"/>
  <c r="S202" i="13" s="1"/>
  <c r="R7" i="13"/>
  <c r="S7" i="13" s="1"/>
  <c r="R108" i="13"/>
  <c r="S108" i="13" s="1"/>
  <c r="R137" i="13"/>
  <c r="S137" i="13" s="1"/>
  <c r="R279" i="13"/>
  <c r="S279" i="13" s="1"/>
  <c r="R14" i="13"/>
  <c r="S14" i="13" s="1"/>
  <c r="R82" i="13"/>
  <c r="S82" i="13" s="1"/>
  <c r="R218" i="13"/>
  <c r="S218" i="13" s="1"/>
  <c r="R166" i="13"/>
  <c r="S166" i="13" s="1"/>
  <c r="R210" i="13"/>
  <c r="S210" i="13" s="1"/>
  <c r="R10" i="13"/>
  <c r="S10" i="13" s="1"/>
  <c r="R15" i="13"/>
  <c r="S15" i="13" s="1"/>
  <c r="R37" i="13"/>
  <c r="S37" i="13" s="1"/>
  <c r="R171" i="13"/>
  <c r="S171" i="13" s="1"/>
  <c r="R245" i="13"/>
  <c r="S245" i="13" s="1"/>
  <c r="R259" i="13"/>
  <c r="S259" i="13" s="1"/>
  <c r="R136" i="13"/>
  <c r="S136" i="13" s="1"/>
  <c r="R77" i="13"/>
  <c r="S77" i="13" s="1"/>
  <c r="R251" i="13"/>
  <c r="S251" i="13" s="1"/>
  <c r="R71" i="13"/>
  <c r="S71" i="13" s="1"/>
  <c r="R288" i="13"/>
  <c r="S288" i="13" s="1"/>
  <c r="R270" i="13"/>
  <c r="S270" i="13" s="1"/>
  <c r="R205" i="13"/>
  <c r="S205" i="13" s="1"/>
  <c r="R263" i="13"/>
  <c r="S263" i="13" s="1"/>
  <c r="R129" i="13"/>
  <c r="S129" i="13" s="1"/>
  <c r="R176" i="13"/>
  <c r="S176" i="13" s="1"/>
  <c r="R149" i="13"/>
  <c r="S149" i="13" s="1"/>
  <c r="R196" i="13"/>
  <c r="S196" i="13" s="1"/>
  <c r="R229" i="13"/>
  <c r="S229" i="13" s="1"/>
  <c r="R162" i="13"/>
  <c r="S162" i="13" s="1"/>
  <c r="R292" i="13"/>
  <c r="S292" i="13" s="1"/>
  <c r="R126" i="13"/>
  <c r="S126" i="13" s="1"/>
  <c r="R104" i="13"/>
  <c r="S104" i="13" s="1"/>
  <c r="R60" i="13"/>
  <c r="S60" i="13" s="1"/>
  <c r="R157" i="13"/>
  <c r="S157" i="13" s="1"/>
  <c r="R78" i="13"/>
  <c r="S78" i="13" s="1"/>
  <c r="R208" i="13"/>
  <c r="S208" i="13" s="1"/>
  <c r="R169" i="13"/>
  <c r="S169" i="13" s="1"/>
  <c r="R226" i="13"/>
  <c r="S226" i="13" s="1"/>
  <c r="R224" i="13"/>
  <c r="S224" i="13" s="1"/>
  <c r="R293" i="13"/>
  <c r="S293" i="13" s="1"/>
  <c r="R84" i="13"/>
  <c r="S84" i="13" s="1"/>
  <c r="R186" i="13"/>
  <c r="S186" i="13" s="1"/>
  <c r="R255" i="13"/>
  <c r="S255" i="13" s="1"/>
  <c r="R198" i="13"/>
  <c r="S198" i="13" s="1"/>
  <c r="R89" i="13"/>
  <c r="S89" i="13" s="1"/>
  <c r="R211" i="13"/>
  <c r="S211" i="13" s="1"/>
  <c r="R65" i="13"/>
  <c r="S65" i="13" s="1"/>
  <c r="R81" i="13"/>
  <c r="S81" i="13" s="1"/>
  <c r="R214" i="13"/>
  <c r="S214" i="13" s="1"/>
  <c r="R35" i="13"/>
  <c r="S35" i="13" s="1"/>
  <c r="R206" i="13"/>
  <c r="S206" i="13" s="1"/>
  <c r="R67" i="13"/>
  <c r="S67" i="13" s="1"/>
  <c r="R69" i="13"/>
  <c r="S69" i="13" s="1"/>
  <c r="R141" i="13"/>
  <c r="S141" i="13" s="1"/>
  <c r="R24" i="13"/>
  <c r="S24" i="13" s="1"/>
  <c r="R11" i="13"/>
  <c r="S11" i="13" s="1"/>
  <c r="R55" i="13"/>
  <c r="S55" i="13" s="1"/>
  <c r="R213" i="13"/>
  <c r="S213" i="13" s="1"/>
  <c r="R183" i="13"/>
  <c r="S183" i="13" s="1"/>
  <c r="R235" i="13"/>
  <c r="S235" i="13" s="1"/>
  <c r="R201" i="13"/>
  <c r="S201" i="13" s="1"/>
  <c r="R105" i="13"/>
  <c r="S105" i="13" s="1"/>
  <c r="R172" i="13"/>
  <c r="S172" i="13" s="1"/>
  <c r="R13" i="13"/>
  <c r="S13" i="13" s="1"/>
  <c r="R240" i="13"/>
  <c r="S240" i="13" s="1"/>
  <c r="R310" i="13"/>
  <c r="S310" i="13" s="1"/>
  <c r="R80" i="13"/>
  <c r="S80" i="13" s="1"/>
  <c r="R154" i="13"/>
  <c r="S154" i="13" s="1"/>
  <c r="R295" i="13"/>
  <c r="S295" i="13" s="1"/>
  <c r="R312" i="13"/>
  <c r="S312" i="13" s="1"/>
  <c r="R38" i="13"/>
  <c r="S38" i="13" s="1"/>
  <c r="R12" i="13"/>
  <c r="S12" i="13" s="1"/>
  <c r="R61" i="13"/>
  <c r="S61" i="13" s="1"/>
  <c r="R75" i="13"/>
  <c r="S75" i="13" s="1"/>
  <c r="R117" i="13"/>
  <c r="S117" i="13" s="1"/>
  <c r="R138" i="13"/>
  <c r="S138" i="13" s="1"/>
  <c r="R57" i="13"/>
  <c r="S57" i="13" s="1"/>
  <c r="R281" i="13"/>
  <c r="S281" i="13" s="1"/>
  <c r="R291" i="13"/>
  <c r="S291" i="13" s="1"/>
  <c r="R156" i="13"/>
  <c r="S156" i="13" s="1"/>
  <c r="R313" i="13"/>
  <c r="S313" i="13" s="1"/>
  <c r="R47" i="13"/>
  <c r="S47" i="13" s="1"/>
  <c r="R112" i="13"/>
  <c r="S112" i="13" s="1"/>
  <c r="R185" i="13"/>
  <c r="S185" i="13" s="1"/>
  <c r="R119" i="13"/>
  <c r="S119" i="13" s="1"/>
  <c r="R177" i="13"/>
  <c r="S177" i="13" s="1"/>
  <c r="R241" i="13"/>
  <c r="S241" i="13" s="1"/>
  <c r="R131" i="13"/>
  <c r="S131" i="13" s="1"/>
  <c r="R103" i="13"/>
  <c r="S103" i="13" s="1"/>
  <c r="R242" i="13"/>
  <c r="S242" i="13" s="1"/>
  <c r="R44" i="13"/>
  <c r="S44" i="13" s="1"/>
  <c r="R128" i="13"/>
  <c r="S128" i="13" s="1"/>
  <c r="R34" i="13"/>
  <c r="S34" i="13" s="1"/>
  <c r="R86" i="13"/>
  <c r="S86" i="13" s="1"/>
  <c r="R134" i="13"/>
  <c r="S134" i="13" s="1"/>
  <c r="R102" i="13"/>
  <c r="S102" i="13" s="1"/>
  <c r="R299" i="13"/>
  <c r="S299" i="13" s="1"/>
  <c r="R182" i="13"/>
  <c r="S182" i="13" s="1"/>
  <c r="R207" i="13"/>
  <c r="S207" i="13" s="1"/>
  <c r="R33" i="13"/>
  <c r="S33" i="13" s="1"/>
  <c r="R314" i="13"/>
  <c r="S314" i="13" s="1"/>
  <c r="E39" i="48"/>
  <c r="H90" i="51" l="1"/>
  <c r="H160" i="51"/>
  <c r="H227" i="51"/>
  <c r="H232" i="51"/>
  <c r="H106" i="51"/>
  <c r="H121" i="51"/>
  <c r="H297" i="51"/>
  <c r="H158" i="51"/>
  <c r="H97" i="51"/>
  <c r="H307" i="51"/>
  <c r="H62" i="51"/>
  <c r="H311" i="51"/>
  <c r="H280" i="51"/>
  <c r="H20" i="51"/>
  <c r="H222" i="51"/>
  <c r="H74" i="51"/>
  <c r="H45" i="51"/>
  <c r="H58" i="51"/>
  <c r="H283" i="51"/>
  <c r="H161" i="51"/>
  <c r="H175" i="51"/>
  <c r="H143" i="51"/>
  <c r="H264" i="51"/>
  <c r="H306" i="51"/>
  <c r="H127" i="51"/>
  <c r="H113" i="51"/>
  <c r="H91" i="51"/>
  <c r="H147" i="51"/>
  <c r="H287" i="51"/>
  <c r="H46" i="51"/>
  <c r="H258" i="51"/>
  <c r="H93" i="51"/>
  <c r="H98" i="51"/>
  <c r="H237" i="51"/>
  <c r="H233" i="51"/>
  <c r="H88" i="51"/>
  <c r="H188" i="51"/>
  <c r="H179" i="51"/>
  <c r="H276" i="51"/>
  <c r="H18" i="51"/>
  <c r="H101" i="51"/>
  <c r="H72" i="51"/>
  <c r="H83" i="51"/>
  <c r="H303" i="51"/>
  <c r="H309" i="51"/>
  <c r="H209" i="51"/>
  <c r="H64" i="51"/>
  <c r="H87" i="51"/>
  <c r="H164" i="51"/>
  <c r="H22" i="51"/>
  <c r="H54" i="51"/>
  <c r="H19" i="51"/>
  <c r="H28" i="51"/>
  <c r="H254" i="51"/>
  <c r="H167" i="51"/>
  <c r="H51" i="51"/>
  <c r="H40" i="51"/>
  <c r="H168" i="51"/>
  <c r="H59" i="51"/>
  <c r="H68" i="51"/>
  <c r="H268" i="51"/>
  <c r="H8" i="51"/>
  <c r="H228" i="51"/>
  <c r="H200" i="51"/>
  <c r="H247" i="51"/>
  <c r="H25" i="51"/>
  <c r="H267" i="51"/>
  <c r="H140" i="51"/>
  <c r="H42" i="51"/>
  <c r="H50" i="51"/>
  <c r="H118" i="51"/>
  <c r="H197" i="51"/>
  <c r="H302" i="51"/>
  <c r="H100" i="51"/>
  <c r="H272" i="51"/>
  <c r="H203" i="51"/>
  <c r="H257" i="51"/>
  <c r="H144" i="51"/>
  <c r="H278" i="51"/>
  <c r="H96" i="51"/>
  <c r="H274" i="51"/>
  <c r="H253" i="51"/>
  <c r="H21" i="51"/>
  <c r="H139" i="51"/>
  <c r="H95" i="51"/>
  <c r="H165" i="51"/>
  <c r="H17" i="51"/>
  <c r="H187" i="51"/>
  <c r="H216" i="51"/>
  <c r="H163" i="51"/>
  <c r="H284" i="51"/>
  <c r="H304" i="51"/>
  <c r="H92" i="51"/>
  <c r="H148" i="51"/>
  <c r="H189" i="51"/>
  <c r="O262" i="25"/>
  <c r="G262" i="51" s="1"/>
  <c r="H262" i="51" s="1"/>
  <c r="O111" i="25"/>
  <c r="G111" i="51" s="1"/>
  <c r="O206" i="25"/>
  <c r="G206" i="51" s="1"/>
  <c r="H206" i="51" s="1"/>
  <c r="O173" i="25"/>
  <c r="G173" i="51" s="1"/>
  <c r="O89" i="25"/>
  <c r="G89" i="51" s="1"/>
  <c r="H89" i="51" s="1"/>
  <c r="O286" i="25"/>
  <c r="G286" i="51" s="1"/>
  <c r="O241" i="25"/>
  <c r="G241" i="51" s="1"/>
  <c r="O94" i="25"/>
  <c r="G94" i="51" s="1"/>
  <c r="O172" i="25"/>
  <c r="G172" i="51" s="1"/>
  <c r="H172" i="51" s="1"/>
  <c r="O210" i="25"/>
  <c r="G210" i="51" s="1"/>
  <c r="O142" i="25"/>
  <c r="G142" i="51" s="1"/>
  <c r="H142" i="51" s="1"/>
  <c r="O149" i="25"/>
  <c r="G149" i="51" s="1"/>
  <c r="O15" i="25"/>
  <c r="G15" i="51" s="1"/>
  <c r="H15" i="51" s="1"/>
  <c r="O229" i="25"/>
  <c r="G229" i="51" s="1"/>
  <c r="O252" i="25"/>
  <c r="G252" i="51" s="1"/>
  <c r="O185" i="25"/>
  <c r="G185" i="51" s="1"/>
  <c r="O243" i="25"/>
  <c r="G243" i="51" s="1"/>
  <c r="H243" i="51" s="1"/>
  <c r="O110" i="25"/>
  <c r="G110" i="51" s="1"/>
  <c r="O202" i="25"/>
  <c r="G202" i="51" s="1"/>
  <c r="O49" i="25"/>
  <c r="G49" i="51" s="1"/>
  <c r="O215" i="25"/>
  <c r="G215" i="51" s="1"/>
  <c r="O255" i="25"/>
  <c r="G255" i="51" s="1"/>
  <c r="O299" i="25"/>
  <c r="G299" i="51" s="1"/>
  <c r="H299" i="51" s="1"/>
  <c r="O224" i="25"/>
  <c r="G224" i="51" s="1"/>
  <c r="O66" i="25"/>
  <c r="G66" i="51" s="1"/>
  <c r="H66" i="51" s="1"/>
  <c r="O230" i="25"/>
  <c r="G230" i="51" s="1"/>
  <c r="O201" i="25"/>
  <c r="G201" i="51" s="1"/>
  <c r="H201" i="51" s="1"/>
  <c r="O261" i="25"/>
  <c r="G261" i="51" s="1"/>
  <c r="O119" i="25"/>
  <c r="G119" i="51" s="1"/>
  <c r="H119" i="51" s="1"/>
  <c r="O293" i="25"/>
  <c r="G293" i="51" s="1"/>
  <c r="O48" i="25"/>
  <c r="G48" i="51" s="1"/>
  <c r="H48" i="51" s="1"/>
  <c r="O138" i="25"/>
  <c r="G138" i="51" s="1"/>
  <c r="O256" i="25"/>
  <c r="G256" i="51" s="1"/>
  <c r="H256" i="51" s="1"/>
  <c r="O314" i="25"/>
  <c r="G314" i="51" s="1"/>
  <c r="O271" i="25"/>
  <c r="G271" i="51" s="1"/>
  <c r="H271" i="51" s="1"/>
  <c r="O75" i="25"/>
  <c r="G75" i="51" s="1"/>
  <c r="O300" i="25"/>
  <c r="G300" i="51" s="1"/>
  <c r="H300" i="51" s="1"/>
  <c r="O245" i="25"/>
  <c r="G245" i="51" s="1"/>
  <c r="O124" i="25"/>
  <c r="G124" i="51" s="1"/>
  <c r="H124" i="51" s="1"/>
  <c r="O192" i="25"/>
  <c r="G192" i="51" s="1"/>
  <c r="O308" i="25"/>
  <c r="G308" i="51" s="1"/>
  <c r="H308" i="51" s="1"/>
  <c r="O238" i="25"/>
  <c r="G238" i="51" s="1"/>
  <c r="O53" i="25"/>
  <c r="G53" i="51" s="1"/>
  <c r="H53" i="51" s="1"/>
  <c r="O131" i="25"/>
  <c r="G131" i="51" s="1"/>
  <c r="H131" i="51" s="1"/>
  <c r="O99" i="25"/>
  <c r="G99" i="51" s="1"/>
  <c r="H99" i="51" s="1"/>
  <c r="O80" i="25"/>
  <c r="G80" i="51" s="1"/>
  <c r="O289" i="25"/>
  <c r="G289" i="51" s="1"/>
  <c r="H289" i="51" s="1"/>
  <c r="O191" i="25"/>
  <c r="G191" i="51" s="1"/>
  <c r="H191" i="51" s="1"/>
  <c r="H260" i="51"/>
  <c r="O266" i="25"/>
  <c r="G266" i="51" s="1"/>
  <c r="H266" i="51" s="1"/>
  <c r="O298" i="25"/>
  <c r="G298" i="51" s="1"/>
  <c r="O152" i="25"/>
  <c r="G152" i="51" s="1"/>
  <c r="O43" i="25"/>
  <c r="G43" i="51" s="1"/>
  <c r="O55" i="25"/>
  <c r="G55" i="51" s="1"/>
  <c r="H55" i="51" s="1"/>
  <c r="O11" i="25"/>
  <c r="G11" i="51" s="1"/>
  <c r="O273" i="25"/>
  <c r="G273" i="51" s="1"/>
  <c r="H273" i="51" s="1"/>
  <c r="O156" i="25"/>
  <c r="G156" i="51" s="1"/>
  <c r="O41" i="25"/>
  <c r="G41" i="51" s="1"/>
  <c r="H41" i="51" s="1"/>
  <c r="O36" i="25"/>
  <c r="G36" i="51" s="1"/>
  <c r="O281" i="25"/>
  <c r="G281" i="51" s="1"/>
  <c r="H281" i="51" s="1"/>
  <c r="O193" i="25"/>
  <c r="G193" i="51" s="1"/>
  <c r="O180" i="25"/>
  <c r="G180" i="51" s="1"/>
  <c r="H180" i="51" s="1"/>
  <c r="O39" i="25"/>
  <c r="G39" i="51" s="1"/>
  <c r="H39" i="51" s="1"/>
  <c r="O116" i="25"/>
  <c r="G116" i="51" s="1"/>
  <c r="O104" i="25"/>
  <c r="G104" i="51" s="1"/>
  <c r="H104" i="51" s="1"/>
  <c r="O125" i="25"/>
  <c r="G125" i="51" s="1"/>
  <c r="H125" i="51" s="1"/>
  <c r="O234" i="25"/>
  <c r="G234" i="51" s="1"/>
  <c r="H234" i="51" s="1"/>
  <c r="O212" i="25"/>
  <c r="G212" i="51" s="1"/>
  <c r="O291" i="25"/>
  <c r="G291" i="51" s="1"/>
  <c r="H291" i="51" s="1"/>
  <c r="O30" i="25"/>
  <c r="G30" i="51" s="1"/>
  <c r="H30" i="51" s="1"/>
  <c r="O207" i="25"/>
  <c r="G207" i="51" s="1"/>
  <c r="H207" i="51" s="1"/>
  <c r="O81" i="25"/>
  <c r="G81" i="51" s="1"/>
  <c r="O269" i="25"/>
  <c r="G269" i="51" s="1"/>
  <c r="H269" i="51" s="1"/>
  <c r="O129" i="25"/>
  <c r="G129" i="51" s="1"/>
  <c r="H129" i="51" s="1"/>
  <c r="O184" i="25"/>
  <c r="G184" i="51" s="1"/>
  <c r="H184" i="51" s="1"/>
  <c r="O251" i="25"/>
  <c r="G251" i="51" s="1"/>
  <c r="O235" i="25"/>
  <c r="G235" i="51" s="1"/>
  <c r="H235" i="51" s="1"/>
  <c r="O196" i="25"/>
  <c r="G196" i="51" s="1"/>
  <c r="H196" i="51" s="1"/>
  <c r="O133" i="25"/>
  <c r="G133" i="51" s="1"/>
  <c r="H133" i="51" s="1"/>
  <c r="O86" i="25"/>
  <c r="G86" i="51" s="1"/>
  <c r="O225" i="25"/>
  <c r="G225" i="51" s="1"/>
  <c r="H225" i="51" s="1"/>
  <c r="O290" i="25"/>
  <c r="G290" i="51" s="1"/>
  <c r="H290" i="51" s="1"/>
  <c r="O169" i="25"/>
  <c r="G169" i="51" s="1"/>
  <c r="H169" i="51" s="1"/>
  <c r="O213" i="25"/>
  <c r="G213" i="51" s="1"/>
  <c r="O279" i="25"/>
  <c r="G279" i="51" s="1"/>
  <c r="H279" i="51" s="1"/>
  <c r="O135" i="25"/>
  <c r="G135" i="51" s="1"/>
  <c r="H135" i="51" s="1"/>
  <c r="O9" i="25"/>
  <c r="G9" i="51" s="1"/>
  <c r="H9" i="51" s="1"/>
  <c r="O130" i="25"/>
  <c r="G130" i="51" s="1"/>
  <c r="O10" i="25"/>
  <c r="G10" i="51" s="1"/>
  <c r="H10" i="51" s="1"/>
  <c r="O218" i="25"/>
  <c r="G218" i="51" s="1"/>
  <c r="H218" i="51" s="1"/>
  <c r="O102" i="25"/>
  <c r="G102" i="51" s="1"/>
  <c r="H102" i="51" s="1"/>
  <c r="O77" i="25"/>
  <c r="G77" i="51" s="1"/>
  <c r="O171" i="25"/>
  <c r="G171" i="51" s="1"/>
  <c r="H171" i="51" s="1"/>
  <c r="O236" i="25"/>
  <c r="G236" i="51" s="1"/>
  <c r="H236" i="51" s="1"/>
  <c r="O244" i="25"/>
  <c r="G244" i="51" s="1"/>
  <c r="H244" i="51" s="1"/>
  <c r="O301" i="25"/>
  <c r="G301" i="51" s="1"/>
  <c r="O263" i="25"/>
  <c r="G263" i="51" s="1"/>
  <c r="H263" i="51" s="1"/>
  <c r="O199" i="25"/>
  <c r="G199" i="51" s="1"/>
  <c r="H199" i="51" s="1"/>
  <c r="O145" i="25"/>
  <c r="G145" i="51" s="1"/>
  <c r="H145" i="51" s="1"/>
  <c r="O38" i="25"/>
  <c r="G38" i="51" s="1"/>
  <c r="O310" i="25"/>
  <c r="G310" i="51" s="1"/>
  <c r="H310" i="51" s="1"/>
  <c r="O259" i="25"/>
  <c r="G259" i="51" s="1"/>
  <c r="H259" i="51" s="1"/>
  <c r="O204" i="25"/>
  <c r="G204" i="51" s="1"/>
  <c r="H204" i="51" s="1"/>
  <c r="O115" i="25"/>
  <c r="G115" i="51" s="1"/>
  <c r="O195" i="25"/>
  <c r="G195" i="51" s="1"/>
  <c r="O265" i="25"/>
  <c r="G265" i="51" s="1"/>
  <c r="H265" i="51" s="1"/>
  <c r="O52" i="25"/>
  <c r="G52" i="51" s="1"/>
  <c r="H52" i="51" s="1"/>
  <c r="O108" i="25"/>
  <c r="G108" i="51" s="1"/>
  <c r="H108" i="51" s="1"/>
  <c r="O190" i="25"/>
  <c r="G190" i="51" s="1"/>
  <c r="H190" i="51" s="1"/>
  <c r="O34" i="25"/>
  <c r="G34" i="51" s="1"/>
  <c r="H34" i="51" s="1"/>
  <c r="O174" i="25"/>
  <c r="G174" i="51" s="1"/>
  <c r="H174" i="51" s="1"/>
  <c r="O240" i="25"/>
  <c r="G240" i="51" s="1"/>
  <c r="H240" i="51" s="1"/>
  <c r="O65" i="25"/>
  <c r="G65" i="51" s="1"/>
  <c r="H65" i="51" s="1"/>
  <c r="O67" i="25"/>
  <c r="G67" i="51" s="1"/>
  <c r="H67" i="51" s="1"/>
  <c r="O12" i="25"/>
  <c r="G12" i="51" s="1"/>
  <c r="H12" i="51" s="1"/>
  <c r="O137" i="25"/>
  <c r="G137" i="51" s="1"/>
  <c r="H137" i="51" s="1"/>
  <c r="O78" i="25"/>
  <c r="G78" i="51" s="1"/>
  <c r="O76" i="25"/>
  <c r="G76" i="51" s="1"/>
  <c r="H76" i="51" s="1"/>
  <c r="O107" i="25"/>
  <c r="G107" i="51" s="1"/>
  <c r="H107" i="51" s="1"/>
  <c r="O223" i="25"/>
  <c r="G223" i="51" s="1"/>
  <c r="H223" i="51" s="1"/>
  <c r="O296" i="25"/>
  <c r="G296" i="51" s="1"/>
  <c r="O13" i="25"/>
  <c r="G13" i="51" s="1"/>
  <c r="H13" i="51" s="1"/>
  <c r="O24" i="25"/>
  <c r="G24" i="51" s="1"/>
  <c r="H24" i="51" s="1"/>
  <c r="O71" i="25"/>
  <c r="G71" i="51" s="1"/>
  <c r="H71" i="51" s="1"/>
  <c r="O154" i="25"/>
  <c r="G154" i="51" s="1"/>
  <c r="H154" i="51" s="1"/>
  <c r="O166" i="25"/>
  <c r="G166" i="51" s="1"/>
  <c r="H166" i="51" s="1"/>
  <c r="O214" i="25"/>
  <c r="G214" i="51" s="1"/>
  <c r="H214" i="51" s="1"/>
  <c r="O134" i="25"/>
  <c r="G134" i="51" s="1"/>
  <c r="H134" i="51" s="1"/>
  <c r="O14" i="25"/>
  <c r="G14" i="51" s="1"/>
  <c r="H14" i="51" s="1"/>
  <c r="O285" i="25"/>
  <c r="G285" i="51" s="1"/>
  <c r="O248" i="25"/>
  <c r="G248" i="51" s="1"/>
  <c r="H248" i="51" s="1"/>
  <c r="O61" i="25"/>
  <c r="G61" i="51" s="1"/>
  <c r="H61" i="51" s="1"/>
  <c r="O208" i="25"/>
  <c r="G208" i="51" s="1"/>
  <c r="H208" i="51" s="1"/>
  <c r="O181" i="25"/>
  <c r="G181" i="51" s="1"/>
  <c r="H181" i="51" s="1"/>
  <c r="O35" i="25"/>
  <c r="G35" i="51" s="1"/>
  <c r="H35" i="51" s="1"/>
  <c r="O305" i="25"/>
  <c r="G305" i="51" s="1"/>
  <c r="H305" i="51" s="1"/>
  <c r="O226" i="25"/>
  <c r="G226" i="51" s="1"/>
  <c r="H226" i="51" s="1"/>
  <c r="O211" i="25"/>
  <c r="G211" i="51" s="1"/>
  <c r="O250" i="25"/>
  <c r="G250" i="51" s="1"/>
  <c r="H250" i="51" s="1"/>
  <c r="O141" i="25"/>
  <c r="G141" i="51" s="1"/>
  <c r="H141" i="51" s="1"/>
  <c r="O114" i="25"/>
  <c r="G114" i="51" s="1"/>
  <c r="H114" i="51" s="1"/>
  <c r="O176" i="25"/>
  <c r="G176" i="51" s="1"/>
  <c r="H176" i="51" s="1"/>
  <c r="O126" i="25"/>
  <c r="G126" i="51" s="1"/>
  <c r="O231" i="25"/>
  <c r="G231" i="51" s="1"/>
  <c r="H231" i="51" s="1"/>
  <c r="O182" i="25"/>
  <c r="G182" i="51" s="1"/>
  <c r="O47" i="25"/>
  <c r="G47" i="51" s="1"/>
  <c r="H47" i="51" s="1"/>
  <c r="O16" i="25"/>
  <c r="G16" i="51" s="1"/>
  <c r="O120" i="25"/>
  <c r="G120" i="51" s="1"/>
  <c r="H120" i="51" s="1"/>
  <c r="O103" i="25"/>
  <c r="G103" i="51" s="1"/>
  <c r="O69" i="25"/>
  <c r="G69" i="51" s="1"/>
  <c r="H69" i="51" s="1"/>
  <c r="O84" i="25"/>
  <c r="G84" i="51" s="1"/>
  <c r="O136" i="25"/>
  <c r="G136" i="51" s="1"/>
  <c r="H136" i="51" s="1"/>
  <c r="O194" i="25"/>
  <c r="G194" i="51" s="1"/>
  <c r="O27" i="25"/>
  <c r="G27" i="51" s="1"/>
  <c r="H27" i="51" s="1"/>
  <c r="O159" i="25"/>
  <c r="G159" i="51" s="1"/>
  <c r="O288" i="25"/>
  <c r="G288" i="51" s="1"/>
  <c r="H288" i="51" s="1"/>
  <c r="O63" i="25"/>
  <c r="G63" i="51" s="1"/>
  <c r="O294" i="25"/>
  <c r="G294" i="51" s="1"/>
  <c r="H294" i="51" s="1"/>
  <c r="O282" i="25"/>
  <c r="G282" i="51" s="1"/>
  <c r="O82" i="25"/>
  <c r="G82" i="51" s="1"/>
  <c r="H82" i="51" s="1"/>
  <c r="O177" i="25"/>
  <c r="G177" i="51" s="1"/>
  <c r="O85" i="25"/>
  <c r="G85" i="51" s="1"/>
  <c r="H85" i="51" s="1"/>
  <c r="O7" i="25"/>
  <c r="G7" i="51" s="1"/>
  <c r="O183" i="25"/>
  <c r="G183" i="51" s="1"/>
  <c r="H183" i="51" s="1"/>
  <c r="O249" i="25"/>
  <c r="G249" i="51" s="1"/>
  <c r="O128" i="25"/>
  <c r="G128" i="51" s="1"/>
  <c r="H128" i="51" s="1"/>
  <c r="O123" i="25"/>
  <c r="G123" i="51" s="1"/>
  <c r="O153" i="25"/>
  <c r="G153" i="51" s="1"/>
  <c r="H153" i="51" s="1"/>
  <c r="O170" i="25"/>
  <c r="G170" i="51" s="1"/>
  <c r="O295" i="25"/>
  <c r="G295" i="51" s="1"/>
  <c r="H295" i="51" s="1"/>
  <c r="O109" i="25"/>
  <c r="G109" i="51" s="1"/>
  <c r="O73" i="25"/>
  <c r="G73" i="51" s="1"/>
  <c r="H73" i="51" s="1"/>
  <c r="O26" i="25"/>
  <c r="G26" i="51" s="1"/>
  <c r="O23" i="25"/>
  <c r="G23" i="51" s="1"/>
  <c r="H23" i="51" s="1"/>
  <c r="O60" i="25"/>
  <c r="G60" i="51" s="1"/>
  <c r="O112" i="25"/>
  <c r="G112" i="51" s="1"/>
  <c r="H112" i="51" s="1"/>
  <c r="O270" i="25"/>
  <c r="G270" i="51" s="1"/>
  <c r="O57" i="25"/>
  <c r="G57" i="51" s="1"/>
  <c r="H57" i="51" s="1"/>
  <c r="O79" i="25"/>
  <c r="G79" i="51" s="1"/>
  <c r="O122" i="25"/>
  <c r="G122" i="51" s="1"/>
  <c r="H122" i="51" s="1"/>
  <c r="O242" i="25"/>
  <c r="G242" i="51" s="1"/>
  <c r="O217" i="25"/>
  <c r="G217" i="51" s="1"/>
  <c r="H217" i="51" s="1"/>
  <c r="O70" i="25"/>
  <c r="G70" i="51" s="1"/>
  <c r="O205" i="25"/>
  <c r="G205" i="51" s="1"/>
  <c r="O146" i="25"/>
  <c r="G146" i="51" s="1"/>
  <c r="O151" i="25"/>
  <c r="G151" i="51" s="1"/>
  <c r="H151" i="51" s="1"/>
  <c r="O150" i="25"/>
  <c r="G150" i="51" s="1"/>
  <c r="O186" i="25"/>
  <c r="G186" i="51" s="1"/>
  <c r="H186" i="51" s="1"/>
  <c r="O178" i="25"/>
  <c r="G178" i="51" s="1"/>
  <c r="O105" i="25"/>
  <c r="G105" i="51" s="1"/>
  <c r="H105" i="51" s="1"/>
  <c r="O44" i="25"/>
  <c r="G44" i="51" s="1"/>
  <c r="O198" i="25"/>
  <c r="G198" i="51" s="1"/>
  <c r="H198" i="51" s="1"/>
  <c r="O246" i="25"/>
  <c r="G246" i="51" s="1"/>
  <c r="O117" i="25"/>
  <c r="G117" i="51" s="1"/>
  <c r="O31" i="25"/>
  <c r="G31" i="51" s="1"/>
  <c r="O56" i="25"/>
  <c r="G56" i="51" s="1"/>
  <c r="H56" i="51" s="1"/>
  <c r="O157" i="25"/>
  <c r="G157" i="51" s="1"/>
  <c r="O275" i="25"/>
  <c r="G275" i="51" s="1"/>
  <c r="H275" i="51" s="1"/>
  <c r="O221" i="25"/>
  <c r="G221" i="51" s="1"/>
  <c r="O292" i="25"/>
  <c r="G292" i="51" s="1"/>
  <c r="H292" i="51" s="1"/>
  <c r="O132" i="25"/>
  <c r="G132" i="51" s="1"/>
  <c r="O312" i="25"/>
  <c r="G312" i="51" s="1"/>
  <c r="H312" i="51" s="1"/>
  <c r="O239" i="25"/>
  <c r="G239" i="51" s="1"/>
  <c r="H239" i="51" s="1"/>
  <c r="O313" i="25"/>
  <c r="G313" i="51" s="1"/>
  <c r="H313" i="51" s="1"/>
  <c r="O37" i="25"/>
  <c r="G37" i="51" s="1"/>
  <c r="O277" i="25"/>
  <c r="G277" i="51" s="1"/>
  <c r="H277" i="51" s="1"/>
  <c r="O33" i="25"/>
  <c r="G33" i="51" s="1"/>
  <c r="O162" i="25"/>
  <c r="G162" i="51" s="1"/>
  <c r="H162" i="51" s="1"/>
  <c r="O29" i="25"/>
  <c r="G29" i="51" s="1"/>
  <c r="O32" i="25"/>
  <c r="G32" i="51" s="1"/>
  <c r="H32" i="51" s="1"/>
  <c r="H202" i="51"/>
  <c r="H152" i="51"/>
  <c r="H156" i="51"/>
  <c r="H36" i="51"/>
  <c r="H193" i="51"/>
  <c r="H116" i="51"/>
  <c r="H212" i="51"/>
  <c r="H81" i="51"/>
  <c r="H251" i="51"/>
  <c r="H86" i="51"/>
  <c r="H213" i="51"/>
  <c r="H130" i="51"/>
  <c r="H77" i="51"/>
  <c r="H301" i="51"/>
  <c r="H38" i="51"/>
  <c r="H110" i="51"/>
  <c r="H43" i="51"/>
  <c r="H11" i="51"/>
  <c r="H115" i="51"/>
  <c r="H173" i="51"/>
  <c r="H286" i="51"/>
  <c r="H241" i="51"/>
  <c r="H94" i="51"/>
  <c r="H210" i="51"/>
  <c r="H149" i="51"/>
  <c r="H229" i="51"/>
  <c r="H252" i="51"/>
  <c r="H185" i="51"/>
  <c r="H298" i="51"/>
  <c r="H111" i="51"/>
  <c r="H49" i="51"/>
  <c r="H255" i="51"/>
  <c r="H224" i="51"/>
  <c r="H230" i="51"/>
  <c r="H261" i="51"/>
  <c r="H293" i="51"/>
  <c r="H138" i="51"/>
  <c r="H314" i="51"/>
  <c r="H75" i="51"/>
  <c r="H245" i="51"/>
  <c r="H192" i="51"/>
  <c r="H238" i="51"/>
  <c r="H80" i="51"/>
  <c r="N315" i="13"/>
  <c r="R6" i="13"/>
  <c r="S6" i="13" s="1"/>
  <c r="R191" i="13"/>
  <c r="S191" i="13" s="1"/>
  <c r="E37" i="48"/>
  <c r="F39" i="48" s="1"/>
  <c r="F43" i="48" s="1"/>
  <c r="J6" i="25"/>
  <c r="O6" i="25" s="1"/>
  <c r="I314" i="12"/>
  <c r="J315" i="25" s="1"/>
  <c r="L67" i="25"/>
  <c r="N67" i="25" s="1"/>
  <c r="L195" i="25"/>
  <c r="N195" i="25" s="1"/>
  <c r="L223" i="25"/>
  <c r="N223" i="25" s="1"/>
  <c r="L146" i="25"/>
  <c r="N146" i="25" s="1"/>
  <c r="L135" i="25"/>
  <c r="N135" i="25" s="1"/>
  <c r="L301" i="25"/>
  <c r="N301" i="25" s="1"/>
  <c r="L248" i="25"/>
  <c r="N248" i="25" s="1"/>
  <c r="L208" i="25"/>
  <c r="N208" i="25" s="1"/>
  <c r="L181" i="25"/>
  <c r="N181" i="25" s="1"/>
  <c r="L305" i="25"/>
  <c r="N305" i="25" s="1"/>
  <c r="L211" i="25"/>
  <c r="N211" i="25" s="1"/>
  <c r="L141" i="25"/>
  <c r="N141" i="25" s="1"/>
  <c r="L176" i="25"/>
  <c r="N176" i="25" s="1"/>
  <c r="L231" i="25"/>
  <c r="N231" i="25" s="1"/>
  <c r="L182" i="25"/>
  <c r="N182" i="25" s="1"/>
  <c r="L16" i="25"/>
  <c r="N16" i="25" s="1"/>
  <c r="L103" i="25"/>
  <c r="N103" i="25" s="1"/>
  <c r="L84" i="25"/>
  <c r="N84" i="25" s="1"/>
  <c r="L194" i="25"/>
  <c r="N194" i="25" s="1"/>
  <c r="L159" i="25"/>
  <c r="N159" i="25" s="1"/>
  <c r="L288" i="25"/>
  <c r="N288" i="25" s="1"/>
  <c r="L294" i="25"/>
  <c r="N294" i="25" s="1"/>
  <c r="L177" i="25"/>
  <c r="N177" i="25" s="1"/>
  <c r="L151" i="25"/>
  <c r="N151" i="25" s="1"/>
  <c r="L229" i="25"/>
  <c r="N229" i="25" s="1"/>
  <c r="L150" i="25"/>
  <c r="N150" i="25" s="1"/>
  <c r="L252" i="25"/>
  <c r="N252" i="25" s="1"/>
  <c r="L186" i="25"/>
  <c r="N186" i="25" s="1"/>
  <c r="L185" i="25"/>
  <c r="N185" i="25" s="1"/>
  <c r="L178" i="25"/>
  <c r="N178" i="25" s="1"/>
  <c r="L243" i="25"/>
  <c r="N243" i="25" s="1"/>
  <c r="L105" i="25"/>
  <c r="N105" i="25" s="1"/>
  <c r="L44" i="25"/>
  <c r="N44" i="25" s="1"/>
  <c r="L65" i="25"/>
  <c r="N65" i="25" s="1"/>
  <c r="L202" i="25"/>
  <c r="N202" i="25" s="1"/>
  <c r="L49" i="25"/>
  <c r="N49" i="25" s="1"/>
  <c r="L198" i="25"/>
  <c r="N198" i="25" s="1"/>
  <c r="L246" i="25"/>
  <c r="N246" i="25" s="1"/>
  <c r="L117" i="25"/>
  <c r="N117" i="25" s="1"/>
  <c r="L31" i="25"/>
  <c r="N31" i="25" s="1"/>
  <c r="L56" i="25"/>
  <c r="N56" i="25" s="1"/>
  <c r="L157" i="25"/>
  <c r="N157" i="25" s="1"/>
  <c r="L275" i="25"/>
  <c r="N275" i="25" s="1"/>
  <c r="L119" i="25"/>
  <c r="N119" i="25" s="1"/>
  <c r="L293" i="25"/>
  <c r="N293" i="25" s="1"/>
  <c r="L48" i="25"/>
  <c r="N48" i="25" s="1"/>
  <c r="L138" i="25"/>
  <c r="N138" i="25" s="1"/>
  <c r="L256" i="25"/>
  <c r="N256" i="25" s="1"/>
  <c r="L313" i="25"/>
  <c r="N313" i="25" s="1"/>
  <c r="L7" i="25"/>
  <c r="N7" i="25" s="1"/>
  <c r="L249" i="25"/>
  <c r="N249" i="25" s="1"/>
  <c r="L123" i="25"/>
  <c r="N123" i="25" s="1"/>
  <c r="L170" i="25"/>
  <c r="N170" i="25" s="1"/>
  <c r="L295" i="25"/>
  <c r="N295" i="25" s="1"/>
  <c r="L109" i="25"/>
  <c r="N109" i="25" s="1"/>
  <c r="L26" i="25"/>
  <c r="N26" i="25" s="1"/>
  <c r="L23" i="25"/>
  <c r="N23" i="25" s="1"/>
  <c r="L112" i="25"/>
  <c r="N112" i="25" s="1"/>
  <c r="L57" i="25"/>
  <c r="N57" i="25" s="1"/>
  <c r="L122" i="25"/>
  <c r="N122" i="25" s="1"/>
  <c r="L204" i="25"/>
  <c r="N204" i="25" s="1"/>
  <c r="L115" i="25"/>
  <c r="N115" i="25" s="1"/>
  <c r="L70" i="25"/>
  <c r="N70" i="25" s="1"/>
  <c r="L265" i="25"/>
  <c r="N265" i="25" s="1"/>
  <c r="L210" i="25"/>
  <c r="N210" i="25" s="1"/>
  <c r="L71" i="25"/>
  <c r="N71" i="25" s="1"/>
  <c r="L290" i="25"/>
  <c r="N290" i="25" s="1"/>
  <c r="L130" i="25"/>
  <c r="N130" i="25" s="1"/>
  <c r="L236" i="25"/>
  <c r="N236" i="25" s="1"/>
  <c r="L259" i="25"/>
  <c r="N259" i="25" s="1"/>
  <c r="L266" i="25"/>
  <c r="N266" i="25" s="1"/>
  <c r="L11" i="25"/>
  <c r="N11" i="25" s="1"/>
  <c r="L281" i="25"/>
  <c r="N281" i="25" s="1"/>
  <c r="L234" i="25"/>
  <c r="N234" i="25" s="1"/>
  <c r="L269" i="25"/>
  <c r="N269" i="25" s="1"/>
  <c r="L196" i="25"/>
  <c r="N196" i="25" s="1"/>
  <c r="L75" i="25"/>
  <c r="N75" i="25" s="1"/>
  <c r="L162" i="25"/>
  <c r="N162" i="25" s="1"/>
  <c r="L99" i="25"/>
  <c r="N99" i="25" s="1"/>
  <c r="L262" i="25"/>
  <c r="N262" i="25" s="1"/>
  <c r="L242" i="25"/>
  <c r="N242" i="25" s="1"/>
  <c r="L217" i="25"/>
  <c r="N217" i="25" s="1"/>
  <c r="L286" i="25"/>
  <c r="N286" i="25" s="1"/>
  <c r="L107" i="25"/>
  <c r="N107" i="25" s="1"/>
  <c r="L296" i="25"/>
  <c r="N296" i="25" s="1"/>
  <c r="L149" i="25"/>
  <c r="N149" i="25" s="1"/>
  <c r="L169" i="25"/>
  <c r="N169" i="25" s="1"/>
  <c r="L9" i="25"/>
  <c r="N9" i="25" s="1"/>
  <c r="L171" i="25"/>
  <c r="N171" i="25" s="1"/>
  <c r="L145" i="25"/>
  <c r="N145" i="25" s="1"/>
  <c r="L285" i="25"/>
  <c r="N285" i="25" s="1"/>
  <c r="L61" i="25"/>
  <c r="N61" i="25" s="1"/>
  <c r="L35" i="25"/>
  <c r="N35" i="25" s="1"/>
  <c r="L226" i="25"/>
  <c r="N226" i="25" s="1"/>
  <c r="L250" i="25"/>
  <c r="N250" i="25" s="1"/>
  <c r="L114" i="25"/>
  <c r="N114" i="25" s="1"/>
  <c r="L126" i="25"/>
  <c r="N126" i="25" s="1"/>
  <c r="L47" i="25"/>
  <c r="N47" i="25" s="1"/>
  <c r="L120" i="25"/>
  <c r="N120" i="25" s="1"/>
  <c r="L69" i="25"/>
  <c r="N69" i="25" s="1"/>
  <c r="L136" i="25"/>
  <c r="N136" i="25" s="1"/>
  <c r="L27" i="25"/>
  <c r="N27" i="25" s="1"/>
  <c r="L63" i="25"/>
  <c r="N63" i="25" s="1"/>
  <c r="L282" i="25"/>
  <c r="N282" i="25" s="1"/>
  <c r="L82" i="25"/>
  <c r="N82" i="25" s="1"/>
  <c r="L15" i="25"/>
  <c r="N15" i="25" s="1"/>
  <c r="L108" i="25"/>
  <c r="N108" i="25" s="1"/>
  <c r="L154" i="25"/>
  <c r="N154" i="25" s="1"/>
  <c r="L190" i="25"/>
  <c r="N190" i="25" s="1"/>
  <c r="L166" i="25"/>
  <c r="N166" i="25" s="1"/>
  <c r="L34" i="25"/>
  <c r="N34" i="25" s="1"/>
  <c r="L214" i="25"/>
  <c r="N214" i="25" s="1"/>
  <c r="L174" i="25"/>
  <c r="N174" i="25" s="1"/>
  <c r="L134" i="25"/>
  <c r="N134" i="25" s="1"/>
  <c r="L240" i="25"/>
  <c r="N240" i="25" s="1"/>
  <c r="L14" i="25"/>
  <c r="N14" i="25" s="1"/>
  <c r="L111" i="25"/>
  <c r="N111" i="25" s="1"/>
  <c r="L137" i="25"/>
  <c r="N137" i="25" s="1"/>
  <c r="L76" i="25"/>
  <c r="N76" i="25" s="1"/>
  <c r="L52" i="25"/>
  <c r="N52" i="25" s="1"/>
  <c r="L13" i="25"/>
  <c r="N13" i="25" s="1"/>
  <c r="L213" i="25"/>
  <c r="N213" i="25" s="1"/>
  <c r="L77" i="25"/>
  <c r="N77" i="25" s="1"/>
  <c r="L199" i="25"/>
  <c r="N199" i="25" s="1"/>
  <c r="L43" i="25"/>
  <c r="N43" i="25" s="1"/>
  <c r="L41" i="25"/>
  <c r="N41" i="25" s="1"/>
  <c r="L116" i="25"/>
  <c r="N116" i="25" s="1"/>
  <c r="L104" i="25"/>
  <c r="N104" i="25" s="1"/>
  <c r="L207" i="25"/>
  <c r="N207" i="25" s="1"/>
  <c r="L251" i="25"/>
  <c r="N251" i="25" s="1"/>
  <c r="L225" i="25"/>
  <c r="N225" i="25" s="1"/>
  <c r="L277" i="25"/>
  <c r="N277" i="25" s="1"/>
  <c r="L29" i="25"/>
  <c r="N29" i="25" s="1"/>
  <c r="L80" i="25"/>
  <c r="N80" i="25" s="1"/>
  <c r="L206" i="25"/>
  <c r="N206" i="25" s="1"/>
  <c r="L89" i="25"/>
  <c r="N89" i="25" s="1"/>
  <c r="L241" i="25"/>
  <c r="N241" i="25" s="1"/>
  <c r="L172" i="25"/>
  <c r="N172" i="25" s="1"/>
  <c r="L142" i="25"/>
  <c r="N142" i="25" s="1"/>
  <c r="L279" i="25"/>
  <c r="N279" i="25" s="1"/>
  <c r="L102" i="25"/>
  <c r="N102" i="25" s="1"/>
  <c r="L244" i="25"/>
  <c r="N244" i="25" s="1"/>
  <c r="L310" i="25"/>
  <c r="N310" i="25" s="1"/>
  <c r="L215" i="25"/>
  <c r="N215" i="25" s="1"/>
  <c r="L312" i="25"/>
  <c r="N312" i="25" s="1"/>
  <c r="L128" i="25"/>
  <c r="N128" i="25" s="1"/>
  <c r="L73" i="25"/>
  <c r="N73" i="25" s="1"/>
  <c r="L60" i="25"/>
  <c r="N60" i="25" s="1"/>
  <c r="L79" i="25"/>
  <c r="N79" i="25" s="1"/>
  <c r="L173" i="25"/>
  <c r="N173" i="25" s="1"/>
  <c r="L205" i="25"/>
  <c r="N205" i="25" s="1"/>
  <c r="L24" i="25"/>
  <c r="N24" i="25" s="1"/>
  <c r="L218" i="25"/>
  <c r="N218" i="25" s="1"/>
  <c r="L38" i="25"/>
  <c r="N38" i="25" s="1"/>
  <c r="L152" i="25"/>
  <c r="N152" i="25" s="1"/>
  <c r="L180" i="25"/>
  <c r="N180" i="25" s="1"/>
  <c r="L291" i="25"/>
  <c r="N291" i="25" s="1"/>
  <c r="L129" i="25"/>
  <c r="N129" i="25" s="1"/>
  <c r="L300" i="25"/>
  <c r="N300" i="25" s="1"/>
  <c r="L33" i="25"/>
  <c r="N33" i="25" s="1"/>
  <c r="L53" i="25"/>
  <c r="N53" i="25" s="1"/>
  <c r="L12" i="25"/>
  <c r="N12" i="25" s="1"/>
  <c r="L78" i="25"/>
  <c r="N78" i="25" s="1"/>
  <c r="L94" i="25"/>
  <c r="N94" i="25" s="1"/>
  <c r="L191" i="25"/>
  <c r="N191" i="25" s="1"/>
  <c r="L10" i="25"/>
  <c r="N10" i="25" s="1"/>
  <c r="L263" i="25"/>
  <c r="N263" i="25" s="1"/>
  <c r="L110" i="25"/>
  <c r="N110" i="25" s="1"/>
  <c r="L255" i="25"/>
  <c r="N255" i="25" s="1"/>
  <c r="L299" i="25"/>
  <c r="N299" i="25" s="1"/>
  <c r="L224" i="25"/>
  <c r="N224" i="25" s="1"/>
  <c r="L66" i="25"/>
  <c r="N66" i="25" s="1"/>
  <c r="L230" i="25"/>
  <c r="N230" i="25" s="1"/>
  <c r="L201" i="25"/>
  <c r="N201" i="25" s="1"/>
  <c r="L261" i="25"/>
  <c r="N261" i="25" s="1"/>
  <c r="L221" i="25"/>
  <c r="N221" i="25" s="1"/>
  <c r="L292" i="25"/>
  <c r="N292" i="25" s="1"/>
  <c r="L132" i="25"/>
  <c r="N132" i="25" s="1"/>
  <c r="L239" i="25"/>
  <c r="N239" i="25" s="1"/>
  <c r="L314" i="25"/>
  <c r="N314" i="25" s="1"/>
  <c r="L85" i="25"/>
  <c r="N85" i="25" s="1"/>
  <c r="L183" i="25"/>
  <c r="N183" i="25" s="1"/>
  <c r="L153" i="25"/>
  <c r="N153" i="25" s="1"/>
  <c r="L270" i="25"/>
  <c r="N270" i="25" s="1"/>
  <c r="L298" i="25"/>
  <c r="N298" i="25" s="1"/>
  <c r="L55" i="25"/>
  <c r="N55" i="25" s="1"/>
  <c r="L273" i="25"/>
  <c r="N273" i="25" s="1"/>
  <c r="L156" i="25"/>
  <c r="N156" i="25" s="1"/>
  <c r="L36" i="25"/>
  <c r="N36" i="25" s="1"/>
  <c r="L193" i="25"/>
  <c r="N193" i="25" s="1"/>
  <c r="L39" i="25"/>
  <c r="N39" i="25" s="1"/>
  <c r="L125" i="25"/>
  <c r="N125" i="25" s="1"/>
  <c r="L212" i="25"/>
  <c r="N212" i="25" s="1"/>
  <c r="L30" i="25"/>
  <c r="N30" i="25" s="1"/>
  <c r="L81" i="25"/>
  <c r="N81" i="25" s="1"/>
  <c r="L184" i="25"/>
  <c r="N184" i="25" s="1"/>
  <c r="L235" i="25"/>
  <c r="N235" i="25" s="1"/>
  <c r="L133" i="25"/>
  <c r="N133" i="25" s="1"/>
  <c r="L86" i="25"/>
  <c r="N86" i="25" s="1"/>
  <c r="L271" i="25"/>
  <c r="N271" i="25" s="1"/>
  <c r="L37" i="25"/>
  <c r="N37" i="25" s="1"/>
  <c r="L245" i="25"/>
  <c r="N245" i="25" s="1"/>
  <c r="L124" i="25"/>
  <c r="N124" i="25" s="1"/>
  <c r="L192" i="25"/>
  <c r="N192" i="25" s="1"/>
  <c r="L308" i="25"/>
  <c r="N308" i="25" s="1"/>
  <c r="L238" i="25"/>
  <c r="N238" i="25" s="1"/>
  <c r="L131" i="25"/>
  <c r="N131" i="25" s="1"/>
  <c r="L32" i="25"/>
  <c r="N32" i="25" s="1"/>
  <c r="L289" i="25"/>
  <c r="N289" i="25" s="1"/>
  <c r="K219" i="25"/>
  <c r="Q315" i="13"/>
  <c r="R219" i="13"/>
  <c r="S219" i="13" s="1"/>
  <c r="H215" i="51" l="1"/>
  <c r="E60" i="48"/>
  <c r="C60" i="48" s="1"/>
  <c r="H177" i="51"/>
  <c r="H126" i="51"/>
  <c r="H157" i="51"/>
  <c r="H78" i="51"/>
  <c r="H221" i="51"/>
  <c r="H60" i="51"/>
  <c r="H194" i="51"/>
  <c r="H182" i="51"/>
  <c r="H211" i="51"/>
  <c r="H296" i="51"/>
  <c r="H70" i="51"/>
  <c r="H31" i="51"/>
  <c r="H170" i="51"/>
  <c r="H195" i="51"/>
  <c r="H242" i="51"/>
  <c r="H79" i="51"/>
  <c r="H63" i="51"/>
  <c r="H16" i="51"/>
  <c r="H285" i="51"/>
  <c r="H37" i="51"/>
  <c r="H29" i="51"/>
  <c r="H270" i="51"/>
  <c r="H249" i="51"/>
  <c r="H103" i="51"/>
  <c r="H246" i="51"/>
  <c r="H132" i="51"/>
  <c r="H26" i="51"/>
  <c r="H33" i="51"/>
  <c r="H117" i="51"/>
  <c r="H109" i="51"/>
  <c r="H123" i="51"/>
  <c r="H7" i="51"/>
  <c r="H282" i="51"/>
  <c r="H159" i="51"/>
  <c r="H84" i="51"/>
  <c r="H44" i="51"/>
  <c r="H178" i="51"/>
  <c r="H150" i="51"/>
  <c r="H146" i="51"/>
  <c r="H205" i="51"/>
  <c r="O219" i="25"/>
  <c r="G219" i="51" s="1"/>
  <c r="H219" i="51" s="1"/>
  <c r="G6" i="51"/>
  <c r="O315" i="25"/>
  <c r="F54" i="48"/>
  <c r="L6" i="25"/>
  <c r="N6" i="25" s="1"/>
  <c r="L219" i="25"/>
  <c r="N219" i="25" s="1"/>
  <c r="D36" i="40"/>
  <c r="K315" i="25"/>
  <c r="L315" i="25" s="1"/>
  <c r="C36" i="40" s="1"/>
  <c r="E61" i="48" l="1"/>
  <c r="C61" i="48" s="1"/>
  <c r="H6" i="51"/>
  <c r="H315" i="51" s="1"/>
  <c r="G315" i="51"/>
  <c r="N315" i="25"/>
</calcChain>
</file>

<file path=xl/sharedStrings.xml><?xml version="1.0" encoding="utf-8"?>
<sst xmlns="http://schemas.openxmlformats.org/spreadsheetml/2006/main" count="1528" uniqueCount="613">
  <si>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</si>
  <si>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</si>
  <si>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</si>
  <si>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</si>
  <si>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</si>
  <si>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</si>
  <si>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</si>
  <si>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</si>
  <si>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</si>
  <si>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</si>
  <si>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</si>
  <si>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</si>
  <si>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</si>
  <si>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</si>
  <si>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</si>
  <si>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</si>
  <si>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</si>
  <si>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</si>
  <si>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</si>
  <si>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</si>
  <si>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</si>
  <si>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</si>
  <si>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</si>
  <si>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</si>
  <si>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</si>
  <si>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</si>
  <si>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</si>
  <si>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</si>
  <si>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</si>
  <si>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</si>
  <si>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</si>
  <si>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</si>
  <si>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</si>
  <si>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</si>
  <si>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</si>
  <si>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</si>
  <si>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</si>
  <si>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</si>
  <si>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</si>
  <si>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</si>
  <si>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</si>
  <si>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</si>
  <si>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</si>
  <si>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</si>
  <si>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</si>
  <si>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</si>
  <si>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</si>
  <si>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</si>
  <si>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</si>
  <si>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</si>
  <si>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</si>
  <si>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</si>
  <si>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</si>
  <si>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</si>
  <si>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</si>
  <si>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</si>
  <si>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</si>
  <si>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</si>
  <si>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</si>
  <si>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</si>
  <si>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</si>
  <si>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</si>
  <si>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</si>
  <si>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</si>
  <si>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</si>
  <si>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</si>
  <si>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</si>
  <si>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Habitants</t>
  </si>
  <si>
    <t>Valeur par habitant</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</si>
  <si>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</si>
  <si>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</si>
  <si>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</si>
  <si>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</si>
  <si>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</si>
  <si>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</si>
  <si>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</si>
  <si>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</si>
  <si>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</si>
  <si>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</si>
  <si>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</si>
  <si>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</si>
  <si>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</si>
  <si>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</si>
  <si>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</si>
  <si>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</si>
  <si>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</si>
  <si>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</si>
  <si>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</si>
  <si>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</si>
  <si>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</si>
  <si>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</si>
  <si>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</si>
  <si>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</si>
  <si>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Facture sociale</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</si>
  <si>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</si>
  <si>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</si>
  <si>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</si>
  <si>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</si>
  <si>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</si>
  <si>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</si>
  <si>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</si>
  <si>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</si>
  <si>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</si>
  <si>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</si>
  <si>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</si>
  <si>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</si>
  <si>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</si>
  <si>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</si>
  <si>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</si>
  <si>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</si>
  <si>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</si>
  <si>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</si>
  <si>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</si>
  <si>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</si>
  <si>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</si>
  <si>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</si>
  <si>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</si>
  <si>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</si>
  <si>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</si>
  <si>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</si>
  <si>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</si>
  <si>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</si>
  <si>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</si>
  <si>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</si>
  <si>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</si>
  <si>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</si>
  <si>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</si>
  <si>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</si>
  <si>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</si>
  <si>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</si>
  <si>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</si>
  <si>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</si>
  <si>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</si>
  <si>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</si>
  <si>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</si>
  <si>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</si>
  <si>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</si>
  <si>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</si>
  <si>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</si>
  <si>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</si>
  <si>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</si>
  <si>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</si>
  <si>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</si>
  <si>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</si>
  <si>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</si>
  <si>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</si>
  <si>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</si>
  <si>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</si>
  <si>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</si>
  <si>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</si>
  <si>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</si>
  <si>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</si>
  <si>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</si>
  <si>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</si>
  <si>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</si>
  <si>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</si>
  <si>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</si>
  <si>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</si>
  <si>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</si>
  <si>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</si>
  <si>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</si>
  <si>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</si>
  <si>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</si>
  <si>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</si>
  <si>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</si>
  <si>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</si>
  <si>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</si>
  <si>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</si>
  <si>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</si>
  <si>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</si>
  <si>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</si>
  <si>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</si>
  <si>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</si>
  <si>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</si>
  <si>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</si>
  <si>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</si>
  <si>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</si>
  <si>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</si>
  <si>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</si>
  <si>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</si>
  <si>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</si>
  <si>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</si>
  <si>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</si>
  <si>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</si>
  <si>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</si>
  <si>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</si>
  <si>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</si>
  <si>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</si>
  <si>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</si>
  <si>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</si>
  <si>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</si>
  <si>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</si>
  <si>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</si>
  <si>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</si>
  <si>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</si>
  <si>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</si>
  <si>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</si>
  <si>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</si>
  <si>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</si>
  <si>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</si>
  <si>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</si>
  <si>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</si>
  <si>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</si>
  <si>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</si>
  <si>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</si>
  <si>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</si>
  <si>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</si>
  <si>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</si>
  <si>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</si>
  <si>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</si>
  <si>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</si>
  <si>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</si>
  <si>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Solde net des péréquations</t>
  </si>
  <si>
    <t>Prise en charge dépassement</t>
  </si>
  <si>
    <t>Forêts</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</si>
  <si>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</si>
  <si>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</si>
  <si>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</si>
  <si>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</si>
  <si>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</si>
  <si>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</si>
  <si>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</si>
  <si>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</si>
  <si>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</si>
  <si>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</si>
  <si>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</si>
  <si>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</si>
  <si>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</si>
  <si>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</si>
  <si>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</si>
  <si>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</si>
  <si>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</si>
  <si>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</si>
  <si>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</si>
  <si>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</si>
  <si>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</si>
  <si>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</si>
  <si>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</si>
  <si>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</si>
  <si>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</si>
  <si>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</si>
  <si>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</si>
  <si>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</si>
  <si>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</si>
  <si>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</si>
  <si>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</si>
  <si>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</si>
  <si>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</si>
  <si>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</si>
  <si>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</si>
  <si>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</si>
  <si>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</si>
  <si>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</si>
  <si>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</si>
  <si>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</si>
  <si>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</si>
  <si>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</si>
  <si>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</si>
  <si>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</si>
  <si>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</si>
  <si>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</si>
  <si>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</si>
  <si>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</si>
  <si>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</si>
  <si>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</si>
  <si>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</si>
  <si>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</si>
  <si>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</si>
  <si>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</si>
  <si>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</si>
  <si>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</si>
  <si>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</si>
  <si>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</si>
  <si>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</si>
  <si>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</si>
  <si>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</si>
  <si>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</si>
  <si>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</si>
  <si>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</si>
  <si>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</si>
  <si>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</si>
  <si>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</si>
  <si>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</si>
  <si>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</si>
  <si>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</si>
  <si>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</si>
  <si>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</si>
  <si>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</si>
  <si>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</si>
  <si>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</si>
  <si>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</si>
  <si>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</si>
  <si>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</si>
  <si>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</si>
  <si>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</si>
  <si>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</si>
  <si>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</si>
  <si>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</si>
  <si>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</si>
  <si>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</si>
  <si>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</si>
  <si>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</si>
  <si>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</si>
  <si>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</si>
  <si>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</si>
  <si>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</si>
  <si>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</si>
  <si>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</si>
  <si>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</si>
  <si>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</si>
  <si>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</si>
  <si>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</si>
  <si>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</si>
  <si>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</si>
  <si>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</si>
  <si>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</si>
  <si>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</si>
  <si>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</si>
  <si>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</si>
  <si>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</si>
  <si>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</si>
  <si>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</si>
  <si>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</si>
  <si>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</si>
  <si>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</si>
  <si>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</si>
  <si>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</si>
  <si>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</si>
  <si>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</si>
  <si>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Routes</t>
  </si>
  <si>
    <t>Transports publics</t>
  </si>
  <si>
    <t>Transports scolaires</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</si>
  <si>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</si>
  <si>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</si>
  <si>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</si>
  <si>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</si>
  <si>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</si>
  <si>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</si>
  <si>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</si>
  <si>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</si>
  <si>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</si>
  <si>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</si>
  <si>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</si>
  <si>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</si>
  <si>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</si>
  <si>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</si>
  <si>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</si>
  <si>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</si>
  <si>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</si>
  <si>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</si>
  <si>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</si>
  <si>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</si>
  <si>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</si>
  <si>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</si>
  <si>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</si>
  <si>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</si>
  <si>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</si>
  <si>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</si>
  <si>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</si>
  <si>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</si>
  <si>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</si>
  <si>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</si>
  <si>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</si>
  <si>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</si>
  <si>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</si>
  <si>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</si>
  <si>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</si>
  <si>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</si>
  <si>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</si>
  <si>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</si>
  <si>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</si>
  <si>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</si>
  <si>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</si>
  <si>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</si>
  <si>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</si>
  <si>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</si>
  <si>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</si>
  <si>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</si>
  <si>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</si>
  <si>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</si>
  <si>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</si>
  <si>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</si>
  <si>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</si>
  <si>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</si>
  <si>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</si>
  <si>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</si>
  <si>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</si>
  <si>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</si>
  <si>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</si>
  <si>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</si>
  <si>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</si>
  <si>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</si>
  <si>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</si>
  <si>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</si>
  <si>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</si>
  <si>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</si>
  <si>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</si>
  <si>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</si>
  <si>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</si>
  <si>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</si>
  <si>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</si>
  <si>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</si>
  <si>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</si>
  <si>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</si>
  <si>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</si>
  <si>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</si>
  <si>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</si>
  <si>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</si>
  <si>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</si>
  <si>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</si>
  <si>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</si>
  <si>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</si>
  <si>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</si>
  <si>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</si>
  <si>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</si>
  <si>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</si>
  <si>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</si>
  <si>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</si>
  <si>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</si>
  <si>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</si>
  <si>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</si>
  <si>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</si>
  <si>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</si>
  <si>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</si>
  <si>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</si>
  <si>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</si>
  <si>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</si>
  <si>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</si>
  <si>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</si>
  <si>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</si>
  <si>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</si>
  <si>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</si>
  <si>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</si>
  <si>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</si>
  <si>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</si>
  <si>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</si>
  <si>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</si>
  <si>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Indexation</t>
  </si>
  <si>
    <t>Plafond aide</t>
  </si>
  <si>
    <t>Bussigny</t>
  </si>
  <si>
    <t>Arzier-Le Muids</t>
  </si>
  <si>
    <t>Montanaire</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</si>
  <si>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</si>
  <si>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</si>
  <si>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</si>
  <si>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</si>
  <si>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</si>
  <si>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</si>
  <si>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</si>
  <si>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</si>
  <si>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</si>
  <si>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</si>
  <si>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</si>
  <si>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</si>
  <si>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</si>
  <si>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</si>
  <si>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</si>
  <si>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</si>
  <si>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</si>
  <si>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</si>
  <si>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</si>
  <si>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</si>
  <si>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</si>
  <si>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</si>
  <si>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</si>
  <si>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</si>
  <si>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</si>
  <si>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</si>
  <si>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 xml:space="preserve">I) Indexation </t>
  </si>
  <si>
    <t>H) Paramètres de plafonnement en points</t>
  </si>
  <si>
    <t>Impôts théoriques</t>
  </si>
  <si>
    <t>Synthèse en CHF</t>
  </si>
  <si>
    <t>Ecrêtage</t>
  </si>
  <si>
    <t xml:space="preserve">J) Liste des communes A--&gt;Z </t>
  </si>
  <si>
    <t>Recettes conjoncturelles (DM + GI + Succ.)</t>
  </si>
  <si>
    <t>Répartition solde après prélèvements</t>
  </si>
  <si>
    <t>Total de la facture sociale</t>
  </si>
  <si>
    <t>Solidarité</t>
  </si>
  <si>
    <t>Transports</t>
  </si>
  <si>
    <t>Plafonnements</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</si>
  <si>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</si>
  <si>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</si>
  <si>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</si>
  <si>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</si>
  <si>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</si>
  <si>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</si>
  <si>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</si>
  <si>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</si>
  <si>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Manco pour l'Etat - à couvrir par la péréquation (en points d'impôts écrêtés)</t>
  </si>
  <si>
    <t>Total à charge des communes</t>
  </si>
  <si>
    <t>Réforme policière</t>
  </si>
  <si>
    <t>Financement reçu pour les nouvelles tâches</t>
  </si>
  <si>
    <t>J) Réforme policière</t>
  </si>
  <si>
    <t>Nombre de point</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</si>
  <si>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</si>
  <si>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</si>
  <si>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</si>
  <si>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</si>
  <si>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</si>
  <si>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</si>
  <si>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</si>
  <si>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</si>
  <si>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</si>
  <si>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</si>
  <si>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</si>
  <si>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</si>
  <si>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</si>
  <si>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</si>
  <si>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</si>
  <si>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</si>
  <si>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P é r é q u a t i o n   i n d i r e c t e   (facture sociale)</t>
  </si>
  <si>
    <t>P é r é q u a t i o n   d i r e c t e</t>
  </si>
  <si>
    <t>R é f o r m e   p o l i c i è r e</t>
  </si>
  <si>
    <t>T o t a l   p é r é q u a t i o n   d i r e c t e,   i n d i r e c t e   e t   p o l i c e</t>
  </si>
  <si>
    <t>Treytorrens (Payerne)</t>
  </si>
  <si>
    <t>Saint-Légier-La Chiésaz</t>
  </si>
  <si>
    <t>Commune
LDecTer, Etat 01.05.2014</t>
  </si>
  <si>
    <t>Effort péréquatif. Art. 5 DLPIC</t>
  </si>
  <si>
    <t>Dépassement du taux. Art. 6 DLPIC</t>
  </si>
  <si>
    <t>Année 2018</t>
  </si>
  <si>
    <t>Montant écrêtage pour calculer le point impôt écrêté</t>
  </si>
  <si>
    <t>*Année 2019</t>
  </si>
  <si>
    <t>* Cela équivaut à la suppression du point d'impôt écrêté</t>
  </si>
  <si>
    <t>- Changement des taux</t>
  </si>
  <si>
    <t>- Rajout palier entre 100 et 120 %</t>
  </si>
  <si>
    <t>Pour mémoire, dès 2019</t>
  </si>
  <si>
    <t>La rémunération passe de 
100 à 125 pour la 1ère tranche</t>
  </si>
  <si>
    <t>*Max. selon art. 4 DLPIC</t>
  </si>
  <si>
    <t>Jorat-Mézières</t>
  </si>
  <si>
    <t xml:space="preserve">Année 2018 : </t>
  </si>
  <si>
    <t>Dès 2019 :</t>
  </si>
  <si>
    <t>Total des prises en charges pour plfd aide</t>
  </si>
  <si>
    <t>Année 2019</t>
  </si>
  <si>
    <t>Situation N-1 (plafond de l'effort)</t>
  </si>
  <si>
    <t>Situation N-1 (plafond du taux)</t>
  </si>
  <si>
    <t>selon article 13 DLPIC ramené à 45 pour les années 2018 et 2019</t>
  </si>
  <si>
    <t>Effort</t>
  </si>
  <si>
    <t>Total net</t>
  </si>
  <si>
    <t>S y n t h è s e   e n   C H F</t>
  </si>
  <si>
    <t>Coût réel en CHF</t>
  </si>
  <si>
    <t>Taux maximum plafonné. Art. 6 DLPIC</t>
  </si>
  <si>
    <t>Seuil 4</t>
  </si>
  <si>
    <t>Seuil 5</t>
  </si>
  <si>
    <t>Valeur point impôt</t>
  </si>
  <si>
    <t>Nombre de points</t>
  </si>
  <si>
    <t>Valeur du point d'impôt</t>
  </si>
  <si>
    <t>Facture en points d'impôts</t>
  </si>
  <si>
    <t>Point impôt</t>
  </si>
  <si>
    <t>Montant total avec le renchérissement à payer par les communes en pts d'impôts</t>
  </si>
  <si>
    <t>Point d'impôt</t>
  </si>
  <si>
    <t>Point d'impôts</t>
  </si>
  <si>
    <t>Plafond de 
taux</t>
  </si>
  <si>
    <t>* Dès 2019, le plafond a passé de 4 à 4.5</t>
  </si>
  <si>
    <t>Facture sociale selon comptes 2018</t>
  </si>
  <si>
    <t>Facture sociale selon comptes 2019</t>
  </si>
  <si>
    <t>Valeur du point d'impôt communal selon comptes 2018</t>
  </si>
  <si>
    <t>Valeur du point d'impôt communal selon comptes 2019</t>
  </si>
  <si>
    <t>Décompte 2019</t>
  </si>
  <si>
    <t>Décompte 2018</t>
  </si>
  <si>
    <t>Patentes tabacs</t>
  </si>
  <si>
    <t>Patentes diverses</t>
  </si>
  <si>
    <t>IPA</t>
  </si>
  <si>
    <t>Chiens</t>
  </si>
  <si>
    <t>ICH</t>
  </si>
  <si>
    <t>Divertissements</t>
  </si>
  <si>
    <t>IDI</t>
  </si>
  <si>
    <t>Divers</t>
  </si>
  <si>
    <t>IDV</t>
  </si>
  <si>
    <t>Taxe épuration</t>
  </si>
  <si>
    <t>Taxe compl. Epuration</t>
  </si>
  <si>
    <t>Taxe annuelle Epuration</t>
  </si>
  <si>
    <t>Taxe annuelle encaissée par une association</t>
  </si>
  <si>
    <t>Ordures</t>
  </si>
  <si>
    <t>Taxe eau</t>
  </si>
  <si>
    <t>Taxe compl. Eau</t>
  </si>
  <si>
    <t>Pompiers</t>
  </si>
  <si>
    <t>Taxe communale de séjour</t>
  </si>
  <si>
    <t>Taxe pour l'usage du sol</t>
  </si>
  <si>
    <t>taxe pour l'éclairage public</t>
  </si>
  <si>
    <t>Taxe pour l'amélioration énergétique</t>
  </si>
  <si>
    <t>Taxe pour le développement durable</t>
  </si>
  <si>
    <t>Total taxes</t>
  </si>
  <si>
    <t>Taxegout</t>
  </si>
  <si>
    <t>Taxcegou</t>
  </si>
  <si>
    <t>Taxaneg</t>
  </si>
  <si>
    <t>Taxenc</t>
  </si>
  <si>
    <t>Ordure</t>
  </si>
  <si>
    <t>Taxeau</t>
  </si>
  <si>
    <t>Taxceau</t>
  </si>
  <si>
    <t>Pompier</t>
  </si>
  <si>
    <t>Taxcomse</t>
  </si>
  <si>
    <t>Tot. taxes</t>
  </si>
  <si>
    <t>Communes</t>
  </si>
  <si>
    <t>Péréquation horizontale</t>
  </si>
  <si>
    <t>Acomptes</t>
  </si>
  <si>
    <t>Décompte</t>
  </si>
  <si>
    <t>Différences</t>
  </si>
  <si>
    <t>Différence</t>
  </si>
  <si>
    <t>Décompte 2019 vs. Acomptes 2019</t>
  </si>
  <si>
    <t/>
  </si>
  <si>
    <t>*Répartition 50 mios</t>
  </si>
  <si>
    <t xml:space="preserve">Pers. morales bénéfice </t>
  </si>
  <si>
    <t>Pers. morales  capital</t>
  </si>
  <si>
    <t>Totaux</t>
  </si>
  <si>
    <t>Acomptes*</t>
  </si>
  <si>
    <t>Décomptes</t>
  </si>
  <si>
    <t>Soldes</t>
  </si>
  <si>
    <t>(+ à payer / - à recevoir)</t>
  </si>
  <si>
    <t>Péréquation horizontal</t>
  </si>
  <si>
    <t>* Répartition des 50 mios octroyés par l'Etat aux communes selon convention signée le 10 septembre 2018. Montant réparti entre les communes selon les rendements des impôts des personnes morales des années fiscales 2015 à 2017 de toutes les sociétés (régime ordinaire et statuts spéciaux)</t>
  </si>
  <si>
    <t>*montants selon le fichier des acomptes initiaux adoptés par la COPAR. Ne tient pas compte des arrangements survenus en cours d'année. Les factures, respectivement les remboursements, seront gérés par les services directement concernés à savoir :
- pour la facture sociale, par le département de la santé et de l'action sociale ;
- pour la péréquation directe, par la Direction générale des affaires institutionnelles et des communes (DGAIC);
- pour la réforme policière, par la police cantonale.</t>
  </si>
  <si>
    <t>Variation facture sociale en %</t>
  </si>
  <si>
    <t>Variation point d'impôt en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</si>
</sst>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 _C_H_F_-;\-* #,##0.00\ _C_H_F_-;_-* &quot;-&quot;??\ _C_H_F_-;_-@_-"/>
    <numFmt numFmtId="164" formatCode="_ * #,##0.00_ ;_ * \-#,##0.00_ ;_ * &quot;-&quot;??_ ;_ @_ "/>
    <numFmt numFmtId="165" formatCode="_-* #,##0.00_-;\-* #,##0.00_-;_-* &quot;-&quot;??_-;_-@_-"/>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_-* #,##0.000_-;\-* #,##0.000_-;_-* &quot;-&quot;??_-;_-@_-"/>
    <numFmt numFmtId="181" formatCode="_-* #,##0.00000000_-;\-* #,##0.00000000_-;_-* &quot;-&quot;??_-;_-@_-"/>
    <numFmt numFmtId="182" formatCode="#,##0.00000000000000"/>
    <numFmt numFmtId="183" formatCode="_-* #,##0.000000_-;\-* #,##0.000000_-;_-* &quot;-&quot;??_-;_-@_-"/>
  </numFmts>
  <fonts count="64"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8"/>
      <name val="Helvetica"/>
    </font>
    <font>
      <sz val="10"/>
      <name val="Arial"/>
    </font>
    <font>
      <sz val="10"/>
      <color indexed="8"/>
      <name val="ARIAL"/>
      <charset val="1"/>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9"/>
      <color indexed="8"/>
      <name val="Arial"/>
      <family val="2"/>
    </font>
    <font>
      <b/>
      <sz val="9"/>
      <name val="Arial"/>
      <family val="2"/>
    </font>
    <font>
      <b/>
      <sz val="9"/>
      <name val="Calibri"/>
      <family val="2"/>
      <scheme val="minor"/>
    </font>
    <font>
      <b/>
      <sz val="9"/>
      <color theme="1"/>
      <name val="Calibri"/>
      <family val="2"/>
      <scheme val="minor"/>
    </font>
    <font>
      <sz val="8"/>
      <name val="Calibri"/>
      <family val="2"/>
      <scheme val="minor"/>
    </font>
    <font>
      <sz val="9"/>
      <name val="Calibri"/>
      <family val="2"/>
      <scheme val="minor"/>
    </font>
  </fonts>
  <fills count="3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4" tint="0.59999389629810485"/>
        <bgColor indexed="64"/>
      </patternFill>
    </fill>
    <fill>
      <patternFill patternType="solid">
        <fgColor theme="5" tint="0.39997558519241921"/>
        <bgColor indexed="64"/>
      </patternFill>
    </fill>
  </fills>
  <borders count="33">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s>
  <cellStyleXfs count="293">
    <xf numFmtId="0" fontId="0" fillId="0" borderId="0"/>
    <xf numFmtId="0" fontId="17" fillId="0" borderId="1"/>
    <xf numFmtId="0" fontId="18" fillId="0" borderId="0"/>
    <xf numFmtId="0" fontId="17" fillId="0" borderId="2">
      <alignment vertical="top"/>
    </xf>
    <xf numFmtId="165" fontId="1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0" fontId="19" fillId="0" borderId="0"/>
    <xf numFmtId="0" fontId="16" fillId="0" borderId="0"/>
    <xf numFmtId="0" fontId="14" fillId="0" borderId="0"/>
    <xf numFmtId="0" fontId="20" fillId="0" borderId="0"/>
    <xf numFmtId="0" fontId="13" fillId="0" borderId="0"/>
    <xf numFmtId="9" fontId="12" fillId="0" borderId="0" applyFont="0" applyFill="0" applyBorder="0" applyAlignment="0" applyProtection="0"/>
    <xf numFmtId="9" fontId="14" fillId="0" borderId="0" applyFont="0" applyFill="0" applyBorder="0" applyAlignment="0" applyProtection="0"/>
    <xf numFmtId="164" fontId="31" fillId="0" borderId="0" applyFont="0" applyFill="0" applyBorder="0" applyAlignment="0" applyProtection="0"/>
    <xf numFmtId="0" fontId="31" fillId="0" borderId="0"/>
    <xf numFmtId="164" fontId="9" fillId="0" borderId="0" applyFont="0" applyFill="0" applyBorder="0" applyAlignment="0" applyProtection="0"/>
    <xf numFmtId="0" fontId="9" fillId="0" borderId="0"/>
    <xf numFmtId="0" fontId="12"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4" fillId="0" borderId="0" applyFont="0" applyFill="0" applyBorder="0" applyAlignment="0" applyProtection="0"/>
    <xf numFmtId="0" fontId="8" fillId="0" borderId="0"/>
    <xf numFmtId="0" fontId="8" fillId="0" borderId="0"/>
    <xf numFmtId="0" fontId="8" fillId="0" borderId="0"/>
    <xf numFmtId="0" fontId="8" fillId="0" borderId="0"/>
    <xf numFmtId="0" fontId="14"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14" fillId="0" borderId="0"/>
    <xf numFmtId="0" fontId="14"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0" fontId="6"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38" fillId="0" borderId="5" applyBorder="0">
      <alignment horizontal="center" textRotation="90"/>
    </xf>
    <xf numFmtId="0" fontId="39" fillId="0" borderId="0"/>
    <xf numFmtId="0" fontId="4" fillId="0" borderId="0"/>
    <xf numFmtId="9" fontId="12"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164" fontId="4" fillId="0" borderId="0" applyFont="0" applyFill="0" applyBorder="0" applyAlignment="0" applyProtection="0"/>
    <xf numFmtId="0" fontId="4" fillId="0" borderId="0"/>
    <xf numFmtId="9" fontId="12"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5" fontId="12"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14" fillId="0" borderId="0"/>
    <xf numFmtId="0" fontId="40" fillId="0" borderId="0">
      <alignment vertical="top"/>
    </xf>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18"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2" fillId="25"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42" fillId="32" borderId="0" applyNumberFormat="0" applyBorder="0" applyAlignment="0" applyProtection="0"/>
    <xf numFmtId="0" fontId="43" fillId="0" borderId="0" applyNumberFormat="0" applyFill="0" applyBorder="0" applyAlignment="0" applyProtection="0"/>
    <xf numFmtId="0" fontId="44" fillId="33" borderId="18" applyNumberFormat="0" applyAlignment="0" applyProtection="0"/>
    <xf numFmtId="0" fontId="45" fillId="0" borderId="19" applyNumberFormat="0" applyFill="0" applyAlignment="0" applyProtection="0"/>
    <xf numFmtId="0" fontId="46" fillId="20" borderId="18" applyNumberFormat="0" applyAlignment="0" applyProtection="0"/>
    <xf numFmtId="0" fontId="47" fillId="16" borderId="0" applyNumberFormat="0" applyBorder="0" applyAlignment="0" applyProtection="0"/>
    <xf numFmtId="164" fontId="16" fillId="0" borderId="0" applyFont="0" applyFill="0" applyBorder="0" applyAlignment="0" applyProtection="0">
      <alignment vertical="top"/>
    </xf>
    <xf numFmtId="0" fontId="48" fillId="34" borderId="0" applyNumberFormat="0" applyBorder="0" applyAlignment="0" applyProtection="0"/>
    <xf numFmtId="0" fontId="19" fillId="0" borderId="0"/>
    <xf numFmtId="0" fontId="49" fillId="17" borderId="0" applyNumberFormat="0" applyBorder="0" applyAlignment="0" applyProtection="0"/>
    <xf numFmtId="0" fontId="50" fillId="33" borderId="20"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21" applyNumberFormat="0" applyFill="0" applyAlignment="0" applyProtection="0"/>
    <xf numFmtId="0" fontId="54" fillId="0" borderId="22" applyNumberFormat="0" applyFill="0" applyAlignment="0" applyProtection="0"/>
    <xf numFmtId="0" fontId="55" fillId="0" borderId="23" applyNumberFormat="0" applyFill="0" applyAlignment="0" applyProtection="0"/>
    <xf numFmtId="0" fontId="55" fillId="0" borderId="0" applyNumberFormat="0" applyFill="0" applyBorder="0" applyAlignment="0" applyProtection="0"/>
    <xf numFmtId="0" fontId="56" fillId="0" borderId="24" applyNumberFormat="0" applyFill="0" applyAlignment="0" applyProtection="0"/>
    <xf numFmtId="0" fontId="57" fillId="35" borderId="25" applyNumberFormat="0" applyAlignment="0" applyProtection="0"/>
    <xf numFmtId="0" fontId="3" fillId="0" borderId="0"/>
    <xf numFmtId="164" fontId="3" fillId="0" borderId="0" applyFont="0" applyFill="0" applyBorder="0" applyAlignment="0" applyProtection="0"/>
    <xf numFmtId="0" fontId="17" fillId="0" borderId="26"/>
    <xf numFmtId="0" fontId="17" fillId="0" borderId="27">
      <alignment vertical="top"/>
    </xf>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cellStyleXfs>
  <cellXfs count="608">
    <xf numFmtId="0" fontId="0" fillId="0" borderId="0" xfId="0"/>
    <xf numFmtId="175" fontId="22" fillId="0" borderId="0" xfId="4" applyNumberFormat="1" applyFont="1" applyFill="1" applyBorder="1"/>
    <xf numFmtId="175" fontId="22" fillId="3" borderId="5" xfId="4" applyNumberFormat="1" applyFont="1" applyFill="1" applyBorder="1"/>
    <xf numFmtId="0" fontId="22" fillId="4" borderId="0" xfId="0" applyNumberFormat="1" applyFont="1" applyFill="1" applyAlignment="1">
      <alignment horizontal="left"/>
    </xf>
    <xf numFmtId="0" fontId="22" fillId="4" borderId="0" xfId="0" applyNumberFormat="1" applyFont="1" applyFill="1" applyAlignment="1">
      <alignment horizontal="center"/>
    </xf>
    <xf numFmtId="175" fontId="22" fillId="4" borderId="0" xfId="4" applyNumberFormat="1" applyFont="1" applyFill="1" applyAlignment="1">
      <alignment horizontal="center"/>
    </xf>
    <xf numFmtId="175" fontId="22" fillId="4" borderId="0" xfId="4" applyNumberFormat="1" applyFont="1" applyFill="1"/>
    <xf numFmtId="0" fontId="22" fillId="4" borderId="14" xfId="0" applyNumberFormat="1" applyFont="1" applyFill="1" applyBorder="1" applyAlignment="1">
      <alignment horizontal="center"/>
    </xf>
    <xf numFmtId="0" fontId="22" fillId="4" borderId="5" xfId="0" applyNumberFormat="1" applyFont="1" applyFill="1" applyBorder="1" applyAlignment="1">
      <alignment horizontal="center"/>
    </xf>
    <xf numFmtId="3" fontId="22" fillId="4" borderId="9" xfId="0" applyNumberFormat="1" applyFont="1" applyFill="1" applyBorder="1"/>
    <xf numFmtId="175" fontId="22" fillId="4" borderId="5" xfId="4" applyNumberFormat="1" applyFont="1" applyFill="1" applyBorder="1"/>
    <xf numFmtId="175" fontId="22" fillId="4" borderId="14" xfId="4" applyNumberFormat="1" applyFont="1" applyFill="1" applyBorder="1"/>
    <xf numFmtId="3" fontId="22" fillId="4" borderId="0" xfId="0" applyNumberFormat="1" applyFont="1" applyFill="1"/>
    <xf numFmtId="0" fontId="22" fillId="4" borderId="0" xfId="0" applyFont="1" applyFill="1"/>
    <xf numFmtId="175" fontId="22" fillId="4" borderId="0" xfId="4" applyNumberFormat="1" applyFont="1" applyFill="1" applyBorder="1"/>
    <xf numFmtId="165" fontId="22" fillId="4" borderId="0" xfId="4" applyFont="1" applyFill="1"/>
    <xf numFmtId="0" fontId="22" fillId="4" borderId="0" xfId="0" applyFont="1" applyFill="1" applyAlignment="1">
      <alignment vertical="top" wrapText="1"/>
    </xf>
    <xf numFmtId="165" fontId="22" fillId="4" borderId="0" xfId="0" applyNumberFormat="1" applyFont="1" applyFill="1"/>
    <xf numFmtId="175" fontId="22" fillId="4" borderId="3" xfId="4" applyNumberFormat="1" applyFont="1" applyFill="1" applyBorder="1"/>
    <xf numFmtId="165" fontId="22" fillId="4" borderId="14" xfId="4" applyFont="1" applyFill="1" applyBorder="1"/>
    <xf numFmtId="175" fontId="21" fillId="6" borderId="14" xfId="4" applyNumberFormat="1" applyFont="1" applyFill="1" applyBorder="1" applyAlignment="1">
      <alignment horizontal="center"/>
    </xf>
    <xf numFmtId="166" fontId="21" fillId="6" borderId="14" xfId="0" applyNumberFormat="1" applyFont="1" applyFill="1" applyBorder="1" applyAlignment="1">
      <alignment horizontal="center"/>
    </xf>
    <xf numFmtId="0" fontId="22" fillId="4" borderId="0" xfId="0" applyFont="1" applyFill="1" applyAlignment="1">
      <alignment horizontal="center"/>
    </xf>
    <xf numFmtId="14" fontId="21" fillId="6" borderId="14" xfId="0" applyNumberFormat="1" applyFont="1" applyFill="1" applyBorder="1" applyAlignment="1">
      <alignment horizontal="center"/>
    </xf>
    <xf numFmtId="166" fontId="22" fillId="4" borderId="17" xfId="0" applyNumberFormat="1" applyFont="1" applyFill="1" applyBorder="1" applyAlignment="1">
      <alignment horizontal="center"/>
    </xf>
    <xf numFmtId="0" fontId="24" fillId="4" borderId="0" xfId="0" applyNumberFormat="1" applyFont="1" applyFill="1" applyAlignment="1">
      <alignment horizontal="left"/>
    </xf>
    <xf numFmtId="0" fontId="24" fillId="4" borderId="0" xfId="0" applyNumberFormat="1" applyFont="1" applyFill="1" applyAlignment="1">
      <alignment horizontal="center"/>
    </xf>
    <xf numFmtId="0" fontId="23" fillId="4" borderId="0" xfId="0" applyFont="1" applyFill="1"/>
    <xf numFmtId="4" fontId="22" fillId="4" borderId="0" xfId="0" applyNumberFormat="1" applyFont="1" applyFill="1"/>
    <xf numFmtId="166" fontId="22" fillId="4" borderId="0" xfId="0" applyNumberFormat="1" applyFont="1" applyFill="1" applyAlignment="1">
      <alignment horizontal="left"/>
    </xf>
    <xf numFmtId="0" fontId="22" fillId="4" borderId="14" xfId="0" applyFont="1" applyFill="1" applyBorder="1"/>
    <xf numFmtId="175" fontId="22" fillId="4" borderId="11" xfId="4" applyNumberFormat="1" applyFont="1" applyFill="1" applyBorder="1"/>
    <xf numFmtId="3" fontId="22" fillId="4" borderId="5" xfId="0" applyNumberFormat="1" applyFont="1" applyFill="1" applyBorder="1"/>
    <xf numFmtId="165" fontId="22" fillId="4" borderId="5" xfId="4" applyFont="1" applyFill="1" applyBorder="1"/>
    <xf numFmtId="2" fontId="22" fillId="4" borderId="5" xfId="0" applyNumberFormat="1" applyFont="1" applyFill="1" applyBorder="1"/>
    <xf numFmtId="2" fontId="22" fillId="4" borderId="14" xfId="0" applyNumberFormat="1" applyFont="1" applyFill="1" applyBorder="1"/>
    <xf numFmtId="175" fontId="22" fillId="4" borderId="0" xfId="0" applyNumberFormat="1" applyFont="1" applyFill="1"/>
    <xf numFmtId="175" fontId="22" fillId="5" borderId="14" xfId="4" applyNumberFormat="1" applyFont="1" applyFill="1" applyBorder="1"/>
    <xf numFmtId="175" fontId="22" fillId="3" borderId="14" xfId="4" applyNumberFormat="1" applyFont="1" applyFill="1" applyBorder="1"/>
    <xf numFmtId="3" fontId="21" fillId="6" borderId="14" xfId="0" applyNumberFormat="1" applyFont="1" applyFill="1" applyBorder="1" applyAlignment="1">
      <alignment horizontal="center"/>
    </xf>
    <xf numFmtId="0" fontId="21" fillId="6" borderId="14" xfId="0" applyNumberFormat="1" applyFont="1" applyFill="1" applyBorder="1" applyAlignment="1">
      <alignment horizontal="center"/>
    </xf>
    <xf numFmtId="175" fontId="22" fillId="4" borderId="9" xfId="4" applyNumberFormat="1" applyFont="1" applyFill="1" applyBorder="1"/>
    <xf numFmtId="3" fontId="22" fillId="4" borderId="0" xfId="11" applyNumberFormat="1" applyFont="1" applyFill="1" applyAlignment="1">
      <alignment vertical="center"/>
    </xf>
    <xf numFmtId="0" fontId="22" fillId="4" borderId="0" xfId="11" applyFont="1" applyFill="1" applyAlignment="1">
      <alignment vertical="center"/>
    </xf>
    <xf numFmtId="175" fontId="22" fillId="4" borderId="0" xfId="4" applyNumberFormat="1" applyFont="1" applyFill="1" applyAlignment="1">
      <alignment vertical="center"/>
    </xf>
    <xf numFmtId="0" fontId="22" fillId="4" borderId="0" xfId="0" applyFont="1" applyFill="1" applyBorder="1"/>
    <xf numFmtId="0" fontId="22" fillId="4" borderId="4" xfId="0" applyFont="1" applyFill="1" applyBorder="1" applyAlignment="1">
      <alignment horizontal="center"/>
    </xf>
    <xf numFmtId="167" fontId="22" fillId="4" borderId="0" xfId="0" applyNumberFormat="1" applyFont="1" applyFill="1"/>
    <xf numFmtId="0" fontId="22" fillId="4" borderId="0" xfId="0" quotePrefix="1" applyFont="1" applyFill="1"/>
    <xf numFmtId="0" fontId="22" fillId="4" borderId="5" xfId="0" applyFont="1" applyFill="1" applyBorder="1" applyAlignment="1">
      <alignment horizontal="center"/>
    </xf>
    <xf numFmtId="0" fontId="22" fillId="4" borderId="3" xfId="0" applyFont="1" applyFill="1" applyBorder="1" applyAlignment="1">
      <alignment horizontal="center"/>
    </xf>
    <xf numFmtId="1" fontId="24" fillId="4" borderId="0" xfId="11" applyNumberFormat="1" applyFont="1" applyFill="1" applyAlignment="1">
      <alignment horizontal="left" vertical="center"/>
    </xf>
    <xf numFmtId="4" fontId="22" fillId="4" borderId="0" xfId="11" applyNumberFormat="1" applyFont="1" applyFill="1" applyAlignment="1">
      <alignment vertical="center"/>
    </xf>
    <xf numFmtId="0" fontId="23" fillId="4" borderId="0" xfId="11" applyFont="1" applyFill="1"/>
    <xf numFmtId="175" fontId="22" fillId="4" borderId="4" xfId="4" applyNumberFormat="1" applyFont="1" applyFill="1" applyBorder="1"/>
    <xf numFmtId="0" fontId="22" fillId="4" borderId="4" xfId="0" applyFont="1" applyFill="1" applyBorder="1" applyAlignment="1">
      <alignment horizontal="left"/>
    </xf>
    <xf numFmtId="0" fontId="22" fillId="4" borderId="5" xfId="0" applyFont="1" applyFill="1" applyBorder="1" applyAlignment="1">
      <alignment horizontal="left"/>
    </xf>
    <xf numFmtId="175" fontId="22" fillId="5" borderId="5" xfId="4" applyNumberFormat="1" applyFont="1" applyFill="1" applyBorder="1"/>
    <xf numFmtId="166" fontId="22" fillId="4" borderId="10" xfId="0" applyNumberFormat="1" applyFont="1" applyFill="1" applyBorder="1" applyAlignment="1">
      <alignment horizontal="center"/>
    </xf>
    <xf numFmtId="0" fontId="22" fillId="4" borderId="0" xfId="11" applyFont="1" applyFill="1" applyBorder="1" applyAlignment="1">
      <alignment vertical="center"/>
    </xf>
    <xf numFmtId="10" fontId="22" fillId="4" borderId="0" xfId="12" applyNumberFormat="1" applyFont="1" applyFill="1" applyAlignment="1">
      <alignment vertical="center"/>
    </xf>
    <xf numFmtId="10" fontId="22" fillId="4" borderId="0" xfId="12" applyNumberFormat="1" applyFont="1" applyFill="1"/>
    <xf numFmtId="4" fontId="22" fillId="4" borderId="14" xfId="0" applyNumberFormat="1" applyFont="1" applyFill="1" applyBorder="1"/>
    <xf numFmtId="10" fontId="22" fillId="4" borderId="14" xfId="12" applyNumberFormat="1" applyFont="1" applyFill="1" applyBorder="1"/>
    <xf numFmtId="0" fontId="21" fillId="6" borderId="4" xfId="0" applyFont="1" applyFill="1" applyBorder="1" applyAlignment="1">
      <alignment horizontal="center" vertical="center" wrapText="1"/>
    </xf>
    <xf numFmtId="4" fontId="22" fillId="4" borderId="11" xfId="0" applyNumberFormat="1" applyFont="1" applyFill="1" applyBorder="1"/>
    <xf numFmtId="9" fontId="21" fillId="6" borderId="14" xfId="12" applyNumberFormat="1" applyFont="1" applyFill="1" applyBorder="1" applyAlignment="1">
      <alignment horizontal="center" vertical="center" wrapText="1"/>
    </xf>
    <xf numFmtId="0" fontId="21" fillId="6" borderId="14" xfId="0" applyFont="1" applyFill="1" applyBorder="1" applyAlignment="1">
      <alignment horizontal="center" vertical="center" wrapText="1"/>
    </xf>
    <xf numFmtId="9" fontId="21" fillId="6" borderId="14" xfId="12" applyNumberFormat="1" applyFont="1" applyFill="1" applyBorder="1" applyAlignment="1">
      <alignment horizontal="center" vertical="center"/>
    </xf>
    <xf numFmtId="165" fontId="21" fillId="6" borderId="14" xfId="4" applyFont="1" applyFill="1" applyBorder="1" applyAlignment="1">
      <alignment vertical="center" wrapText="1"/>
    </xf>
    <xf numFmtId="4" fontId="22" fillId="4" borderId="12" xfId="0" applyNumberFormat="1" applyFont="1" applyFill="1" applyBorder="1"/>
    <xf numFmtId="169" fontId="22" fillId="4" borderId="0" xfId="11" applyNumberFormat="1" applyFont="1" applyFill="1" applyAlignment="1">
      <alignment vertical="center"/>
    </xf>
    <xf numFmtId="175" fontId="22" fillId="4" borderId="15" xfId="4" applyNumberFormat="1" applyFont="1" applyFill="1" applyBorder="1"/>
    <xf numFmtId="175" fontId="22" fillId="4" borderId="16" xfId="4" applyNumberFormat="1" applyFont="1" applyFill="1" applyBorder="1"/>
    <xf numFmtId="170" fontId="22" fillId="4" borderId="0" xfId="0" applyNumberFormat="1" applyFont="1" applyFill="1"/>
    <xf numFmtId="0" fontId="22" fillId="4" borderId="0" xfId="0" applyFont="1" applyFill="1" applyAlignment="1">
      <alignment vertical="top"/>
    </xf>
    <xf numFmtId="3" fontId="22" fillId="4" borderId="0" xfId="0" applyNumberFormat="1" applyFont="1" applyFill="1" applyAlignment="1">
      <alignment vertical="top"/>
    </xf>
    <xf numFmtId="3" fontId="22" fillId="4" borderId="0" xfId="0" applyNumberFormat="1" applyFont="1" applyFill="1" applyBorder="1" applyAlignment="1">
      <alignment vertical="top" wrapText="1"/>
    </xf>
    <xf numFmtId="0" fontId="22" fillId="4" borderId="17" xfId="0" applyFont="1" applyFill="1" applyBorder="1"/>
    <xf numFmtId="0" fontId="22" fillId="4" borderId="6" xfId="0" applyFont="1" applyFill="1" applyBorder="1"/>
    <xf numFmtId="0" fontId="22" fillId="4" borderId="7" xfId="0" applyFont="1" applyFill="1" applyBorder="1"/>
    <xf numFmtId="0" fontId="22" fillId="4" borderId="14" xfId="0" applyFont="1" applyFill="1" applyBorder="1" applyAlignment="1">
      <alignment horizontal="center"/>
    </xf>
    <xf numFmtId="0" fontId="22" fillId="4" borderId="8" xfId="0" applyFont="1" applyFill="1" applyBorder="1"/>
    <xf numFmtId="0" fontId="22" fillId="4" borderId="12" xfId="0" applyFont="1" applyFill="1" applyBorder="1"/>
    <xf numFmtId="0" fontId="22" fillId="4" borderId="9" xfId="0" applyFont="1" applyFill="1" applyBorder="1"/>
    <xf numFmtId="0" fontId="22" fillId="4" borderId="11" xfId="0" applyFont="1" applyFill="1" applyBorder="1"/>
    <xf numFmtId="0" fontId="22" fillId="4" borderId="10" xfId="0" applyFont="1" applyFill="1" applyBorder="1"/>
    <xf numFmtId="0" fontId="22" fillId="4" borderId="13" xfId="0" applyFont="1" applyFill="1" applyBorder="1"/>
    <xf numFmtId="173" fontId="22" fillId="4" borderId="0" xfId="0" applyNumberFormat="1" applyFont="1" applyFill="1" applyAlignment="1">
      <alignment vertical="top"/>
    </xf>
    <xf numFmtId="175" fontId="22" fillId="4" borderId="12" xfId="4" applyNumberFormat="1" applyFont="1" applyFill="1" applyBorder="1"/>
    <xf numFmtId="165" fontId="22" fillId="4" borderId="4" xfId="4" applyFont="1" applyFill="1" applyBorder="1"/>
    <xf numFmtId="165" fontId="22" fillId="4" borderId="3" xfId="4" applyFont="1" applyFill="1" applyBorder="1"/>
    <xf numFmtId="3" fontId="22" fillId="4" borderId="8" xfId="0" applyNumberFormat="1" applyFont="1" applyFill="1" applyBorder="1"/>
    <xf numFmtId="3" fontId="22" fillId="4" borderId="10" xfId="0" applyNumberFormat="1" applyFont="1" applyFill="1" applyBorder="1"/>
    <xf numFmtId="3" fontId="22" fillId="4" borderId="17" xfId="0" applyNumberFormat="1" applyFont="1" applyFill="1" applyBorder="1"/>
    <xf numFmtId="3" fontId="22" fillId="4" borderId="13" xfId="0" applyNumberFormat="1" applyFont="1" applyFill="1" applyBorder="1" applyAlignment="1">
      <alignment horizontal="center" vertical="top" wrapText="1"/>
    </xf>
    <xf numFmtId="169" fontId="22" fillId="4" borderId="0" xfId="0" applyNumberFormat="1" applyFont="1" applyFill="1"/>
    <xf numFmtId="3" fontId="22" fillId="4" borderId="4" xfId="12" applyNumberFormat="1" applyFont="1" applyFill="1" applyBorder="1"/>
    <xf numFmtId="3" fontId="22" fillId="4" borderId="5" xfId="12" applyNumberFormat="1" applyFont="1" applyFill="1" applyBorder="1"/>
    <xf numFmtId="3" fontId="22" fillId="4" borderId="3" xfId="12" applyNumberFormat="1" applyFont="1" applyFill="1" applyBorder="1"/>
    <xf numFmtId="3" fontId="22" fillId="4" borderId="14" xfId="12" applyNumberFormat="1" applyFont="1" applyFill="1" applyBorder="1"/>
    <xf numFmtId="165" fontId="22" fillId="4" borderId="14" xfId="4" applyNumberFormat="1" applyFont="1" applyFill="1" applyBorder="1"/>
    <xf numFmtId="175" fontId="22" fillId="8" borderId="14" xfId="4" applyNumberFormat="1" applyFont="1" applyFill="1" applyBorder="1"/>
    <xf numFmtId="175" fontId="22" fillId="5" borderId="4" xfId="4" applyNumberFormat="1" applyFont="1" applyFill="1" applyBorder="1"/>
    <xf numFmtId="175" fontId="22" fillId="5" borderId="3" xfId="4" applyNumberFormat="1" applyFont="1" applyFill="1" applyBorder="1"/>
    <xf numFmtId="3" fontId="21" fillId="6" borderId="4" xfId="0" applyNumberFormat="1" applyFont="1" applyFill="1" applyBorder="1"/>
    <xf numFmtId="0" fontId="21" fillId="6" borderId="0" xfId="0" applyFont="1" applyFill="1"/>
    <xf numFmtId="0" fontId="22" fillId="4" borderId="8" xfId="0" applyFont="1" applyFill="1" applyBorder="1" applyAlignment="1">
      <alignment horizontal="center"/>
    </xf>
    <xf numFmtId="0" fontId="21" fillId="6" borderId="4" xfId="0" applyFont="1" applyFill="1" applyBorder="1" applyAlignment="1">
      <alignment horizontal="center"/>
    </xf>
    <xf numFmtId="0" fontId="21" fillId="6" borderId="3" xfId="0" applyFont="1" applyFill="1" applyBorder="1" applyAlignment="1">
      <alignment horizontal="center"/>
    </xf>
    <xf numFmtId="175" fontId="22" fillId="4" borderId="13" xfId="4" applyNumberFormat="1" applyFont="1" applyFill="1" applyBorder="1"/>
    <xf numFmtId="2" fontId="22" fillId="4" borderId="0" xfId="0" applyNumberFormat="1" applyFont="1" applyFill="1"/>
    <xf numFmtId="9" fontId="22" fillId="4" borderId="0" xfId="0" applyNumberFormat="1" applyFont="1" applyFill="1"/>
    <xf numFmtId="4" fontId="22" fillId="4" borderId="14" xfId="12" applyNumberFormat="1" applyFont="1" applyFill="1" applyBorder="1"/>
    <xf numFmtId="4" fontId="22" fillId="4" borderId="0" xfId="12" applyNumberFormat="1" applyFont="1" applyFill="1" applyBorder="1"/>
    <xf numFmtId="0" fontId="22" fillId="4" borderId="16" xfId="0" applyFont="1" applyFill="1" applyBorder="1"/>
    <xf numFmtId="0" fontId="21" fillId="6" borderId="4" xfId="0" applyFont="1" applyFill="1" applyBorder="1" applyAlignment="1">
      <alignment horizontal="center" vertical="top" wrapText="1"/>
    </xf>
    <xf numFmtId="9" fontId="21" fillId="6" borderId="4" xfId="0" applyNumberFormat="1" applyFont="1" applyFill="1" applyBorder="1" applyAlignment="1">
      <alignment horizontal="center"/>
    </xf>
    <xf numFmtId="175" fontId="22" fillId="5" borderId="11" xfId="4" applyNumberFormat="1" applyFont="1" applyFill="1" applyBorder="1"/>
    <xf numFmtId="3" fontId="22" fillId="4" borderId="17" xfId="12" applyNumberFormat="1" applyFont="1" applyFill="1" applyBorder="1"/>
    <xf numFmtId="171" fontId="22" fillId="4" borderId="0" xfId="0" applyNumberFormat="1" applyFont="1" applyFill="1"/>
    <xf numFmtId="2" fontId="21" fillId="6" borderId="3" xfId="0" applyNumberFormat="1" applyFont="1" applyFill="1" applyBorder="1" applyAlignment="1">
      <alignment horizontal="center" vertical="top" wrapText="1"/>
    </xf>
    <xf numFmtId="3" fontId="22" fillId="4" borderId="7" xfId="12" applyNumberFormat="1" applyFont="1" applyFill="1" applyBorder="1"/>
    <xf numFmtId="166" fontId="22" fillId="4" borderId="14" xfId="0" applyNumberFormat="1" applyFont="1" applyFill="1" applyBorder="1" applyAlignment="1">
      <alignment horizontal="center"/>
    </xf>
    <xf numFmtId="175" fontId="22" fillId="4" borderId="7" xfId="4" applyNumberFormat="1" applyFont="1" applyFill="1" applyBorder="1"/>
    <xf numFmtId="0" fontId="21" fillId="6" borderId="17" xfId="0" applyFont="1" applyFill="1" applyBorder="1"/>
    <xf numFmtId="0" fontId="21" fillId="6" borderId="6" xfId="0" applyFont="1" applyFill="1" applyBorder="1"/>
    <xf numFmtId="0" fontId="21" fillId="6" borderId="14" xfId="0" applyFont="1" applyFill="1" applyBorder="1" applyAlignment="1">
      <alignment horizontal="center"/>
    </xf>
    <xf numFmtId="167" fontId="22" fillId="4" borderId="4" xfId="0" applyNumberFormat="1" applyFont="1" applyFill="1" applyBorder="1"/>
    <xf numFmtId="0" fontId="11" fillId="4" borderId="0" xfId="0" applyFont="1" applyFill="1" applyBorder="1" applyAlignment="1">
      <alignment horizontal="left"/>
    </xf>
    <xf numFmtId="167" fontId="22" fillId="4" borderId="5" xfId="0" applyNumberFormat="1" applyFont="1" applyFill="1" applyBorder="1"/>
    <xf numFmtId="0" fontId="11" fillId="4" borderId="0" xfId="0" applyFont="1" applyFill="1" applyAlignment="1">
      <alignment horizontal="left"/>
    </xf>
    <xf numFmtId="167" fontId="22" fillId="4" borderId="3" xfId="0" applyNumberFormat="1" applyFont="1" applyFill="1" applyBorder="1"/>
    <xf numFmtId="175" fontId="22" fillId="3" borderId="4" xfId="4" applyNumberFormat="1" applyFont="1" applyFill="1" applyBorder="1"/>
    <xf numFmtId="175" fontId="22" fillId="5" borderId="15" xfId="4" applyNumberFormat="1" applyFont="1" applyFill="1" applyBorder="1"/>
    <xf numFmtId="175" fontId="22" fillId="5" borderId="0" xfId="4" applyNumberFormat="1" applyFont="1" applyFill="1" applyBorder="1"/>
    <xf numFmtId="175" fontId="22" fillId="3" borderId="3" xfId="4" applyNumberFormat="1" applyFont="1" applyFill="1" applyBorder="1"/>
    <xf numFmtId="175" fontId="22" fillId="5" borderId="16" xfId="4" applyNumberFormat="1" applyFont="1" applyFill="1" applyBorder="1"/>
    <xf numFmtId="165" fontId="22" fillId="4" borderId="0" xfId="4" applyFont="1" applyFill="1" applyBorder="1" applyAlignment="1">
      <alignment vertical="center"/>
    </xf>
    <xf numFmtId="165" fontId="22" fillId="4" borderId="0" xfId="4" applyFont="1" applyFill="1" applyAlignment="1">
      <alignment vertical="center"/>
    </xf>
    <xf numFmtId="4" fontId="22" fillId="4" borderId="4" xfId="12" applyNumberFormat="1" applyFont="1" applyFill="1" applyBorder="1"/>
    <xf numFmtId="4" fontId="22" fillId="4" borderId="5" xfId="12" applyNumberFormat="1" applyFont="1" applyFill="1" applyBorder="1"/>
    <xf numFmtId="0" fontId="22" fillId="4" borderId="0" xfId="0" applyFont="1" applyFill="1" applyBorder="1" applyAlignment="1">
      <alignment horizontal="center" vertical="top" wrapText="1"/>
    </xf>
    <xf numFmtId="177" fontId="22" fillId="4" borderId="0" xfId="11" applyNumberFormat="1" applyFont="1" applyFill="1" applyAlignment="1">
      <alignment vertical="center"/>
    </xf>
    <xf numFmtId="177" fontId="22" fillId="4" borderId="0" xfId="0" applyNumberFormat="1" applyFont="1" applyFill="1"/>
    <xf numFmtId="177" fontId="21" fillId="6" borderId="4" xfId="0" applyNumberFormat="1" applyFont="1" applyFill="1" applyBorder="1" applyAlignment="1">
      <alignment horizontal="center" vertical="top" wrapText="1"/>
    </xf>
    <xf numFmtId="2" fontId="21" fillId="6" borderId="5" xfId="0" applyNumberFormat="1" applyFont="1" applyFill="1" applyBorder="1" applyAlignment="1">
      <alignment horizontal="center" vertical="top" wrapText="1"/>
    </xf>
    <xf numFmtId="172" fontId="22" fillId="4" borderId="0" xfId="0" applyNumberFormat="1" applyFont="1" applyFill="1"/>
    <xf numFmtId="167" fontId="22" fillId="4" borderId="0" xfId="12" applyNumberFormat="1" applyFont="1" applyFill="1" applyBorder="1" applyAlignment="1">
      <alignment horizontal="center" vertical="top" wrapText="1"/>
    </xf>
    <xf numFmtId="167" fontId="22" fillId="4" borderId="12" xfId="0" applyNumberFormat="1" applyFont="1" applyFill="1" applyBorder="1"/>
    <xf numFmtId="172" fontId="22" fillId="4" borderId="0" xfId="0" applyNumberFormat="1" applyFont="1" applyFill="1" applyBorder="1"/>
    <xf numFmtId="167" fontId="22" fillId="4" borderId="11" xfId="0" applyNumberFormat="1" applyFont="1" applyFill="1" applyBorder="1"/>
    <xf numFmtId="167" fontId="22" fillId="4" borderId="13" xfId="0" applyNumberFormat="1" applyFont="1" applyFill="1" applyBorder="1"/>
    <xf numFmtId="172" fontId="22" fillId="4" borderId="14" xfId="0" applyNumberFormat="1" applyFont="1" applyFill="1" applyBorder="1"/>
    <xf numFmtId="172" fontId="22" fillId="4" borderId="0" xfId="12" applyNumberFormat="1" applyFont="1" applyFill="1" applyBorder="1"/>
    <xf numFmtId="3" fontId="22" fillId="3" borderId="7" xfId="12" applyNumberFormat="1" applyFont="1" applyFill="1" applyBorder="1"/>
    <xf numFmtId="0" fontId="26" fillId="4" borderId="0" xfId="0" applyFont="1" applyFill="1"/>
    <xf numFmtId="0" fontId="27" fillId="4" borderId="5" xfId="0" applyFont="1" applyFill="1" applyBorder="1" applyAlignment="1">
      <alignment horizontal="center"/>
    </xf>
    <xf numFmtId="0" fontId="27" fillId="4" borderId="5" xfId="0" applyFont="1" applyFill="1" applyBorder="1"/>
    <xf numFmtId="3" fontId="27" fillId="4" borderId="5" xfId="12" applyNumberFormat="1" applyFont="1" applyFill="1" applyBorder="1" applyAlignment="1">
      <alignment horizontal="right"/>
    </xf>
    <xf numFmtId="0" fontId="27" fillId="4" borderId="0" xfId="0" applyFont="1" applyFill="1"/>
    <xf numFmtId="168" fontId="22" fillId="4" borderId="0" xfId="0" applyNumberFormat="1" applyFont="1" applyFill="1"/>
    <xf numFmtId="172" fontId="22" fillId="4" borderId="14" xfId="12" applyNumberFormat="1" applyFont="1" applyFill="1" applyBorder="1"/>
    <xf numFmtId="172" fontId="27" fillId="4" borderId="4" xfId="0" applyNumberFormat="1" applyFont="1" applyFill="1" applyBorder="1"/>
    <xf numFmtId="0" fontId="22" fillId="8" borderId="0" xfId="0" applyFont="1" applyFill="1"/>
    <xf numFmtId="14" fontId="22" fillId="8" borderId="0" xfId="0" applyNumberFormat="1" applyFont="1" applyFill="1"/>
    <xf numFmtId="0" fontId="22" fillId="8" borderId="0" xfId="0" applyFont="1" applyFill="1" applyBorder="1"/>
    <xf numFmtId="0" fontId="23" fillId="8" borderId="0" xfId="0" applyFont="1" applyFill="1"/>
    <xf numFmtId="174" fontId="22" fillId="8" borderId="0" xfId="0" applyNumberFormat="1" applyFont="1" applyFill="1" applyBorder="1"/>
    <xf numFmtId="0" fontId="22" fillId="8" borderId="0" xfId="0" applyFont="1" applyFill="1" applyAlignment="1">
      <alignment horizontal="center" wrapText="1"/>
    </xf>
    <xf numFmtId="165" fontId="22" fillId="8" borderId="0" xfId="4" applyFont="1" applyFill="1"/>
    <xf numFmtId="3" fontId="22" fillId="8" borderId="0" xfId="0" applyNumberFormat="1" applyFont="1" applyFill="1"/>
    <xf numFmtId="2" fontId="22" fillId="8" borderId="0" xfId="0" applyNumberFormat="1" applyFont="1" applyFill="1"/>
    <xf numFmtId="0" fontId="22" fillId="8" borderId="0" xfId="0" applyFont="1" applyFill="1" applyAlignment="1">
      <alignment horizontal="center"/>
    </xf>
    <xf numFmtId="9" fontId="22" fillId="8" borderId="0" xfId="0" applyNumberFormat="1" applyFont="1" applyFill="1" applyBorder="1" applyAlignment="1">
      <alignment horizontal="center" vertical="top" wrapText="1"/>
    </xf>
    <xf numFmtId="2" fontId="22" fillId="8" borderId="0" xfId="0" applyNumberFormat="1" applyFont="1" applyFill="1" applyBorder="1" applyAlignment="1">
      <alignment horizontal="center"/>
    </xf>
    <xf numFmtId="10" fontId="22" fillId="8" borderId="14" xfId="0" applyNumberFormat="1" applyFont="1" applyFill="1" applyBorder="1" applyAlignment="1">
      <alignment horizontal="center" vertical="top" wrapText="1"/>
    </xf>
    <xf numFmtId="170" fontId="22" fillId="8" borderId="0" xfId="0" applyNumberFormat="1" applyFont="1" applyFill="1" applyBorder="1"/>
    <xf numFmtId="3" fontId="22" fillId="8" borderId="0" xfId="0" applyNumberFormat="1" applyFont="1" applyFill="1" applyBorder="1"/>
    <xf numFmtId="165" fontId="22" fillId="8" borderId="0" xfId="4" applyFont="1" applyFill="1" applyBorder="1"/>
    <xf numFmtId="0" fontId="22" fillId="8" borderId="14" xfId="0" applyFont="1" applyFill="1" applyBorder="1"/>
    <xf numFmtId="165" fontId="22" fillId="8" borderId="14" xfId="4" applyFont="1" applyFill="1" applyBorder="1"/>
    <xf numFmtId="0" fontId="22" fillId="8" borderId="0" xfId="0" applyFont="1" applyFill="1" applyAlignment="1">
      <alignment vertical="top"/>
    </xf>
    <xf numFmtId="0" fontId="24" fillId="8" borderId="0" xfId="0" applyFont="1" applyFill="1"/>
    <xf numFmtId="9" fontId="22" fillId="7" borderId="14" xfId="0" applyNumberFormat="1" applyFont="1" applyFill="1" applyBorder="1" applyAlignment="1">
      <alignment horizontal="center" vertical="top" wrapText="1"/>
    </xf>
    <xf numFmtId="10" fontId="22" fillId="7" borderId="14" xfId="0" applyNumberFormat="1" applyFont="1" applyFill="1" applyBorder="1" applyAlignment="1">
      <alignment horizontal="center"/>
    </xf>
    <xf numFmtId="0" fontId="22" fillId="8" borderId="0" xfId="0" applyFont="1" applyFill="1" applyBorder="1" applyAlignment="1"/>
    <xf numFmtId="0" fontId="22" fillId="8" borderId="0" xfId="0" applyFont="1" applyFill="1" applyBorder="1" applyAlignment="1">
      <alignment horizontal="left" vertical="top"/>
    </xf>
    <xf numFmtId="0" fontId="22" fillId="8" borderId="0" xfId="0" applyFont="1" applyFill="1" applyBorder="1" applyAlignment="1">
      <alignment horizontal="left"/>
    </xf>
    <xf numFmtId="3" fontId="22" fillId="8" borderId="14" xfId="0" applyNumberFormat="1" applyFont="1" applyFill="1" applyBorder="1"/>
    <xf numFmtId="3" fontId="22" fillId="8" borderId="14" xfId="0" applyNumberFormat="1" applyFont="1" applyFill="1" applyBorder="1" applyAlignment="1">
      <alignment horizontal="center"/>
    </xf>
    <xf numFmtId="9" fontId="22" fillId="7" borderId="14" xfId="0" applyNumberFormat="1" applyFont="1" applyFill="1" applyBorder="1" applyAlignment="1">
      <alignment horizontal="center"/>
    </xf>
    <xf numFmtId="0" fontId="22" fillId="7" borderId="14" xfId="0" applyFont="1" applyFill="1" applyBorder="1" applyAlignment="1">
      <alignment horizontal="center" vertical="top" wrapText="1"/>
    </xf>
    <xf numFmtId="0" fontId="22" fillId="8" borderId="4" xfId="0" applyFont="1" applyFill="1" applyBorder="1" applyAlignment="1">
      <alignment horizontal="center" vertical="center" wrapText="1"/>
    </xf>
    <xf numFmtId="176" fontId="22" fillId="8" borderId="14" xfId="4" applyNumberFormat="1" applyFont="1" applyFill="1" applyBorder="1"/>
    <xf numFmtId="175" fontId="22" fillId="8" borderId="17" xfId="4" applyNumberFormat="1" applyFont="1" applyFill="1" applyBorder="1"/>
    <xf numFmtId="0" fontId="22" fillId="8" borderId="7" xfId="0" applyFont="1" applyFill="1" applyBorder="1"/>
    <xf numFmtId="2" fontId="22" fillId="8" borderId="4" xfId="0" applyNumberFormat="1" applyFont="1" applyFill="1" applyBorder="1"/>
    <xf numFmtId="0" fontId="22" fillId="8" borderId="0" xfId="0" quotePrefix="1" applyFont="1" applyFill="1" applyBorder="1"/>
    <xf numFmtId="170" fontId="22" fillId="8" borderId="14" xfId="0" applyNumberFormat="1" applyFont="1" applyFill="1" applyBorder="1"/>
    <xf numFmtId="174" fontId="22" fillId="8" borderId="14" xfId="0" applyNumberFormat="1" applyFont="1" applyFill="1" applyBorder="1"/>
    <xf numFmtId="0" fontId="22" fillId="8" borderId="0" xfId="0" applyFont="1" applyFill="1" applyBorder="1" applyAlignment="1">
      <alignment horizontal="center" vertical="center" wrapText="1"/>
    </xf>
    <xf numFmtId="0" fontId="28" fillId="8" borderId="0" xfId="0" applyFont="1" applyFill="1"/>
    <xf numFmtId="0" fontId="24" fillId="8" borderId="0" xfId="0" applyFont="1" applyFill="1" applyBorder="1"/>
    <xf numFmtId="0" fontId="21" fillId="6" borderId="3" xfId="0" applyFont="1" applyFill="1" applyBorder="1" applyAlignment="1">
      <alignment horizontal="center" vertical="center" wrapText="1"/>
    </xf>
    <xf numFmtId="4" fontId="22" fillId="4" borderId="0" xfId="0" applyNumberFormat="1" applyFont="1" applyFill="1" applyBorder="1"/>
    <xf numFmtId="1" fontId="24" fillId="4" borderId="0" xfId="11" applyNumberFormat="1" applyFont="1" applyFill="1" applyAlignment="1">
      <alignment horizontal="left" vertical="center"/>
    </xf>
    <xf numFmtId="175" fontId="22" fillId="8" borderId="0" xfId="4" applyNumberFormat="1" applyFont="1" applyFill="1"/>
    <xf numFmtId="0" fontId="29" fillId="8" borderId="0" xfId="0" applyFont="1" applyFill="1"/>
    <xf numFmtId="175" fontId="29" fillId="8" borderId="0" xfId="4" applyNumberFormat="1" applyFont="1" applyFill="1"/>
    <xf numFmtId="175" fontId="21" fillId="6" borderId="0" xfId="4" applyNumberFormat="1" applyFont="1" applyFill="1"/>
    <xf numFmtId="0" fontId="29" fillId="8" borderId="0" xfId="0" applyFont="1" applyFill="1" applyAlignment="1">
      <alignment horizontal="right"/>
    </xf>
    <xf numFmtId="169" fontId="25" fillId="4" borderId="0" xfId="11" applyNumberFormat="1" applyFont="1" applyFill="1" applyAlignment="1">
      <alignment vertical="center"/>
    </xf>
    <xf numFmtId="169" fontId="25" fillId="4" borderId="0" xfId="11" applyNumberFormat="1" applyFont="1" applyFill="1" applyBorder="1" applyAlignment="1">
      <alignment vertical="center"/>
    </xf>
    <xf numFmtId="0" fontId="22" fillId="4" borderId="0" xfId="15" applyFont="1" applyFill="1"/>
    <xf numFmtId="0" fontId="22" fillId="4" borderId="0" xfId="15" applyFont="1" applyFill="1" applyBorder="1"/>
    <xf numFmtId="3" fontId="10" fillId="4" borderId="5" xfId="15" applyNumberFormat="1" applyFont="1" applyFill="1" applyBorder="1" applyAlignment="1">
      <alignment horizontal="right"/>
    </xf>
    <xf numFmtId="164" fontId="22" fillId="4" borderId="5" xfId="14" applyFont="1" applyFill="1" applyBorder="1"/>
    <xf numFmtId="0" fontId="21" fillId="4" borderId="0" xfId="15" applyFont="1" applyFill="1" applyAlignment="1">
      <alignment vertical="center"/>
    </xf>
    <xf numFmtId="0" fontId="22" fillId="4" borderId="4" xfId="15" applyFont="1" applyFill="1" applyBorder="1"/>
    <xf numFmtId="0" fontId="22" fillId="4" borderId="5" xfId="15" applyFont="1" applyFill="1" applyBorder="1"/>
    <xf numFmtId="0" fontId="21" fillId="6" borderId="4" xfId="15" applyFont="1" applyFill="1" applyBorder="1" applyAlignment="1">
      <alignment horizontal="center" vertical="center" wrapText="1"/>
    </xf>
    <xf numFmtId="175" fontId="22" fillId="4" borderId="14" xfId="4" applyNumberFormat="1" applyFont="1" applyFill="1" applyBorder="1" applyAlignment="1">
      <alignment horizontal="center"/>
    </xf>
    <xf numFmtId="0" fontId="22" fillId="7" borderId="14" xfId="0" applyFont="1" applyFill="1" applyBorder="1"/>
    <xf numFmtId="175" fontId="22" fillId="4" borderId="7" xfId="4" applyNumberFormat="1" applyFont="1" applyFill="1" applyBorder="1" applyAlignment="1">
      <alignment horizontal="center"/>
    </xf>
    <xf numFmtId="175" fontId="22" fillId="5" borderId="14" xfId="4" applyNumberFormat="1" applyFont="1" applyFill="1" applyBorder="1" applyAlignment="1">
      <alignment horizontal="center"/>
    </xf>
    <xf numFmtId="172" fontId="27" fillId="5" borderId="4" xfId="0" applyNumberFormat="1" applyFont="1" applyFill="1" applyBorder="1"/>
    <xf numFmtId="172" fontId="27" fillId="5" borderId="5" xfId="0" applyNumberFormat="1" applyFont="1" applyFill="1" applyBorder="1"/>
    <xf numFmtId="172" fontId="22" fillId="5" borderId="14" xfId="0" applyNumberFormat="1" applyFont="1" applyFill="1" applyBorder="1"/>
    <xf numFmtId="172" fontId="27" fillId="5" borderId="3" xfId="0" applyNumberFormat="1" applyFont="1" applyFill="1" applyBorder="1"/>
    <xf numFmtId="175" fontId="22" fillId="7" borderId="3" xfId="4" applyNumberFormat="1" applyFont="1" applyFill="1" applyBorder="1" applyAlignment="1">
      <alignment horizontal="center"/>
    </xf>
    <xf numFmtId="175" fontId="22" fillId="7" borderId="14" xfId="4" applyNumberFormat="1" applyFont="1" applyFill="1" applyBorder="1"/>
    <xf numFmtId="0" fontId="33" fillId="6" borderId="0" xfId="0" applyFont="1" applyFill="1"/>
    <xf numFmtId="175" fontId="22" fillId="4" borderId="0" xfId="15" applyNumberFormat="1" applyFont="1" applyFill="1"/>
    <xf numFmtId="0" fontId="21" fillId="6" borderId="5" xfId="15" quotePrefix="1" applyFont="1" applyFill="1" applyBorder="1" applyAlignment="1">
      <alignment horizontal="center" vertical="center" wrapText="1"/>
    </xf>
    <xf numFmtId="175" fontId="22" fillId="4" borderId="3" xfId="4" applyNumberFormat="1" applyFont="1" applyFill="1" applyBorder="1" applyAlignment="1">
      <alignment horizontal="center"/>
    </xf>
    <xf numFmtId="175" fontId="22" fillId="8" borderId="0" xfId="4" applyNumberFormat="1" applyFont="1" applyFill="1" applyBorder="1"/>
    <xf numFmtId="165" fontId="22" fillId="7" borderId="14" xfId="4" applyFont="1" applyFill="1" applyBorder="1" applyAlignment="1">
      <alignment horizontal="center"/>
    </xf>
    <xf numFmtId="0" fontId="32" fillId="4" borderId="0" xfId="0" applyFont="1" applyFill="1"/>
    <xf numFmtId="175" fontId="32" fillId="4" borderId="0" xfId="4" applyNumberFormat="1" applyFont="1" applyFill="1"/>
    <xf numFmtId="0" fontId="32" fillId="8" borderId="0" xfId="0" applyFont="1" applyFill="1"/>
    <xf numFmtId="175" fontId="32" fillId="3" borderId="0" xfId="4" applyNumberFormat="1" applyFont="1" applyFill="1"/>
    <xf numFmtId="165" fontId="32" fillId="4" borderId="0" xfId="4" applyFont="1" applyFill="1"/>
    <xf numFmtId="175" fontId="32" fillId="4" borderId="16" xfId="4" applyNumberFormat="1" applyFont="1" applyFill="1" applyBorder="1"/>
    <xf numFmtId="175" fontId="34" fillId="4" borderId="0" xfId="4" applyNumberFormat="1" applyFont="1" applyFill="1"/>
    <xf numFmtId="0" fontId="34" fillId="4" borderId="0" xfId="0" applyFont="1" applyFill="1"/>
    <xf numFmtId="0" fontId="32" fillId="4" borderId="0" xfId="0" applyFont="1" applyFill="1" applyAlignment="1">
      <alignment horizontal="right"/>
    </xf>
    <xf numFmtId="0" fontId="32" fillId="4" borderId="0" xfId="0" applyFont="1" applyFill="1" applyAlignment="1">
      <alignment horizontal="left"/>
    </xf>
    <xf numFmtId="165" fontId="27" fillId="4" borderId="14" xfId="4" applyFont="1" applyFill="1" applyBorder="1"/>
    <xf numFmtId="175" fontId="22" fillId="0" borderId="5" xfId="4" applyNumberFormat="1" applyFont="1" applyFill="1" applyBorder="1"/>
    <xf numFmtId="0" fontId="11" fillId="0" borderId="0" xfId="0" applyFont="1" applyFill="1" applyAlignment="1">
      <alignment horizontal="left"/>
    </xf>
    <xf numFmtId="0" fontId="22" fillId="0" borderId="0" xfId="0" applyFont="1" applyFill="1"/>
    <xf numFmtId="165" fontId="21" fillId="6" borderId="3" xfId="4" applyNumberFormat="1" applyFont="1" applyFill="1" applyBorder="1" applyAlignment="1">
      <alignment horizontal="center" vertical="center" wrapText="1"/>
    </xf>
    <xf numFmtId="10" fontId="22" fillId="8" borderId="3" xfId="12" applyNumberFormat="1" applyFont="1" applyFill="1" applyBorder="1"/>
    <xf numFmtId="2" fontId="22" fillId="8" borderId="14" xfId="0" applyNumberFormat="1" applyFont="1" applyFill="1" applyBorder="1" applyAlignment="1"/>
    <xf numFmtId="2" fontId="22" fillId="8" borderId="14" xfId="4" applyNumberFormat="1" applyFont="1" applyFill="1" applyBorder="1"/>
    <xf numFmtId="4" fontId="22" fillId="4" borderId="5" xfId="0" applyNumberFormat="1" applyFont="1" applyFill="1" applyBorder="1"/>
    <xf numFmtId="165" fontId="22" fillId="4" borderId="5" xfId="4" applyNumberFormat="1" applyFont="1" applyFill="1" applyBorder="1"/>
    <xf numFmtId="176" fontId="22" fillId="5" borderId="14" xfId="4" applyNumberFormat="1" applyFont="1" applyFill="1" applyBorder="1"/>
    <xf numFmtId="175" fontId="22" fillId="7" borderId="14" xfId="4" applyNumberFormat="1" applyFont="1" applyFill="1" applyBorder="1" applyAlignment="1">
      <alignment horizontal="center" vertical="center" wrapText="1"/>
    </xf>
    <xf numFmtId="167" fontId="22" fillId="7" borderId="14" xfId="0" applyNumberFormat="1" applyFont="1" applyFill="1" applyBorder="1"/>
    <xf numFmtId="10" fontId="22" fillId="7" borderId="17" xfId="0" applyNumberFormat="1" applyFont="1" applyFill="1" applyBorder="1" applyAlignment="1">
      <alignment horizontal="center"/>
    </xf>
    <xf numFmtId="10" fontId="22" fillId="8" borderId="0" xfId="0" applyNumberFormat="1" applyFont="1" applyFill="1" applyBorder="1" applyAlignment="1">
      <alignment horizontal="center" vertical="top" wrapText="1"/>
    </xf>
    <xf numFmtId="0" fontId="22" fillId="8" borderId="14" xfId="0" applyFont="1" applyFill="1" applyBorder="1" applyAlignment="1">
      <alignment horizontal="right"/>
    </xf>
    <xf numFmtId="3" fontId="22" fillId="4" borderId="14" xfId="0" applyNumberFormat="1" applyFont="1" applyFill="1" applyBorder="1"/>
    <xf numFmtId="165" fontId="21" fillId="6" borderId="14" xfId="4" applyNumberFormat="1" applyFont="1" applyFill="1" applyBorder="1"/>
    <xf numFmtId="1" fontId="22" fillId="4" borderId="14" xfId="0" applyNumberFormat="1" applyFont="1" applyFill="1" applyBorder="1"/>
    <xf numFmtId="10" fontId="22" fillId="4" borderId="14" xfId="0" applyNumberFormat="1" applyFont="1" applyFill="1" applyBorder="1"/>
    <xf numFmtId="175" fontId="22" fillId="4" borderId="0" xfId="4" quotePrefix="1" applyNumberFormat="1" applyFont="1" applyFill="1" applyBorder="1"/>
    <xf numFmtId="10" fontId="22" fillId="4" borderId="0" xfId="0" applyNumberFormat="1" applyFont="1" applyFill="1" applyBorder="1"/>
    <xf numFmtId="165" fontId="22" fillId="7" borderId="14" xfId="4" applyNumberFormat="1" applyFont="1" applyFill="1" applyBorder="1"/>
    <xf numFmtId="165" fontId="22" fillId="4" borderId="0" xfId="4" applyNumberFormat="1" applyFont="1" applyFill="1"/>
    <xf numFmtId="0" fontId="22" fillId="4" borderId="0" xfId="0" applyFont="1" applyFill="1" applyAlignment="1">
      <alignment horizontal="left" vertical="center"/>
    </xf>
    <xf numFmtId="0" fontId="22" fillId="4" borderId="0" xfId="0" applyFont="1" applyFill="1" applyAlignment="1">
      <alignment vertical="center"/>
    </xf>
    <xf numFmtId="165" fontId="21" fillId="6" borderId="3" xfId="4" quotePrefix="1" applyFont="1" applyFill="1" applyBorder="1" applyAlignment="1">
      <alignment horizontal="center" vertical="center" wrapText="1"/>
    </xf>
    <xf numFmtId="175" fontId="21" fillId="6" borderId="4" xfId="4" applyNumberFormat="1" applyFont="1" applyFill="1" applyBorder="1" applyAlignment="1">
      <alignment horizontal="center" vertical="center" wrapText="1"/>
    </xf>
    <xf numFmtId="175" fontId="21" fillId="6" borderId="3" xfId="4" applyNumberFormat="1" applyFont="1" applyFill="1" applyBorder="1" applyAlignment="1">
      <alignment horizontal="center" vertical="center" wrapText="1"/>
    </xf>
    <xf numFmtId="175" fontId="22" fillId="4" borderId="0" xfId="4" applyNumberFormat="1" applyFont="1" applyFill="1" applyBorder="1" applyAlignment="1">
      <alignment horizontal="center"/>
    </xf>
    <xf numFmtId="175" fontId="21" fillId="6" borderId="5" xfId="4" applyNumberFormat="1" applyFont="1" applyFill="1" applyBorder="1" applyAlignment="1">
      <alignment horizontal="center" vertical="center" wrapText="1"/>
    </xf>
    <xf numFmtId="0" fontId="21" fillId="6" borderId="4" xfId="0" applyFont="1" applyFill="1" applyBorder="1" applyAlignment="1">
      <alignment horizontal="center" vertical="center" wrapText="1"/>
    </xf>
    <xf numFmtId="175" fontId="22" fillId="4" borderId="0" xfId="4" applyNumberFormat="1" applyFont="1" applyFill="1" applyBorder="1" applyAlignment="1">
      <alignment vertical="center"/>
    </xf>
    <xf numFmtId="175" fontId="21" fillId="6" borderId="15" xfId="4" applyNumberFormat="1" applyFont="1" applyFill="1" applyBorder="1" applyAlignment="1">
      <alignment horizontal="center" vertical="center" wrapText="1"/>
    </xf>
    <xf numFmtId="175" fontId="21" fillId="6" borderId="16" xfId="4" applyNumberFormat="1" applyFont="1" applyFill="1" applyBorder="1" applyAlignment="1">
      <alignment horizontal="center" vertical="top" wrapText="1"/>
    </xf>
    <xf numFmtId="9" fontId="22" fillId="7" borderId="14" xfId="12" applyFont="1" applyFill="1" applyBorder="1"/>
    <xf numFmtId="164" fontId="22" fillId="8" borderId="0" xfId="0" applyNumberFormat="1" applyFont="1" applyFill="1"/>
    <xf numFmtId="0" fontId="22" fillId="4" borderId="0" xfId="0" applyFont="1" applyFill="1" applyBorder="1" applyAlignment="1">
      <alignment horizontal="left"/>
    </xf>
    <xf numFmtId="9" fontId="21" fillId="6" borderId="3" xfId="12" applyFont="1" applyFill="1" applyBorder="1" applyAlignment="1">
      <alignment horizontal="center"/>
    </xf>
    <xf numFmtId="175" fontId="21" fillId="6" borderId="14" xfId="4" applyNumberFormat="1" applyFont="1" applyFill="1" applyBorder="1" applyAlignment="1">
      <alignment horizontal="center" vertical="center" wrapText="1"/>
    </xf>
    <xf numFmtId="3" fontId="22" fillId="4" borderId="0" xfId="0" applyNumberFormat="1" applyFont="1" applyFill="1" applyBorder="1"/>
    <xf numFmtId="3" fontId="22" fillId="4" borderId="7" xfId="0" applyNumberFormat="1" applyFont="1" applyFill="1" applyBorder="1"/>
    <xf numFmtId="0" fontId="22" fillId="4" borderId="9" xfId="0" applyFont="1" applyFill="1" applyBorder="1" applyAlignment="1">
      <alignment horizontal="center"/>
    </xf>
    <xf numFmtId="3" fontId="22" fillId="4" borderId="4" xfId="0" applyNumberFormat="1" applyFont="1" applyFill="1" applyBorder="1"/>
    <xf numFmtId="166" fontId="22" fillId="4" borderId="6" xfId="0" applyNumberFormat="1" applyFont="1" applyFill="1" applyBorder="1" applyAlignment="1">
      <alignment horizontal="center"/>
    </xf>
    <xf numFmtId="175" fontId="22" fillId="4" borderId="6" xfId="4" applyNumberFormat="1" applyFont="1" applyFill="1" applyBorder="1"/>
    <xf numFmtId="165" fontId="21" fillId="6" borderId="3" xfId="4" applyFont="1" applyFill="1" applyBorder="1" applyAlignment="1">
      <alignment horizontal="center" vertical="center"/>
    </xf>
    <xf numFmtId="3" fontId="22" fillId="4" borderId="3" xfId="0" applyNumberFormat="1" applyFont="1" applyFill="1" applyBorder="1"/>
    <xf numFmtId="175" fontId="22" fillId="3" borderId="11" xfId="4" applyNumberFormat="1" applyFont="1" applyFill="1" applyBorder="1"/>
    <xf numFmtId="175" fontId="22" fillId="3" borderId="7" xfId="4" applyNumberFormat="1" applyFont="1" applyFill="1" applyBorder="1"/>
    <xf numFmtId="175" fontId="22" fillId="4" borderId="4" xfId="4" applyNumberFormat="1" applyFont="1" applyFill="1" applyBorder="1" applyAlignment="1">
      <alignment horizontal="center"/>
    </xf>
    <xf numFmtId="175" fontId="22" fillId="4" borderId="5" xfId="4" applyNumberFormat="1" applyFont="1" applyFill="1" applyBorder="1" applyAlignment="1">
      <alignment horizontal="center"/>
    </xf>
    <xf numFmtId="4" fontId="22" fillId="4" borderId="6" xfId="12" applyNumberFormat="1" applyFont="1" applyFill="1" applyBorder="1"/>
    <xf numFmtId="177" fontId="22" fillId="4" borderId="6" xfId="4" applyNumberFormat="1" applyFont="1" applyFill="1" applyBorder="1"/>
    <xf numFmtId="0" fontId="22" fillId="4" borderId="4" xfId="15" applyFont="1" applyFill="1" applyBorder="1" applyAlignment="1">
      <alignment horizontal="center"/>
    </xf>
    <xf numFmtId="0" fontId="22" fillId="4" borderId="5" xfId="15" applyFont="1" applyFill="1" applyBorder="1" applyAlignment="1">
      <alignment horizontal="center"/>
    </xf>
    <xf numFmtId="0" fontId="22" fillId="4" borderId="3" xfId="15" applyFont="1" applyFill="1" applyBorder="1" applyAlignment="1">
      <alignment horizontal="center"/>
    </xf>
    <xf numFmtId="0" fontId="27" fillId="4" borderId="4" xfId="0" applyFont="1" applyFill="1" applyBorder="1" applyAlignment="1">
      <alignment horizontal="center"/>
    </xf>
    <xf numFmtId="172" fontId="27" fillId="5" borderId="12" xfId="0" applyNumberFormat="1" applyFont="1" applyFill="1" applyBorder="1"/>
    <xf numFmtId="172" fontId="27" fillId="5" borderId="11" xfId="0" applyNumberFormat="1" applyFont="1" applyFill="1" applyBorder="1"/>
    <xf numFmtId="3" fontId="27" fillId="4" borderId="0" xfId="12" applyNumberFormat="1" applyFont="1" applyFill="1" applyBorder="1"/>
    <xf numFmtId="172" fontId="27" fillId="4" borderId="0" xfId="0" applyNumberFormat="1" applyFont="1" applyFill="1" applyBorder="1"/>
    <xf numFmtId="165" fontId="27" fillId="4" borderId="9" xfId="4" applyFont="1" applyFill="1" applyBorder="1"/>
    <xf numFmtId="3" fontId="27" fillId="4" borderId="4" xfId="12" applyNumberFormat="1" applyFont="1" applyFill="1" applyBorder="1" applyAlignment="1">
      <alignment horizontal="right"/>
    </xf>
    <xf numFmtId="172" fontId="27" fillId="4" borderId="5" xfId="0" applyNumberFormat="1" applyFont="1" applyFill="1" applyBorder="1"/>
    <xf numFmtId="0" fontId="22" fillId="8" borderId="0" xfId="0" applyFont="1" applyFill="1" applyBorder="1" applyAlignment="1">
      <alignment horizontal="right"/>
    </xf>
    <xf numFmtId="3" fontId="27" fillId="4" borderId="0" xfId="0" applyNumberFormat="1" applyFont="1" applyFill="1"/>
    <xf numFmtId="165" fontId="22" fillId="7" borderId="17" xfId="4" applyFont="1" applyFill="1" applyBorder="1"/>
    <xf numFmtId="167" fontId="22" fillId="7" borderId="14" xfId="0" applyNumberFormat="1" applyFont="1" applyFill="1" applyBorder="1" applyAlignment="1">
      <alignment horizontal="center"/>
    </xf>
    <xf numFmtId="10" fontId="21" fillId="6" borderId="3" xfId="12" applyNumberFormat="1" applyFont="1" applyFill="1" applyBorder="1" applyAlignment="1">
      <alignment vertical="center"/>
    </xf>
    <xf numFmtId="165" fontId="21" fillId="6" borderId="4" xfId="4" applyFont="1" applyFill="1" applyBorder="1" applyAlignment="1">
      <alignment horizontal="center" vertical="center" wrapText="1"/>
    </xf>
    <xf numFmtId="175" fontId="32" fillId="4" borderId="0" xfId="4" applyNumberFormat="1" applyFont="1" applyFill="1" applyAlignment="1">
      <alignment horizontal="right"/>
    </xf>
    <xf numFmtId="165" fontId="21" fillId="6" borderId="5" xfId="4" applyFont="1" applyFill="1" applyBorder="1" applyAlignment="1">
      <alignment horizontal="center" vertical="top" wrapText="1"/>
    </xf>
    <xf numFmtId="165" fontId="22" fillId="4" borderId="0" xfId="4" applyFont="1" applyFill="1" applyAlignment="1">
      <alignment horizontal="center"/>
    </xf>
    <xf numFmtId="165" fontId="22" fillId="4" borderId="0" xfId="4" applyFont="1" applyFill="1" applyBorder="1" applyAlignment="1">
      <alignment horizontal="center"/>
    </xf>
    <xf numFmtId="165" fontId="22" fillId="4" borderId="0" xfId="4" applyFont="1" applyFill="1" applyBorder="1" applyAlignment="1">
      <alignment horizontal="left"/>
    </xf>
    <xf numFmtId="165" fontId="22" fillId="4" borderId="0" xfId="4" applyFont="1" applyFill="1" applyAlignment="1">
      <alignment horizontal="left"/>
    </xf>
    <xf numFmtId="165" fontId="23" fillId="4" borderId="0" xfId="4" applyFont="1" applyFill="1"/>
    <xf numFmtId="165" fontId="22" fillId="4" borderId="0" xfId="4" applyFont="1" applyFill="1" applyAlignment="1">
      <alignment horizontal="center" vertical="top" wrapText="1"/>
    </xf>
    <xf numFmtId="165" fontId="21" fillId="6" borderId="14" xfId="4" applyFont="1" applyFill="1" applyBorder="1" applyAlignment="1">
      <alignment horizontal="center"/>
    </xf>
    <xf numFmtId="165" fontId="22" fillId="2" borderId="0" xfId="4" applyFont="1" applyFill="1" applyBorder="1"/>
    <xf numFmtId="165" fontId="22" fillId="0" borderId="5" xfId="4" applyFont="1" applyFill="1" applyBorder="1"/>
    <xf numFmtId="165" fontId="22" fillId="0" borderId="0" xfId="4" applyFont="1" applyFill="1"/>
    <xf numFmtId="165" fontId="22" fillId="2" borderId="14" xfId="4" applyFont="1" applyFill="1" applyBorder="1"/>
    <xf numFmtId="165" fontId="22" fillId="4" borderId="0" xfId="4" applyFont="1" applyFill="1" applyBorder="1"/>
    <xf numFmtId="179" fontId="24" fillId="4" borderId="0" xfId="4" applyNumberFormat="1" applyFont="1" applyFill="1" applyAlignment="1">
      <alignment horizontal="left"/>
    </xf>
    <xf numFmtId="179" fontId="22" fillId="4" borderId="0" xfId="4" applyNumberFormat="1" applyFont="1" applyFill="1" applyAlignment="1">
      <alignment horizontal="left"/>
    </xf>
    <xf numFmtId="179" fontId="22" fillId="4" borderId="5" xfId="4" applyNumberFormat="1" applyFont="1" applyFill="1" applyBorder="1" applyAlignment="1">
      <alignment horizontal="center"/>
    </xf>
    <xf numFmtId="179" fontId="22" fillId="0" borderId="5" xfId="4" applyNumberFormat="1" applyFont="1" applyFill="1" applyBorder="1" applyAlignment="1">
      <alignment horizontal="center"/>
    </xf>
    <xf numFmtId="179" fontId="22" fillId="4" borderId="14" xfId="4" applyNumberFormat="1" applyFont="1" applyFill="1" applyBorder="1" applyAlignment="1">
      <alignment horizontal="center"/>
    </xf>
    <xf numFmtId="179" fontId="22" fillId="4" borderId="0" xfId="4" applyNumberFormat="1" applyFont="1" applyFill="1" applyAlignment="1">
      <alignment horizontal="center"/>
    </xf>
    <xf numFmtId="175" fontId="37" fillId="4" borderId="0" xfId="4" applyNumberFormat="1" applyFont="1" applyFill="1"/>
    <xf numFmtId="165" fontId="22" fillId="4" borderId="11" xfId="4" applyFont="1" applyFill="1" applyBorder="1"/>
    <xf numFmtId="165" fontId="22" fillId="4" borderId="13" xfId="4" applyFont="1" applyFill="1" applyBorder="1"/>
    <xf numFmtId="165" fontId="22" fillId="3" borderId="14" xfId="4" applyFont="1" applyFill="1" applyBorder="1"/>
    <xf numFmtId="165" fontId="36" fillId="6" borderId="4" xfId="4" applyFont="1" applyFill="1" applyBorder="1" applyAlignment="1">
      <alignment horizontal="center"/>
    </xf>
    <xf numFmtId="165" fontId="21" fillId="6" borderId="12" xfId="4" applyFont="1" applyFill="1" applyBorder="1" applyAlignment="1">
      <alignment horizontal="center"/>
    </xf>
    <xf numFmtId="14" fontId="36" fillId="6" borderId="4" xfId="0" applyNumberFormat="1" applyFont="1" applyFill="1" applyBorder="1" applyAlignment="1">
      <alignment horizontal="center"/>
    </xf>
    <xf numFmtId="175" fontId="32" fillId="8" borderId="0" xfId="0" applyNumberFormat="1" applyFont="1" applyFill="1"/>
    <xf numFmtId="175" fontId="34" fillId="4" borderId="0" xfId="4" applyNumberFormat="1" applyFont="1" applyFill="1" applyAlignment="1">
      <alignment horizontal="center"/>
    </xf>
    <xf numFmtId="0" fontId="36" fillId="6" borderId="4" xfId="4" quotePrefix="1" applyNumberFormat="1" applyFont="1" applyFill="1" applyBorder="1" applyAlignment="1">
      <alignment horizontal="center"/>
    </xf>
    <xf numFmtId="0" fontId="21" fillId="6" borderId="5" xfId="0" applyFont="1" applyFill="1" applyBorder="1" applyAlignment="1">
      <alignment horizontal="center" vertical="center" wrapText="1"/>
    </xf>
    <xf numFmtId="0" fontId="22" fillId="4" borderId="9" xfId="0" applyFont="1" applyFill="1" applyBorder="1" applyAlignment="1">
      <alignment horizontal="left"/>
    </xf>
    <xf numFmtId="0" fontId="22" fillId="4" borderId="10" xfId="0" applyFont="1" applyFill="1" applyBorder="1" applyAlignment="1">
      <alignment horizontal="left"/>
    </xf>
    <xf numFmtId="3" fontId="22" fillId="3" borderId="0" xfId="0" applyNumberFormat="1" applyFont="1" applyFill="1" applyBorder="1"/>
    <xf numFmtId="0" fontId="22" fillId="4" borderId="8" xfId="0" applyFont="1" applyFill="1" applyBorder="1" applyAlignment="1">
      <alignment horizontal="left"/>
    </xf>
    <xf numFmtId="3" fontId="22" fillId="4" borderId="12" xfId="12" applyNumberFormat="1" applyFont="1" applyFill="1" applyBorder="1"/>
    <xf numFmtId="3" fontId="22" fillId="4" borderId="11" xfId="12" applyNumberFormat="1" applyFont="1" applyFill="1" applyBorder="1"/>
    <xf numFmtId="3" fontId="22" fillId="4" borderId="13" xfId="12" applyNumberFormat="1" applyFont="1" applyFill="1" applyBorder="1"/>
    <xf numFmtId="0" fontId="21" fillId="6" borderId="5" xfId="0" applyFont="1" applyFill="1" applyBorder="1" applyAlignment="1">
      <alignment horizontal="center" vertical="center"/>
    </xf>
    <xf numFmtId="171" fontId="22" fillId="8" borderId="0" xfId="0" applyNumberFormat="1" applyFont="1" applyFill="1"/>
    <xf numFmtId="175" fontId="22" fillId="4" borderId="17" xfId="4" applyNumberFormat="1" applyFont="1" applyFill="1" applyBorder="1" applyAlignment="1">
      <alignment horizontal="center"/>
    </xf>
    <xf numFmtId="172" fontId="22" fillId="4" borderId="3" xfId="0" applyNumberFormat="1" applyFont="1" applyFill="1" applyBorder="1"/>
    <xf numFmtId="172" fontId="27" fillId="4" borderId="3" xfId="0" applyNumberFormat="1" applyFont="1" applyFill="1" applyBorder="1"/>
    <xf numFmtId="175" fontId="22" fillId="7" borderId="14" xfId="4" applyNumberFormat="1" applyFont="1" applyFill="1" applyBorder="1" applyAlignment="1">
      <alignment horizontal="center"/>
    </xf>
    <xf numFmtId="0" fontId="22" fillId="8" borderId="0" xfId="0" quotePrefix="1" applyFont="1" applyFill="1" applyBorder="1" applyAlignment="1"/>
    <xf numFmtId="10" fontId="22" fillId="4" borderId="9" xfId="12" applyNumberFormat="1" applyFont="1" applyFill="1" applyBorder="1"/>
    <xf numFmtId="2" fontId="22" fillId="4" borderId="8" xfId="13" applyNumberFormat="1" applyFont="1" applyFill="1" applyBorder="1"/>
    <xf numFmtId="2" fontId="22" fillId="4" borderId="0" xfId="13" applyNumberFormat="1" applyFont="1" applyFill="1" applyBorder="1"/>
    <xf numFmtId="2" fontId="22" fillId="4" borderId="9" xfId="13" applyNumberFormat="1" applyFont="1" applyFill="1" applyBorder="1"/>
    <xf numFmtId="2" fontId="22" fillId="4" borderId="10" xfId="13" applyNumberFormat="1" applyFont="1" applyFill="1" applyBorder="1"/>
    <xf numFmtId="165" fontId="22" fillId="4" borderId="0" xfId="4" applyFont="1" applyFill="1"/>
    <xf numFmtId="0" fontId="22" fillId="4" borderId="3" xfId="0" applyFont="1" applyFill="1" applyBorder="1"/>
    <xf numFmtId="165" fontId="22" fillId="4" borderId="5" xfId="4" applyNumberFormat="1" applyFont="1" applyFill="1" applyBorder="1"/>
    <xf numFmtId="2" fontId="22" fillId="4" borderId="0" xfId="13" applyNumberFormat="1" applyFont="1" applyFill="1" applyBorder="1"/>
    <xf numFmtId="165" fontId="22" fillId="4" borderId="4" xfId="4" applyNumberFormat="1" applyFont="1" applyFill="1" applyBorder="1"/>
    <xf numFmtId="2" fontId="22" fillId="4" borderId="4" xfId="13" applyNumberFormat="1" applyFont="1" applyFill="1" applyBorder="1"/>
    <xf numFmtId="2" fontId="22" fillId="4" borderId="5" xfId="13" applyNumberFormat="1" applyFont="1" applyFill="1" applyBorder="1"/>
    <xf numFmtId="2" fontId="22" fillId="4" borderId="3" xfId="13" applyNumberFormat="1" applyFont="1" applyFill="1" applyBorder="1"/>
    <xf numFmtId="165" fontId="22" fillId="4" borderId="3" xfId="4" applyNumberFormat="1" applyFont="1" applyFill="1" applyBorder="1"/>
    <xf numFmtId="178" fontId="22" fillId="8" borderId="0" xfId="0" quotePrefix="1" applyNumberFormat="1" applyFont="1" applyFill="1" applyAlignment="1">
      <alignment horizontal="right"/>
    </xf>
    <xf numFmtId="43" fontId="22" fillId="8" borderId="0" xfId="0" applyNumberFormat="1" applyFont="1" applyFill="1"/>
    <xf numFmtId="165" fontId="21" fillId="6" borderId="14" xfId="4" applyNumberFormat="1" applyFont="1" applyFill="1" applyBorder="1" applyAlignment="1">
      <alignment horizontal="center" vertical="top" wrapText="1"/>
    </xf>
    <xf numFmtId="2" fontId="21" fillId="6" borderId="14" xfId="0" applyNumberFormat="1" applyFont="1" applyFill="1" applyBorder="1" applyAlignment="1">
      <alignment horizontal="center" vertical="top" wrapText="1"/>
    </xf>
    <xf numFmtId="9" fontId="21" fillId="6" borderId="14" xfId="12" applyFont="1" applyFill="1" applyBorder="1" applyAlignment="1">
      <alignment horizontal="center"/>
    </xf>
    <xf numFmtId="165" fontId="22" fillId="4" borderId="0" xfId="4" applyFont="1" applyFill="1"/>
    <xf numFmtId="175" fontId="36" fillId="6" borderId="14" xfId="4" applyNumberFormat="1" applyFont="1" applyFill="1" applyBorder="1" applyAlignment="1">
      <alignment horizontal="center"/>
    </xf>
    <xf numFmtId="165" fontId="21" fillId="6" borderId="14" xfId="4" applyFont="1" applyFill="1" applyBorder="1" applyAlignment="1">
      <alignment horizontal="center"/>
    </xf>
    <xf numFmtId="0" fontId="0" fillId="0" borderId="0" xfId="0"/>
    <xf numFmtId="175" fontId="22" fillId="4" borderId="0" xfId="4" applyNumberFormat="1" applyFont="1" applyFill="1"/>
    <xf numFmtId="175" fontId="22" fillId="4" borderId="0" xfId="4" applyNumberFormat="1" applyFont="1" applyFill="1" applyBorder="1"/>
    <xf numFmtId="166" fontId="22" fillId="4" borderId="17" xfId="0" applyNumberFormat="1" applyFont="1" applyFill="1" applyBorder="1" applyAlignment="1">
      <alignment horizontal="center"/>
    </xf>
    <xf numFmtId="0" fontId="22" fillId="4" borderId="14" xfId="0" applyFont="1" applyFill="1" applyBorder="1"/>
    <xf numFmtId="0" fontId="22" fillId="4" borderId="0" xfId="11" applyFont="1" applyFill="1" applyAlignment="1">
      <alignment vertical="center"/>
    </xf>
    <xf numFmtId="175" fontId="22" fillId="4" borderId="0" xfId="4" applyNumberFormat="1" applyFont="1" applyFill="1" applyAlignment="1">
      <alignment vertical="center"/>
    </xf>
    <xf numFmtId="169" fontId="22" fillId="4" borderId="0" xfId="11" applyNumberFormat="1" applyFont="1" applyFill="1" applyAlignment="1">
      <alignment vertical="center"/>
    </xf>
    <xf numFmtId="172" fontId="22" fillId="4" borderId="14" xfId="0" applyNumberFormat="1" applyFont="1" applyFill="1" applyBorder="1"/>
    <xf numFmtId="0" fontId="27" fillId="4" borderId="5" xfId="0" applyFont="1" applyFill="1" applyBorder="1" applyAlignment="1">
      <alignment horizontal="center"/>
    </xf>
    <xf numFmtId="172" fontId="27" fillId="5" borderId="5" xfId="0" applyNumberFormat="1" applyFont="1" applyFill="1" applyBorder="1"/>
    <xf numFmtId="175" fontId="27" fillId="4" borderId="0" xfId="4" applyNumberFormat="1" applyFont="1" applyFill="1"/>
    <xf numFmtId="175" fontId="21" fillId="6" borderId="14" xfId="4" applyNumberFormat="1" applyFont="1" applyFill="1" applyBorder="1" applyAlignment="1">
      <alignment horizontal="center" vertical="center" wrapText="1"/>
    </xf>
    <xf numFmtId="172" fontId="27" fillId="4" borderId="5" xfId="0" applyNumberFormat="1" applyFont="1" applyFill="1" applyBorder="1"/>
    <xf numFmtId="0" fontId="24" fillId="4" borderId="0" xfId="0" applyFont="1" applyFill="1" applyAlignment="1">
      <alignment horizontal="left" vertical="center"/>
    </xf>
    <xf numFmtId="0" fontId="24" fillId="4" borderId="0" xfId="0" applyFont="1" applyFill="1" applyAlignment="1">
      <alignment vertical="center"/>
    </xf>
    <xf numFmtId="175" fontId="27" fillId="4" borderId="5" xfId="4" applyNumberFormat="1" applyFont="1" applyFill="1" applyBorder="1"/>
    <xf numFmtId="175" fontId="27" fillId="4" borderId="14" xfId="4" applyNumberFormat="1" applyFont="1" applyFill="1" applyBorder="1"/>
    <xf numFmtId="175" fontId="27" fillId="4" borderId="0" xfId="4" applyNumberFormat="1" applyFont="1" applyFill="1" applyBorder="1"/>
    <xf numFmtId="175" fontId="27" fillId="4" borderId="4" xfId="4" applyNumberFormat="1" applyFont="1" applyFill="1" applyBorder="1"/>
    <xf numFmtId="175" fontId="24" fillId="4" borderId="0" xfId="4" applyNumberFormat="1" applyFont="1" applyFill="1" applyAlignment="1">
      <alignment vertical="center"/>
    </xf>
    <xf numFmtId="43" fontId="22" fillId="4" borderId="0" xfId="0" applyNumberFormat="1" applyFont="1" applyFill="1"/>
    <xf numFmtId="167" fontId="21" fillId="6" borderId="14" xfId="12" applyNumberFormat="1" applyFont="1" applyFill="1" applyBorder="1" applyAlignment="1">
      <alignment horizontal="center" vertical="center" wrapText="1"/>
    </xf>
    <xf numFmtId="167" fontId="21" fillId="6" borderId="14" xfId="12" applyNumberFormat="1" applyFont="1" applyFill="1" applyBorder="1" applyAlignment="1">
      <alignment vertical="center" wrapText="1"/>
    </xf>
    <xf numFmtId="175" fontId="22" fillId="3" borderId="5" xfId="4" applyNumberFormat="1" applyFont="1" applyFill="1" applyBorder="1"/>
    <xf numFmtId="175" fontId="22" fillId="3" borderId="5" xfId="4" applyNumberFormat="1" applyFont="1" applyFill="1" applyBorder="1"/>
    <xf numFmtId="175" fontId="22" fillId="3" borderId="5" xfId="4" applyNumberFormat="1" applyFont="1" applyFill="1" applyBorder="1"/>
    <xf numFmtId="3" fontId="22" fillId="3" borderId="14" xfId="12" applyNumberFormat="1" applyFont="1" applyFill="1" applyBorder="1"/>
    <xf numFmtId="165" fontId="22" fillId="2" borderId="17" xfId="4" applyFont="1" applyFill="1" applyBorder="1"/>
    <xf numFmtId="165" fontId="22" fillId="4" borderId="14" xfId="4" applyNumberFormat="1" applyFont="1" applyFill="1" applyBorder="1" applyAlignment="1">
      <alignment horizontal="center"/>
    </xf>
    <xf numFmtId="165" fontId="37" fillId="10" borderId="12" xfId="4" applyFont="1" applyFill="1" applyBorder="1"/>
    <xf numFmtId="165" fontId="37" fillId="10" borderId="11" xfId="4" applyFont="1" applyFill="1" applyBorder="1"/>
    <xf numFmtId="165" fontId="37" fillId="10" borderId="13" xfId="4" applyFont="1" applyFill="1" applyBorder="1"/>
    <xf numFmtId="165" fontId="21" fillId="6" borderId="4" xfId="4" applyFont="1" applyFill="1" applyBorder="1" applyAlignment="1">
      <alignment horizontal="center"/>
    </xf>
    <xf numFmtId="165" fontId="37" fillId="4" borderId="10" xfId="4" applyFont="1" applyFill="1" applyBorder="1"/>
    <xf numFmtId="43" fontId="22" fillId="4" borderId="0" xfId="4" applyNumberFormat="1" applyFont="1" applyFill="1"/>
    <xf numFmtId="165" fontId="22" fillId="2" borderId="9" xfId="4" applyFont="1" applyFill="1" applyBorder="1"/>
    <xf numFmtId="165" fontId="21" fillId="10" borderId="7" xfId="4" applyFont="1" applyFill="1" applyBorder="1" applyAlignment="1">
      <alignment horizontal="center"/>
    </xf>
    <xf numFmtId="165" fontId="22" fillId="10" borderId="13" xfId="4" applyFont="1" applyFill="1" applyBorder="1"/>
    <xf numFmtId="165" fontId="22" fillId="13" borderId="9" xfId="4" applyFont="1" applyFill="1" applyBorder="1"/>
    <xf numFmtId="165" fontId="37" fillId="12" borderId="11" xfId="4" applyFont="1" applyFill="1" applyBorder="1"/>
    <xf numFmtId="0" fontId="22" fillId="13" borderId="0" xfId="0" applyFont="1" applyFill="1" applyBorder="1" applyAlignment="1">
      <alignment horizontal="left"/>
    </xf>
    <xf numFmtId="175" fontId="22" fillId="36" borderId="0" xfId="4" applyNumberFormat="1" applyFont="1" applyFill="1" applyBorder="1" applyAlignment="1">
      <alignment horizontal="center"/>
    </xf>
    <xf numFmtId="175" fontId="22" fillId="36" borderId="4" xfId="4" applyNumberFormat="1" applyFont="1" applyFill="1" applyBorder="1" applyAlignment="1">
      <alignment horizontal="center"/>
    </xf>
    <xf numFmtId="175" fontId="22" fillId="36" borderId="5" xfId="4" applyNumberFormat="1" applyFont="1" applyFill="1" applyBorder="1" applyAlignment="1">
      <alignment horizontal="center"/>
    </xf>
    <xf numFmtId="175" fontId="22" fillId="36" borderId="15" xfId="4" applyNumberFormat="1" applyFont="1" applyFill="1" applyBorder="1"/>
    <xf numFmtId="175" fontId="22" fillId="36" borderId="0" xfId="4" applyNumberFormat="1" applyFont="1" applyFill="1" applyBorder="1"/>
    <xf numFmtId="175" fontId="22" fillId="36" borderId="16" xfId="4" applyNumberFormat="1" applyFont="1" applyFill="1" applyBorder="1"/>
    <xf numFmtId="0" fontId="58" fillId="0" borderId="0" xfId="0" applyFont="1" applyFill="1" applyBorder="1" applyAlignment="1">
      <alignment horizontal="left"/>
    </xf>
    <xf numFmtId="0" fontId="59" fillId="0" borderId="0" xfId="0" applyFont="1" applyFill="1" applyBorder="1" applyAlignment="1">
      <alignment horizontal="left"/>
    </xf>
    <xf numFmtId="165" fontId="60" fillId="0" borderId="0" xfId="4" applyFont="1" applyFill="1"/>
    <xf numFmtId="0" fontId="58" fillId="0" borderId="0" xfId="0" applyFont="1" applyFill="1" applyAlignment="1">
      <alignment horizontal="left"/>
    </xf>
    <xf numFmtId="0" fontId="59" fillId="0" borderId="0" xfId="0" applyFont="1" applyFill="1" applyAlignment="1">
      <alignment horizontal="left"/>
    </xf>
    <xf numFmtId="165" fontId="60" fillId="37" borderId="0" xfId="4" applyFont="1" applyFill="1"/>
    <xf numFmtId="0" fontId="59" fillId="37" borderId="0" xfId="0" applyFont="1" applyFill="1" applyAlignment="1">
      <alignment horizontal="left"/>
    </xf>
    <xf numFmtId="165" fontId="61" fillId="0" borderId="0" xfId="4" applyFont="1" applyFill="1"/>
    <xf numFmtId="165" fontId="61" fillId="37" borderId="0" xfId="4" applyFont="1" applyFill="1"/>
    <xf numFmtId="0" fontId="59" fillId="0" borderId="0" xfId="0" applyNumberFormat="1" applyFont="1" applyFill="1" applyAlignment="1">
      <alignment horizontal="left"/>
    </xf>
    <xf numFmtId="0" fontId="61" fillId="0" borderId="0" xfId="0" applyFont="1" applyFill="1"/>
    <xf numFmtId="0" fontId="60" fillId="0" borderId="0" xfId="0" applyFont="1" applyFill="1"/>
    <xf numFmtId="165" fontId="22" fillId="4" borderId="9" xfId="4" applyFont="1" applyFill="1" applyBorder="1"/>
    <xf numFmtId="165" fontId="22" fillId="4" borderId="8" xfId="4" applyFont="1" applyFill="1" applyBorder="1"/>
    <xf numFmtId="165" fontId="37" fillId="4" borderId="0" xfId="4" applyFont="1" applyFill="1" applyBorder="1"/>
    <xf numFmtId="165" fontId="37" fillId="4" borderId="8" xfId="4" applyFont="1" applyFill="1" applyBorder="1"/>
    <xf numFmtId="165" fontId="37" fillId="4" borderId="4" xfId="4" applyFont="1" applyFill="1" applyBorder="1"/>
    <xf numFmtId="165" fontId="37" fillId="4" borderId="11" xfId="4" applyFont="1" applyFill="1" applyBorder="1"/>
    <xf numFmtId="165" fontId="37" fillId="4" borderId="9" xfId="4" applyFont="1" applyFill="1" applyBorder="1"/>
    <xf numFmtId="165" fontId="37" fillId="4" borderId="5" xfId="4" applyFont="1" applyFill="1" applyBorder="1"/>
    <xf numFmtId="165" fontId="22" fillId="4" borderId="10" xfId="4" applyFont="1" applyFill="1" applyBorder="1"/>
    <xf numFmtId="165" fontId="37" fillId="4" borderId="3" xfId="4" applyFont="1" applyFill="1" applyBorder="1"/>
    <xf numFmtId="165" fontId="22" fillId="4" borderId="12" xfId="4" applyFont="1" applyFill="1" applyBorder="1"/>
    <xf numFmtId="165" fontId="22" fillId="4" borderId="15" xfId="4" applyFont="1" applyFill="1" applyBorder="1"/>
    <xf numFmtId="165" fontId="22" fillId="13" borderId="5" xfId="4" applyFont="1" applyFill="1" applyBorder="1"/>
    <xf numFmtId="165" fontId="60" fillId="7" borderId="0" xfId="4" applyFont="1" applyFill="1"/>
    <xf numFmtId="165" fontId="60" fillId="4" borderId="0" xfId="4" applyFont="1" applyFill="1"/>
    <xf numFmtId="165" fontId="61" fillId="11" borderId="0" xfId="4" applyFont="1" applyFill="1"/>
    <xf numFmtId="165" fontId="61" fillId="7" borderId="0" xfId="4" applyFont="1" applyFill="1"/>
    <xf numFmtId="10" fontId="21" fillId="6" borderId="5" xfId="12" applyNumberFormat="1" applyFont="1" applyFill="1" applyBorder="1" applyAlignment="1">
      <alignment vertical="center"/>
    </xf>
    <xf numFmtId="175" fontId="22" fillId="4" borderId="0" xfId="4" applyNumberFormat="1" applyFont="1" applyFill="1"/>
    <xf numFmtId="0" fontId="22" fillId="4" borderId="0" xfId="0" applyFont="1" applyFill="1"/>
    <xf numFmtId="0" fontId="32" fillId="4" borderId="0" xfId="0" applyFont="1" applyFill="1"/>
    <xf numFmtId="175" fontId="32" fillId="4" borderId="0" xfId="4" applyNumberFormat="1" applyFont="1" applyFill="1"/>
    <xf numFmtId="0" fontId="34" fillId="3" borderId="28" xfId="0" applyFont="1" applyFill="1" applyBorder="1" applyAlignment="1">
      <alignment horizontal="center" vertical="center" wrapText="1"/>
    </xf>
    <xf numFmtId="0" fontId="32" fillId="3" borderId="28" xfId="0" applyFont="1" applyFill="1" applyBorder="1" applyAlignment="1">
      <alignment horizontal="center" vertical="center" wrapText="1"/>
    </xf>
    <xf numFmtId="175" fontId="32" fillId="3" borderId="29" xfId="4" applyNumberFormat="1" applyFont="1" applyFill="1" applyBorder="1" applyAlignment="1">
      <alignment horizontal="center" vertical="center" wrapText="1"/>
    </xf>
    <xf numFmtId="0" fontId="32" fillId="3" borderId="30" xfId="0" applyFont="1" applyFill="1" applyBorder="1"/>
    <xf numFmtId="175" fontId="32" fillId="14" borderId="30" xfId="0" applyNumberFormat="1" applyFont="1" applyFill="1" applyBorder="1"/>
    <xf numFmtId="175" fontId="32" fillId="14" borderId="30" xfId="4" applyNumberFormat="1" applyFont="1" applyFill="1" applyBorder="1"/>
    <xf numFmtId="175" fontId="32" fillId="14" borderId="0" xfId="4" applyNumberFormat="1" applyFont="1" applyFill="1"/>
    <xf numFmtId="175" fontId="32" fillId="14" borderId="32" xfId="4" applyNumberFormat="1" applyFont="1" applyFill="1" applyBorder="1"/>
    <xf numFmtId="175" fontId="32" fillId="14" borderId="16" xfId="4" applyNumberFormat="1" applyFont="1" applyFill="1" applyBorder="1"/>
    <xf numFmtId="0" fontId="62" fillId="4" borderId="0" xfId="0" applyFont="1" applyFill="1" applyAlignment="1">
      <alignment horizontal="right"/>
    </xf>
    <xf numFmtId="175" fontId="32" fillId="14" borderId="31" xfId="0" applyNumberFormat="1" applyFont="1" applyFill="1" applyBorder="1"/>
    <xf numFmtId="175" fontId="21" fillId="6" borderId="4" xfId="4" applyNumberFormat="1" applyFont="1" applyFill="1" applyBorder="1" applyAlignment="1">
      <alignment horizontal="center" vertical="center" wrapText="1"/>
    </xf>
    <xf numFmtId="3" fontId="27" fillId="4" borderId="9" xfId="0" applyNumberFormat="1" applyFont="1" applyFill="1" applyBorder="1"/>
    <xf numFmtId="175" fontId="27" fillId="5" borderId="14" xfId="4" applyNumberFormat="1" applyFont="1" applyFill="1" applyBorder="1"/>
    <xf numFmtId="171" fontId="22" fillId="8" borderId="0" xfId="0" quotePrefix="1" applyNumberFormat="1" applyFont="1" applyFill="1" applyBorder="1"/>
    <xf numFmtId="181" fontId="22" fillId="4" borderId="0" xfId="4" applyNumberFormat="1" applyFont="1" applyFill="1"/>
    <xf numFmtId="175" fontId="0" fillId="0" borderId="0" xfId="4" applyNumberFormat="1" applyFont="1"/>
    <xf numFmtId="180" fontId="22" fillId="8" borderId="14" xfId="4" applyNumberFormat="1" applyFont="1" applyFill="1" applyBorder="1"/>
    <xf numFmtId="175" fontId="32" fillId="8" borderId="0" xfId="4" applyNumberFormat="1" applyFont="1" applyFill="1"/>
    <xf numFmtId="0" fontId="22" fillId="0" borderId="0" xfId="15" applyFont="1" applyFill="1"/>
    <xf numFmtId="0" fontId="22" fillId="0" borderId="14" xfId="15" applyFont="1" applyFill="1" applyBorder="1" applyAlignment="1">
      <alignment horizontal="center"/>
    </xf>
    <xf numFmtId="175" fontId="22" fillId="0" borderId="0" xfId="4" applyNumberFormat="1" applyFont="1" applyFill="1"/>
    <xf numFmtId="3" fontId="10" fillId="4" borderId="5" xfId="15" applyNumberFormat="1" applyFont="1" applyFill="1" applyBorder="1" applyAlignment="1">
      <alignment horizontal="center"/>
    </xf>
    <xf numFmtId="165" fontId="22" fillId="0" borderId="5" xfId="4" applyNumberFormat="1" applyFont="1" applyFill="1" applyBorder="1"/>
    <xf numFmtId="175" fontId="25" fillId="4" borderId="0" xfId="4" applyNumberFormat="1" applyFont="1" applyFill="1" applyBorder="1"/>
    <xf numFmtId="182" fontId="27" fillId="4" borderId="0" xfId="0" applyNumberFormat="1" applyFont="1" applyFill="1"/>
    <xf numFmtId="183" fontId="22" fillId="4" borderId="14" xfId="4" applyNumberFormat="1" applyFont="1" applyFill="1" applyBorder="1"/>
    <xf numFmtId="0" fontId="22" fillId="7" borderId="14" xfId="0" applyFont="1" applyFill="1" applyBorder="1" applyAlignment="1">
      <alignment horizontal="center"/>
    </xf>
    <xf numFmtId="171" fontId="22" fillId="7" borderId="14" xfId="18" applyNumberFormat="1" applyFont="1" applyFill="1" applyBorder="1"/>
    <xf numFmtId="171" fontId="22" fillId="7" borderId="14" xfId="0" applyNumberFormat="1" applyFont="1" applyFill="1" applyBorder="1"/>
    <xf numFmtId="180" fontId="22" fillId="7" borderId="14" xfId="4" applyNumberFormat="1" applyFont="1" applyFill="1" applyBorder="1"/>
    <xf numFmtId="14" fontId="22" fillId="7" borderId="14" xfId="0" applyNumberFormat="1" applyFont="1" applyFill="1" applyBorder="1" applyAlignment="1">
      <alignment horizontal="center"/>
    </xf>
    <xf numFmtId="0" fontId="22" fillId="7" borderId="14" xfId="4" applyNumberFormat="1" applyFont="1" applyFill="1" applyBorder="1" applyAlignment="1">
      <alignment horizontal="center"/>
    </xf>
    <xf numFmtId="2" fontId="22" fillId="7" borderId="4" xfId="0" applyNumberFormat="1" applyFont="1" applyFill="1" applyBorder="1" applyAlignment="1"/>
    <xf numFmtId="3" fontId="22" fillId="7" borderId="14" xfId="0" applyNumberFormat="1" applyFont="1" applyFill="1" applyBorder="1"/>
    <xf numFmtId="0" fontId="22" fillId="7" borderId="14" xfId="0" applyFont="1" applyFill="1" applyBorder="1" applyAlignment="1">
      <alignment horizontal="center"/>
    </xf>
    <xf numFmtId="3" fontId="22" fillId="8" borderId="8" xfId="0" applyNumberFormat="1" applyFont="1" applyFill="1" applyBorder="1" applyAlignment="1">
      <alignment horizontal="center" wrapText="1"/>
    </xf>
    <xf numFmtId="3" fontId="22" fillId="8" borderId="12" xfId="0" applyNumberFormat="1" applyFont="1" applyFill="1" applyBorder="1" applyAlignment="1">
      <alignment horizontal="center" wrapText="1"/>
    </xf>
    <xf numFmtId="3" fontId="22" fillId="8" borderId="10" xfId="0" applyNumberFormat="1" applyFont="1" applyFill="1" applyBorder="1" applyAlignment="1">
      <alignment horizontal="center" wrapText="1"/>
    </xf>
    <xf numFmtId="3" fontId="22" fillId="8" borderId="13" xfId="0" applyNumberFormat="1" applyFont="1" applyFill="1" applyBorder="1" applyAlignment="1">
      <alignment horizontal="center" wrapText="1"/>
    </xf>
    <xf numFmtId="0" fontId="22" fillId="7" borderId="17" xfId="0" applyFont="1" applyFill="1" applyBorder="1" applyAlignment="1">
      <alignment horizontal="center"/>
    </xf>
    <xf numFmtId="0" fontId="22" fillId="7" borderId="6" xfId="0" applyFont="1" applyFill="1" applyBorder="1" applyAlignment="1">
      <alignment horizontal="center"/>
    </xf>
    <xf numFmtId="0" fontId="22" fillId="7" borderId="7" xfId="0" applyFont="1" applyFill="1" applyBorder="1" applyAlignment="1">
      <alignment horizontal="center"/>
    </xf>
    <xf numFmtId="0" fontId="22" fillId="8" borderId="9" xfId="0" quotePrefix="1" applyFont="1" applyFill="1" applyBorder="1" applyAlignment="1">
      <alignment horizontal="center"/>
    </xf>
    <xf numFmtId="0" fontId="22" fillId="8" borderId="0" xfId="0" quotePrefix="1" applyFont="1" applyFill="1" applyBorder="1" applyAlignment="1">
      <alignment horizontal="center"/>
    </xf>
    <xf numFmtId="0" fontId="22" fillId="8" borderId="11" xfId="0" quotePrefix="1" applyFont="1" applyFill="1" applyBorder="1" applyAlignment="1">
      <alignment horizontal="center"/>
    </xf>
    <xf numFmtId="0" fontId="22" fillId="8" borderId="10" xfId="0" quotePrefix="1" applyFont="1" applyFill="1" applyBorder="1" applyAlignment="1">
      <alignment horizontal="center"/>
    </xf>
    <xf numFmtId="0" fontId="22" fillId="8" borderId="16" xfId="0" quotePrefix="1" applyFont="1" applyFill="1" applyBorder="1" applyAlignment="1">
      <alignment horizontal="center"/>
    </xf>
    <xf numFmtId="0" fontId="22" fillId="8" borderId="13" xfId="0" quotePrefix="1" applyFont="1" applyFill="1" applyBorder="1" applyAlignment="1">
      <alignment horizontal="center"/>
    </xf>
    <xf numFmtId="0" fontId="35" fillId="4" borderId="0" xfId="0" applyFont="1" applyFill="1" applyAlignment="1">
      <alignment horizontal="center"/>
    </xf>
    <xf numFmtId="15" fontId="30" fillId="9" borderId="0" xfId="0" applyNumberFormat="1" applyFont="1" applyFill="1" applyAlignment="1">
      <alignment horizontal="center"/>
    </xf>
    <xf numFmtId="0" fontId="63" fillId="4" borderId="0" xfId="0" applyFont="1" applyFill="1" applyAlignment="1">
      <alignment horizontal="left" vertical="top" wrapText="1"/>
    </xf>
    <xf numFmtId="165" fontId="21" fillId="6" borderId="4" xfId="4" applyFont="1" applyFill="1" applyBorder="1" applyAlignment="1">
      <alignment horizontal="center" vertical="center" textRotation="90" wrapText="1"/>
    </xf>
    <xf numFmtId="165" fontId="21" fillId="6" borderId="3" xfId="4" applyFont="1" applyFill="1" applyBorder="1" applyAlignment="1">
      <alignment horizontal="center" vertical="center" textRotation="90" wrapText="1"/>
    </xf>
    <xf numFmtId="165" fontId="21" fillId="10" borderId="12" xfId="4" applyFont="1" applyFill="1" applyBorder="1" applyAlignment="1">
      <alignment horizontal="center" vertical="center" textRotation="90" wrapText="1"/>
    </xf>
    <xf numFmtId="165" fontId="21" fillId="10" borderId="13" xfId="4" applyFont="1" applyFill="1" applyBorder="1" applyAlignment="1">
      <alignment horizontal="center" vertical="center" textRotation="90" wrapText="1"/>
    </xf>
    <xf numFmtId="165" fontId="21" fillId="6" borderId="5" xfId="4" applyFont="1" applyFill="1" applyBorder="1" applyAlignment="1">
      <alignment horizontal="center" vertical="center" textRotation="90" wrapText="1"/>
    </xf>
    <xf numFmtId="165" fontId="36" fillId="6" borderId="4" xfId="4" applyFont="1" applyFill="1" applyBorder="1" applyAlignment="1">
      <alignment horizontal="center" vertical="center" textRotation="90" wrapText="1"/>
    </xf>
    <xf numFmtId="165" fontId="36" fillId="6" borderId="3" xfId="4" applyFont="1" applyFill="1" applyBorder="1" applyAlignment="1">
      <alignment horizontal="center" vertical="center" textRotation="90" wrapText="1"/>
    </xf>
    <xf numFmtId="179" fontId="21" fillId="6" borderId="4" xfId="4" applyNumberFormat="1" applyFont="1" applyFill="1" applyBorder="1" applyAlignment="1">
      <alignment horizontal="center" vertical="center" wrapText="1"/>
    </xf>
    <xf numFmtId="179" fontId="21" fillId="6" borderId="5" xfId="4" applyNumberFormat="1" applyFont="1" applyFill="1" applyBorder="1" applyAlignment="1">
      <alignment horizontal="center" vertical="center" wrapText="1"/>
    </xf>
    <xf numFmtId="179" fontId="21" fillId="6" borderId="3" xfId="4" applyNumberFormat="1" applyFont="1" applyFill="1" applyBorder="1" applyAlignment="1">
      <alignment horizontal="center" vertical="center" wrapText="1"/>
    </xf>
    <xf numFmtId="165" fontId="21" fillId="6" borderId="8" xfId="4" applyFont="1" applyFill="1" applyBorder="1" applyAlignment="1">
      <alignment horizontal="center" vertical="center" wrapText="1"/>
    </xf>
    <xf numFmtId="165" fontId="21" fillId="6" borderId="9" xfId="4" applyFont="1" applyFill="1" applyBorder="1" applyAlignment="1">
      <alignment horizontal="center" vertical="center" wrapText="1"/>
    </xf>
    <xf numFmtId="165" fontId="21" fillId="6" borderId="10" xfId="4" applyFont="1" applyFill="1" applyBorder="1" applyAlignment="1">
      <alignment horizontal="center" vertical="center" wrapText="1"/>
    </xf>
    <xf numFmtId="165" fontId="21" fillId="6" borderId="12" xfId="4" applyFont="1" applyFill="1" applyBorder="1" applyAlignment="1">
      <alignment horizontal="center" vertical="center" textRotation="90" wrapText="1"/>
    </xf>
    <xf numFmtId="165" fontId="21" fillId="6" borderId="13" xfId="4" applyFont="1" applyFill="1" applyBorder="1" applyAlignment="1">
      <alignment horizontal="center" vertical="center" textRotation="90" wrapText="1"/>
    </xf>
    <xf numFmtId="3" fontId="36" fillId="6" borderId="4" xfId="0" applyNumberFormat="1" applyFont="1" applyFill="1" applyBorder="1" applyAlignment="1">
      <alignment horizontal="center" vertical="center" textRotation="90" wrapText="1"/>
    </xf>
    <xf numFmtId="0" fontId="36" fillId="6" borderId="3" xfId="0" applyFont="1" applyFill="1" applyBorder="1" applyAlignment="1">
      <alignment horizontal="center" vertical="center" textRotation="90" wrapText="1"/>
    </xf>
    <xf numFmtId="175" fontId="36" fillId="6" borderId="12" xfId="4" applyNumberFormat="1" applyFont="1" applyFill="1" applyBorder="1" applyAlignment="1">
      <alignment horizontal="center" vertical="center" textRotation="90" wrapText="1"/>
    </xf>
    <xf numFmtId="175" fontId="36" fillId="6" borderId="13" xfId="4" applyNumberFormat="1" applyFont="1" applyFill="1" applyBorder="1" applyAlignment="1">
      <alignment horizontal="center" vertical="center" textRotation="90" wrapText="1"/>
    </xf>
    <xf numFmtId="175" fontId="36" fillId="6" borderId="4" xfId="4" applyNumberFormat="1" applyFont="1" applyFill="1" applyBorder="1" applyAlignment="1">
      <alignment horizontal="center" vertical="center" textRotation="90" wrapText="1"/>
    </xf>
    <xf numFmtId="175" fontId="36" fillId="6" borderId="3" xfId="4" applyNumberFormat="1" applyFont="1" applyFill="1" applyBorder="1" applyAlignment="1">
      <alignment horizontal="center" vertical="center" textRotation="90" wrapText="1"/>
    </xf>
    <xf numFmtId="175" fontId="36" fillId="6" borderId="5" xfId="4" applyNumberFormat="1" applyFont="1" applyFill="1" applyBorder="1" applyAlignment="1">
      <alignment horizontal="center" vertical="center" textRotation="90" wrapText="1"/>
    </xf>
    <xf numFmtId="0" fontId="21" fillId="6" borderId="4" xfId="0" applyNumberFormat="1" applyFont="1" applyFill="1" applyBorder="1" applyAlignment="1">
      <alignment horizontal="center" vertical="center" wrapText="1"/>
    </xf>
    <xf numFmtId="0" fontId="21" fillId="6" borderId="5" xfId="0" applyNumberFormat="1" applyFont="1" applyFill="1" applyBorder="1" applyAlignment="1">
      <alignment horizontal="center" vertical="center" wrapText="1"/>
    </xf>
    <xf numFmtId="0" fontId="21" fillId="6" borderId="3" xfId="0" applyNumberFormat="1" applyFont="1" applyFill="1" applyBorder="1" applyAlignment="1">
      <alignment horizontal="center" vertical="center" wrapText="1"/>
    </xf>
    <xf numFmtId="3" fontId="21" fillId="6" borderId="4" xfId="0" applyNumberFormat="1" applyFont="1" applyFill="1" applyBorder="1" applyAlignment="1">
      <alignment horizontal="center" vertical="center" wrapText="1"/>
    </xf>
    <xf numFmtId="3" fontId="21" fillId="6" borderId="5" xfId="0" applyNumberFormat="1" applyFont="1" applyFill="1" applyBorder="1" applyAlignment="1">
      <alignment horizontal="center" vertical="center" wrapText="1"/>
    </xf>
    <xf numFmtId="3" fontId="21" fillId="6" borderId="3" xfId="0" applyNumberFormat="1" applyFont="1" applyFill="1" applyBorder="1" applyAlignment="1">
      <alignment horizontal="center" vertical="center" wrapText="1"/>
    </xf>
    <xf numFmtId="175" fontId="21" fillId="6" borderId="4" xfId="4" applyNumberFormat="1" applyFont="1" applyFill="1" applyBorder="1" applyAlignment="1">
      <alignment horizontal="center" vertical="center" textRotation="90" wrapText="1"/>
    </xf>
    <xf numFmtId="175" fontId="21" fillId="6" borderId="5" xfId="4" applyNumberFormat="1" applyFont="1" applyFill="1" applyBorder="1" applyAlignment="1">
      <alignment horizontal="center" vertical="center" textRotation="90" wrapText="1"/>
    </xf>
    <xf numFmtId="175" fontId="21" fillId="6" borderId="3" xfId="4" applyNumberFormat="1" applyFont="1" applyFill="1" applyBorder="1" applyAlignment="1">
      <alignment horizontal="center" vertical="center" textRotation="90" wrapText="1"/>
    </xf>
    <xf numFmtId="3" fontId="21" fillId="6" borderId="4" xfId="0" applyNumberFormat="1" applyFont="1" applyFill="1" applyBorder="1" applyAlignment="1">
      <alignment horizontal="center" vertical="center" textRotation="90" wrapText="1"/>
    </xf>
    <xf numFmtId="3" fontId="21" fillId="6" borderId="3" xfId="0" applyNumberFormat="1" applyFont="1" applyFill="1" applyBorder="1" applyAlignment="1">
      <alignment horizontal="center" vertical="center" textRotation="90" wrapText="1"/>
    </xf>
    <xf numFmtId="4" fontId="21" fillId="6" borderId="4" xfId="0" applyNumberFormat="1" applyFont="1" applyFill="1" applyBorder="1" applyAlignment="1">
      <alignment horizontal="center" vertical="center" textRotation="90" wrapText="1"/>
    </xf>
    <xf numFmtId="4" fontId="21" fillId="6" borderId="5" xfId="0" applyNumberFormat="1" applyFont="1" applyFill="1" applyBorder="1" applyAlignment="1">
      <alignment horizontal="center" vertical="center" textRotation="90" wrapText="1"/>
    </xf>
    <xf numFmtId="4" fontId="21" fillId="6" borderId="3" xfId="0" applyNumberFormat="1" applyFont="1" applyFill="1" applyBorder="1" applyAlignment="1">
      <alignment horizontal="center" vertical="center" textRotation="90" wrapText="1"/>
    </xf>
    <xf numFmtId="175" fontId="21" fillId="6" borderId="4" xfId="4" applyNumberFormat="1" applyFont="1" applyFill="1" applyBorder="1" applyAlignment="1">
      <alignment horizontal="center" vertical="center" wrapText="1"/>
    </xf>
    <xf numFmtId="175" fontId="21" fillId="6" borderId="5" xfId="4" applyNumberFormat="1" applyFont="1" applyFill="1" applyBorder="1" applyAlignment="1">
      <alignment horizontal="center" vertical="center" wrapText="1"/>
    </xf>
    <xf numFmtId="175" fontId="21" fillId="6" borderId="3" xfId="4" applyNumberFormat="1" applyFont="1" applyFill="1" applyBorder="1" applyAlignment="1">
      <alignment horizontal="center" vertical="center" wrapText="1"/>
    </xf>
    <xf numFmtId="0" fontId="21" fillId="6" borderId="4" xfId="0" applyFont="1" applyFill="1" applyBorder="1" applyAlignment="1">
      <alignment horizontal="center" vertical="center" wrapText="1"/>
    </xf>
    <xf numFmtId="0" fontId="21" fillId="6" borderId="5" xfId="0" applyFont="1" applyFill="1" applyBorder="1" applyAlignment="1">
      <alignment horizontal="center" vertical="center" wrapText="1"/>
    </xf>
    <xf numFmtId="0" fontId="21" fillId="6" borderId="3" xfId="0" applyFont="1" applyFill="1" applyBorder="1" applyAlignment="1">
      <alignment horizontal="center" vertical="center" wrapText="1"/>
    </xf>
    <xf numFmtId="3" fontId="21" fillId="6" borderId="5" xfId="0" applyNumberFormat="1" applyFont="1" applyFill="1" applyBorder="1" applyAlignment="1">
      <alignment horizontal="center" vertical="center" textRotation="90" wrapText="1"/>
    </xf>
    <xf numFmtId="4" fontId="21" fillId="6" borderId="4" xfId="0" applyNumberFormat="1" applyFont="1" applyFill="1" applyBorder="1" applyAlignment="1">
      <alignment horizontal="center" vertical="center" wrapText="1"/>
    </xf>
    <xf numFmtId="4" fontId="21" fillId="6" borderId="3" xfId="0" applyNumberFormat="1" applyFont="1" applyFill="1" applyBorder="1" applyAlignment="1">
      <alignment horizontal="center" vertical="center" wrapText="1"/>
    </xf>
    <xf numFmtId="10" fontId="21" fillId="6" borderId="14" xfId="12" applyNumberFormat="1" applyFont="1" applyFill="1" applyBorder="1" applyAlignment="1">
      <alignment horizontal="center" vertical="center" wrapText="1"/>
    </xf>
    <xf numFmtId="0" fontId="21" fillId="6" borderId="17" xfId="0" applyFont="1" applyFill="1" applyBorder="1" applyAlignment="1">
      <alignment horizontal="center" vertical="center"/>
    </xf>
    <xf numFmtId="0" fontId="21" fillId="6" borderId="6" xfId="0" applyFont="1" applyFill="1" applyBorder="1" applyAlignment="1">
      <alignment horizontal="center" vertical="center"/>
    </xf>
    <xf numFmtId="0" fontId="21" fillId="6" borderId="7" xfId="0" applyFont="1" applyFill="1" applyBorder="1" applyAlignment="1">
      <alignment horizontal="center" vertical="center"/>
    </xf>
    <xf numFmtId="10" fontId="21" fillId="6" borderId="4" xfId="12" applyNumberFormat="1" applyFont="1" applyFill="1" applyBorder="1" applyAlignment="1">
      <alignment horizontal="center" vertical="center" wrapText="1"/>
    </xf>
    <xf numFmtId="0" fontId="21" fillId="6" borderId="17"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6" borderId="7"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4" xfId="0" applyFont="1" applyFill="1" applyBorder="1" applyAlignment="1">
      <alignment horizontal="center" vertical="center" wrapText="1"/>
    </xf>
    <xf numFmtId="0" fontId="21" fillId="6" borderId="17" xfId="0" applyFont="1" applyFill="1" applyBorder="1" applyAlignment="1">
      <alignment horizontal="center"/>
    </xf>
    <xf numFmtId="0" fontId="21" fillId="6" borderId="6" xfId="0" applyFont="1" applyFill="1" applyBorder="1" applyAlignment="1">
      <alignment horizontal="center"/>
    </xf>
    <xf numFmtId="0" fontId="21" fillId="6" borderId="7" xfId="0" applyFont="1" applyFill="1" applyBorder="1" applyAlignment="1">
      <alignment horizontal="center"/>
    </xf>
    <xf numFmtId="165" fontId="21" fillId="6" borderId="4" xfId="4" applyFont="1" applyFill="1" applyBorder="1" applyAlignment="1">
      <alignment horizontal="center" vertical="center" wrapText="1"/>
    </xf>
    <xf numFmtId="165" fontId="21" fillId="6" borderId="5" xfId="4" applyFont="1" applyFill="1" applyBorder="1" applyAlignment="1">
      <alignment horizontal="center" vertical="center" wrapText="1"/>
    </xf>
    <xf numFmtId="175" fontId="21" fillId="6" borderId="12" xfId="4" applyNumberFormat="1" applyFont="1" applyFill="1" applyBorder="1" applyAlignment="1">
      <alignment horizontal="center" vertical="center" wrapText="1"/>
    </xf>
    <xf numFmtId="175" fontId="21" fillId="6" borderId="13" xfId="4" applyNumberFormat="1"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9" xfId="0" applyFont="1" applyFill="1" applyBorder="1" applyAlignment="1">
      <alignment horizontal="center" vertical="center" wrapText="1"/>
    </xf>
    <xf numFmtId="165" fontId="21" fillId="6" borderId="3" xfId="4" applyFont="1" applyFill="1" applyBorder="1" applyAlignment="1">
      <alignment horizontal="center" vertical="center" wrapText="1"/>
    </xf>
    <xf numFmtId="0" fontId="11" fillId="3" borderId="17" xfId="11" applyFont="1" applyFill="1" applyBorder="1" applyAlignment="1">
      <alignment horizontal="center"/>
    </xf>
    <xf numFmtId="0" fontId="11" fillId="3" borderId="6" xfId="11" applyFont="1" applyFill="1" applyBorder="1" applyAlignment="1">
      <alignment horizontal="center"/>
    </xf>
    <xf numFmtId="0" fontId="11" fillId="3" borderId="7" xfId="11" applyFont="1" applyFill="1" applyBorder="1" applyAlignment="1">
      <alignment horizontal="center"/>
    </xf>
    <xf numFmtId="0" fontId="21" fillId="6" borderId="4" xfId="15" applyFont="1" applyFill="1" applyBorder="1" applyAlignment="1">
      <alignment horizontal="center" vertical="center" wrapText="1"/>
    </xf>
    <xf numFmtId="0" fontId="21" fillId="6" borderId="3" xfId="15" applyFont="1" applyFill="1" applyBorder="1" applyAlignment="1">
      <alignment horizontal="center" vertical="center" wrapText="1"/>
    </xf>
    <xf numFmtId="0" fontId="21" fillId="6" borderId="8" xfId="15" applyFont="1" applyFill="1" applyBorder="1" applyAlignment="1">
      <alignment horizontal="center" vertical="center" wrapText="1"/>
    </xf>
    <xf numFmtId="0" fontId="21" fillId="6" borderId="10" xfId="15" applyFont="1" applyFill="1" applyBorder="1" applyAlignment="1">
      <alignment horizontal="center" vertical="center" wrapText="1"/>
    </xf>
    <xf numFmtId="167" fontId="21" fillId="10" borderId="4" xfId="12" applyNumberFormat="1" applyFont="1" applyFill="1" applyBorder="1" applyAlignment="1">
      <alignment horizontal="center" vertical="center" wrapText="1"/>
    </xf>
    <xf numFmtId="167" fontId="21" fillId="10" borderId="3" xfId="12" applyNumberFormat="1" applyFont="1" applyFill="1" applyBorder="1" applyAlignment="1">
      <alignment horizontal="center" vertical="center" wrapText="1"/>
    </xf>
    <xf numFmtId="167" fontId="21" fillId="6" borderId="4" xfId="12" applyNumberFormat="1" applyFont="1" applyFill="1" applyBorder="1" applyAlignment="1">
      <alignment horizontal="center" vertical="center" wrapText="1"/>
    </xf>
    <xf numFmtId="167" fontId="21" fillId="6" borderId="3" xfId="12" applyNumberFormat="1" applyFont="1" applyFill="1" applyBorder="1" applyAlignment="1">
      <alignment horizontal="center" vertical="center" wrapText="1"/>
    </xf>
    <xf numFmtId="167" fontId="21" fillId="6" borderId="12" xfId="12" applyNumberFormat="1" applyFont="1" applyFill="1" applyBorder="1" applyAlignment="1">
      <alignment horizontal="center" vertical="center" wrapText="1"/>
    </xf>
    <xf numFmtId="167" fontId="21" fillId="6" borderId="13" xfId="12" applyNumberFormat="1" applyFont="1" applyFill="1" applyBorder="1" applyAlignment="1">
      <alignment horizontal="center" vertical="center" wrapText="1"/>
    </xf>
    <xf numFmtId="1" fontId="22" fillId="4" borderId="0" xfId="11" applyNumberFormat="1" applyFont="1" applyFill="1" applyAlignment="1">
      <alignment horizontal="left" vertical="center"/>
    </xf>
    <xf numFmtId="0" fontId="22" fillId="4" borderId="0" xfId="0" applyFont="1" applyFill="1" applyAlignment="1">
      <alignment vertical="center"/>
    </xf>
    <xf numFmtId="167" fontId="21" fillId="6" borderId="5" xfId="12" applyNumberFormat="1" applyFont="1" applyFill="1" applyBorder="1" applyAlignment="1">
      <alignment horizontal="center" vertical="center" wrapText="1"/>
    </xf>
    <xf numFmtId="167" fontId="21" fillId="6" borderId="15" xfId="12" applyNumberFormat="1" applyFont="1" applyFill="1" applyBorder="1" applyAlignment="1">
      <alignment horizontal="center" vertical="center" wrapText="1"/>
    </xf>
    <xf numFmtId="1" fontId="24" fillId="4" borderId="0" xfId="11" applyNumberFormat="1" applyFont="1" applyFill="1" applyAlignment="1">
      <alignment horizontal="left" vertical="center"/>
    </xf>
    <xf numFmtId="0" fontId="24" fillId="4" borderId="0" xfId="0" applyFont="1" applyFill="1" applyAlignment="1">
      <alignment vertical="center"/>
    </xf>
    <xf numFmtId="167" fontId="21" fillId="6" borderId="8" xfId="12" applyNumberFormat="1" applyFont="1" applyFill="1" applyBorder="1" applyAlignment="1">
      <alignment horizontal="center" vertical="center" wrapText="1"/>
    </xf>
  </cellXfs>
  <cellStyles count="293">
    <cellStyle name="20 % - Accent1 2" xfId="194"/>
    <cellStyle name="20 % - Accent2 2" xfId="195"/>
    <cellStyle name="20 % - Accent3 2" xfId="196"/>
    <cellStyle name="20 % - Accent4 2" xfId="197"/>
    <cellStyle name="20 % - Accent5 2" xfId="198"/>
    <cellStyle name="20 % - Accent6 2" xfId="199"/>
    <cellStyle name="40 % - Accent1 2" xfId="200"/>
    <cellStyle name="40 % - Accent2 2" xfId="201"/>
    <cellStyle name="40 % - Accent3 2" xfId="202"/>
    <cellStyle name="40 % - Accent4 2" xfId="203"/>
    <cellStyle name="40 % - Accent5 2" xfId="204"/>
    <cellStyle name="40 % - Accent6 2" xfId="205"/>
    <cellStyle name="60 % - Accent1 2" xfId="206"/>
    <cellStyle name="60 % - Accent2 2" xfId="207"/>
    <cellStyle name="60 % - Accent3 2" xfId="208"/>
    <cellStyle name="60 % - Accent4 2" xfId="209"/>
    <cellStyle name="60 % - Accent5 2" xfId="210"/>
    <cellStyle name="60 % - Accent6 2" xfId="211"/>
    <cellStyle name="Accent1 2" xfId="212"/>
    <cellStyle name="Accent2 2" xfId="213"/>
    <cellStyle name="Accent3 2" xfId="214"/>
    <cellStyle name="Accent4 2" xfId="215"/>
    <cellStyle name="Accent5 2" xfId="216"/>
    <cellStyle name="Accent6 2" xfId="217"/>
    <cellStyle name="Avertissement 2" xfId="218"/>
    <cellStyle name="Calcul 2" xfId="219"/>
    <cellStyle name="Cellule liée 2" xfId="220"/>
    <cellStyle name="cexColumnHeadings" xfId="1"/>
    <cellStyle name="cexColumnHeadings 2" xfId="238"/>
    <cellStyle name="cexReportTitle" xfId="2"/>
    <cellStyle name="cexTableEntry" xfId="3"/>
    <cellStyle name="cexTableEntry 2" xfId="239"/>
    <cellStyle name="Entrée 2" xfId="221"/>
    <cellStyle name="Insatisfaisant 2" xfId="222"/>
    <cellStyle name="Milliers" xfId="4" builtinId="3"/>
    <cellStyle name="Milliers 2" xfId="5"/>
    <cellStyle name="Milliers 3" xfId="6"/>
    <cellStyle name="Milliers 3 10" xfId="240"/>
    <cellStyle name="Milliers 3 11" xfId="269"/>
    <cellStyle name="Milliers 3 2" xfId="16"/>
    <cellStyle name="Milliers 3 2 10" xfId="271"/>
    <cellStyle name="Milliers 3 2 2" xfId="19"/>
    <cellStyle name="Milliers 3 2 2 2" xfId="35"/>
    <cellStyle name="Milliers 3 2 2 2 2" xfId="64"/>
    <cellStyle name="Milliers 3 2 2 2 2 2" xfId="155"/>
    <cellStyle name="Milliers 3 2 2 2 3" xfId="93"/>
    <cellStyle name="Milliers 3 2 2 2 3 2" xfId="184"/>
    <cellStyle name="Milliers 3 2 2 2 4" xfId="128"/>
    <cellStyle name="Milliers 3 2 2 2 5" xfId="261"/>
    <cellStyle name="Milliers 3 2 2 2 6" xfId="287"/>
    <cellStyle name="Milliers 3 2 2 3" xfId="45"/>
    <cellStyle name="Milliers 3 2 2 3 2" xfId="138"/>
    <cellStyle name="Milliers 3 2 2 4" xfId="76"/>
    <cellStyle name="Milliers 3 2 2 4 2" xfId="167"/>
    <cellStyle name="Milliers 3 2 2 5" xfId="113"/>
    <cellStyle name="Milliers 3 2 2 6" xfId="244"/>
    <cellStyle name="Milliers 3 2 2 7" xfId="273"/>
    <cellStyle name="Milliers 3 2 3" xfId="20"/>
    <cellStyle name="Milliers 3 2 3 2" xfId="39"/>
    <cellStyle name="Milliers 3 2 3 2 2" xfId="65"/>
    <cellStyle name="Milliers 3 2 3 2 2 2" xfId="156"/>
    <cellStyle name="Milliers 3 2 3 2 3" xfId="94"/>
    <cellStyle name="Milliers 3 2 3 2 3 2" xfId="185"/>
    <cellStyle name="Milliers 3 2 3 2 4" xfId="132"/>
    <cellStyle name="Milliers 3 2 3 2 5" xfId="262"/>
    <cellStyle name="Milliers 3 2 3 2 6" xfId="291"/>
    <cellStyle name="Milliers 3 2 3 3" xfId="46"/>
    <cellStyle name="Milliers 3 2 3 3 2" xfId="139"/>
    <cellStyle name="Milliers 3 2 3 4" xfId="77"/>
    <cellStyle name="Milliers 3 2 3 4 2" xfId="168"/>
    <cellStyle name="Milliers 3 2 3 5" xfId="114"/>
    <cellStyle name="Milliers 3 2 3 6" xfId="245"/>
    <cellStyle name="Milliers 3 2 3 7" xfId="274"/>
    <cellStyle name="Milliers 3 2 4" xfId="31"/>
    <cellStyle name="Milliers 3 2 4 2" xfId="58"/>
    <cellStyle name="Milliers 3 2 4 2 2" xfId="149"/>
    <cellStyle name="Milliers 3 2 4 3" xfId="87"/>
    <cellStyle name="Milliers 3 2 4 3 2" xfId="178"/>
    <cellStyle name="Milliers 3 2 4 4" xfId="124"/>
    <cellStyle name="Milliers 3 2 4 5" xfId="255"/>
    <cellStyle name="Milliers 3 2 4 6" xfId="283"/>
    <cellStyle name="Milliers 3 2 5" xfId="62"/>
    <cellStyle name="Milliers 3 2 5 2" xfId="91"/>
    <cellStyle name="Milliers 3 2 5 2 2" xfId="182"/>
    <cellStyle name="Milliers 3 2 5 3" xfId="153"/>
    <cellStyle name="Milliers 3 2 5 4" xfId="259"/>
    <cellStyle name="Milliers 3 2 6" xfId="43"/>
    <cellStyle name="Milliers 3 2 6 2" xfId="136"/>
    <cellStyle name="Milliers 3 2 7" xfId="74"/>
    <cellStyle name="Milliers 3 2 7 2" xfId="165"/>
    <cellStyle name="Milliers 3 2 8" xfId="111"/>
    <cellStyle name="Milliers 3 2 9" xfId="242"/>
    <cellStyle name="Milliers 3 3" xfId="21"/>
    <cellStyle name="Milliers 3 3 2" xfId="33"/>
    <cellStyle name="Milliers 3 3 2 2" xfId="66"/>
    <cellStyle name="Milliers 3 3 2 2 2" xfId="157"/>
    <cellStyle name="Milliers 3 3 2 3" xfId="95"/>
    <cellStyle name="Milliers 3 3 2 3 2" xfId="186"/>
    <cellStyle name="Milliers 3 3 2 4" xfId="126"/>
    <cellStyle name="Milliers 3 3 2 5" xfId="263"/>
    <cellStyle name="Milliers 3 3 2 6" xfId="285"/>
    <cellStyle name="Milliers 3 3 3" xfId="47"/>
    <cellStyle name="Milliers 3 3 3 2" xfId="140"/>
    <cellStyle name="Milliers 3 3 4" xfId="78"/>
    <cellStyle name="Milliers 3 3 4 2" xfId="169"/>
    <cellStyle name="Milliers 3 3 5" xfId="115"/>
    <cellStyle name="Milliers 3 3 6" xfId="246"/>
    <cellStyle name="Milliers 3 3 7" xfId="275"/>
    <cellStyle name="Milliers 3 4" xfId="22"/>
    <cellStyle name="Milliers 3 4 2" xfId="37"/>
    <cellStyle name="Milliers 3 4 2 2" xfId="67"/>
    <cellStyle name="Milliers 3 4 2 2 2" xfId="158"/>
    <cellStyle name="Milliers 3 4 2 3" xfId="96"/>
    <cellStyle name="Milliers 3 4 2 3 2" xfId="187"/>
    <cellStyle name="Milliers 3 4 2 4" xfId="130"/>
    <cellStyle name="Milliers 3 4 2 5" xfId="264"/>
    <cellStyle name="Milliers 3 4 2 6" xfId="289"/>
    <cellStyle name="Milliers 3 4 3" xfId="48"/>
    <cellStyle name="Milliers 3 4 3 2" xfId="141"/>
    <cellStyle name="Milliers 3 4 4" xfId="79"/>
    <cellStyle name="Milliers 3 4 4 2" xfId="170"/>
    <cellStyle name="Milliers 3 4 5" xfId="116"/>
    <cellStyle name="Milliers 3 4 6" xfId="247"/>
    <cellStyle name="Milliers 3 4 7" xfId="276"/>
    <cellStyle name="Milliers 3 5" xfId="29"/>
    <cellStyle name="Milliers 3 5 2" xfId="56"/>
    <cellStyle name="Milliers 3 5 2 2" xfId="147"/>
    <cellStyle name="Milliers 3 5 3" xfId="85"/>
    <cellStyle name="Milliers 3 5 3 2" xfId="176"/>
    <cellStyle name="Milliers 3 5 4" xfId="122"/>
    <cellStyle name="Milliers 3 5 5" xfId="253"/>
    <cellStyle name="Milliers 3 5 6" xfId="281"/>
    <cellStyle name="Milliers 3 6" xfId="60"/>
    <cellStyle name="Milliers 3 6 2" xfId="89"/>
    <cellStyle name="Milliers 3 6 2 2" xfId="180"/>
    <cellStyle name="Milliers 3 6 3" xfId="151"/>
    <cellStyle name="Milliers 3 6 4" xfId="257"/>
    <cellStyle name="Milliers 3 7" xfId="41"/>
    <cellStyle name="Milliers 3 7 2" xfId="134"/>
    <cellStyle name="Milliers 3 8" xfId="72"/>
    <cellStyle name="Milliers 3 8 2" xfId="163"/>
    <cellStyle name="Milliers 3 9" xfId="108"/>
    <cellStyle name="Milliers 4" xfId="14"/>
    <cellStyle name="Milliers 4 2" xfId="23"/>
    <cellStyle name="Milliers 5" xfId="53"/>
    <cellStyle name="Milliers 5 2" xfId="84"/>
    <cellStyle name="Milliers 5 2 2" xfId="175"/>
    <cellStyle name="Milliers 5 3" xfId="146"/>
    <cellStyle name="Milliers 5 4" xfId="252"/>
    <cellStyle name="Milliers 6" xfId="107"/>
    <cellStyle name="Milliers 7" xfId="117"/>
    <cellStyle name="Milliers 8" xfId="223"/>
    <cellStyle name="Milliers 9" xfId="237"/>
    <cellStyle name="Neutre 2" xfId="224"/>
    <cellStyle name="Normal" xfId="0" builtinId="0"/>
    <cellStyle name="Normal 10" xfId="105"/>
    <cellStyle name="Normal 11" xfId="193"/>
    <cellStyle name="Normal 12" xfId="236"/>
    <cellStyle name="Normal 2" xfId="7"/>
    <cellStyle name="Normal 2 2" xfId="8"/>
    <cellStyle name="Normal 2 3" xfId="9"/>
    <cellStyle name="Normal 2 3 2" xfId="225"/>
    <cellStyle name="Normal 3" xfId="10"/>
    <cellStyle name="Normal 3 10" xfId="109"/>
    <cellStyle name="Normal 3 11" xfId="103"/>
    <cellStyle name="Normal 3 12" xfId="241"/>
    <cellStyle name="Normal 3 13" xfId="270"/>
    <cellStyle name="Normal 3 2" xfId="17"/>
    <cellStyle name="Normal 3 2 10" xfId="272"/>
    <cellStyle name="Normal 3 2 2" xfId="24"/>
    <cellStyle name="Normal 3 2 2 2" xfId="36"/>
    <cellStyle name="Normal 3 2 2 2 2" xfId="68"/>
    <cellStyle name="Normal 3 2 2 2 2 2" xfId="159"/>
    <cellStyle name="Normal 3 2 2 2 3" xfId="97"/>
    <cellStyle name="Normal 3 2 2 2 3 2" xfId="188"/>
    <cellStyle name="Normal 3 2 2 2 4" xfId="129"/>
    <cellStyle name="Normal 3 2 2 2 5" xfId="265"/>
    <cellStyle name="Normal 3 2 2 2 6" xfId="288"/>
    <cellStyle name="Normal 3 2 2 3" xfId="49"/>
    <cellStyle name="Normal 3 2 2 3 2" xfId="142"/>
    <cellStyle name="Normal 3 2 2 4" xfId="80"/>
    <cellStyle name="Normal 3 2 2 4 2" xfId="171"/>
    <cellStyle name="Normal 3 2 2 5" xfId="118"/>
    <cellStyle name="Normal 3 2 2 6" xfId="248"/>
    <cellStyle name="Normal 3 2 2 7" xfId="277"/>
    <cellStyle name="Normal 3 2 3" xfId="25"/>
    <cellStyle name="Normal 3 2 3 2" xfId="40"/>
    <cellStyle name="Normal 3 2 3 2 2" xfId="69"/>
    <cellStyle name="Normal 3 2 3 2 2 2" xfId="160"/>
    <cellStyle name="Normal 3 2 3 2 3" xfId="98"/>
    <cellStyle name="Normal 3 2 3 2 3 2" xfId="189"/>
    <cellStyle name="Normal 3 2 3 2 4" xfId="133"/>
    <cellStyle name="Normal 3 2 3 2 5" xfId="266"/>
    <cellStyle name="Normal 3 2 3 2 6" xfId="292"/>
    <cellStyle name="Normal 3 2 3 3" xfId="50"/>
    <cellStyle name="Normal 3 2 3 3 2" xfId="143"/>
    <cellStyle name="Normal 3 2 3 4" xfId="81"/>
    <cellStyle name="Normal 3 2 3 4 2" xfId="172"/>
    <cellStyle name="Normal 3 2 3 5" xfId="119"/>
    <cellStyle name="Normal 3 2 3 6" xfId="249"/>
    <cellStyle name="Normal 3 2 3 7" xfId="278"/>
    <cellStyle name="Normal 3 2 4" xfId="32"/>
    <cellStyle name="Normal 3 2 4 2" xfId="59"/>
    <cellStyle name="Normal 3 2 4 2 2" xfId="150"/>
    <cellStyle name="Normal 3 2 4 3" xfId="88"/>
    <cellStyle name="Normal 3 2 4 3 2" xfId="179"/>
    <cellStyle name="Normal 3 2 4 4" xfId="125"/>
    <cellStyle name="Normal 3 2 4 5" xfId="256"/>
    <cellStyle name="Normal 3 2 4 6" xfId="284"/>
    <cellStyle name="Normal 3 2 5" xfId="63"/>
    <cellStyle name="Normal 3 2 5 2" xfId="92"/>
    <cellStyle name="Normal 3 2 5 2 2" xfId="183"/>
    <cellStyle name="Normal 3 2 5 3" xfId="154"/>
    <cellStyle name="Normal 3 2 5 4" xfId="260"/>
    <cellStyle name="Normal 3 2 6" xfId="44"/>
    <cellStyle name="Normal 3 2 6 2" xfId="137"/>
    <cellStyle name="Normal 3 2 7" xfId="75"/>
    <cellStyle name="Normal 3 2 7 2" xfId="166"/>
    <cellStyle name="Normal 3 2 8" xfId="112"/>
    <cellStyle name="Normal 3 2 9" xfId="243"/>
    <cellStyle name="Normal 3 3" xfId="26"/>
    <cellStyle name="Normal 3 3 2" xfId="34"/>
    <cellStyle name="Normal 3 3 2 2" xfId="70"/>
    <cellStyle name="Normal 3 3 2 2 2" xfId="161"/>
    <cellStyle name="Normal 3 3 2 3" xfId="99"/>
    <cellStyle name="Normal 3 3 2 3 2" xfId="190"/>
    <cellStyle name="Normal 3 3 2 4" xfId="127"/>
    <cellStyle name="Normal 3 3 2 5" xfId="267"/>
    <cellStyle name="Normal 3 3 2 6" xfId="286"/>
    <cellStyle name="Normal 3 3 3" xfId="51"/>
    <cellStyle name="Normal 3 3 3 2" xfId="144"/>
    <cellStyle name="Normal 3 3 4" xfId="82"/>
    <cellStyle name="Normal 3 3 4 2" xfId="173"/>
    <cellStyle name="Normal 3 3 5" xfId="120"/>
    <cellStyle name="Normal 3 3 6" xfId="250"/>
    <cellStyle name="Normal 3 3 7" xfId="279"/>
    <cellStyle name="Normal 3 4" xfId="27"/>
    <cellStyle name="Normal 3 4 2" xfId="38"/>
    <cellStyle name="Normal 3 4 2 2" xfId="71"/>
    <cellStyle name="Normal 3 4 2 2 2" xfId="162"/>
    <cellStyle name="Normal 3 4 2 3" xfId="100"/>
    <cellStyle name="Normal 3 4 2 3 2" xfId="191"/>
    <cellStyle name="Normal 3 4 2 4" xfId="131"/>
    <cellStyle name="Normal 3 4 2 5" xfId="268"/>
    <cellStyle name="Normal 3 4 2 6" xfId="290"/>
    <cellStyle name="Normal 3 4 3" xfId="52"/>
    <cellStyle name="Normal 3 4 3 2" xfId="145"/>
    <cellStyle name="Normal 3 4 4" xfId="83"/>
    <cellStyle name="Normal 3 4 4 2" xfId="174"/>
    <cellStyle name="Normal 3 4 5" xfId="121"/>
    <cellStyle name="Normal 3 4 6" xfId="251"/>
    <cellStyle name="Normal 3 4 7" xfId="280"/>
    <cellStyle name="Normal 3 5" xfId="30"/>
    <cellStyle name="Normal 3 5 2" xfId="54"/>
    <cellStyle name="Normal 3 5 3" xfId="123"/>
    <cellStyle name="Normal 3 5 4" xfId="282"/>
    <cellStyle name="Normal 3 6" xfId="57"/>
    <cellStyle name="Normal 3 6 2" xfId="86"/>
    <cellStyle name="Normal 3 6 2 2" xfId="177"/>
    <cellStyle name="Normal 3 6 3" xfId="148"/>
    <cellStyle name="Normal 3 6 4" xfId="254"/>
    <cellStyle name="Normal 3 7" xfId="61"/>
    <cellStyle name="Normal 3 7 2" xfId="90"/>
    <cellStyle name="Normal 3 7 2 2" xfId="181"/>
    <cellStyle name="Normal 3 7 3" xfId="152"/>
    <cellStyle name="Normal 3 7 4" xfId="258"/>
    <cellStyle name="Normal 3 8" xfId="42"/>
    <cellStyle name="Normal 3 8 2" xfId="135"/>
    <cellStyle name="Normal 3 9" xfId="73"/>
    <cellStyle name="Normal 3 9 2" xfId="164"/>
    <cellStyle name="Normal 4" xfId="15"/>
    <cellStyle name="Normal 4 2" xfId="28"/>
    <cellStyle name="Normal 5" xfId="18"/>
    <cellStyle name="Normal 6" xfId="55"/>
    <cellStyle name="Normal 7" xfId="101"/>
    <cellStyle name="Normal 8" xfId="102"/>
    <cellStyle name="Normal 8 2" xfId="192"/>
    <cellStyle name="Normal 9" xfId="106"/>
    <cellStyle name="Normal_3crit_2002-03.xls" xfId="11"/>
    <cellStyle name="Pourcentage" xfId="12" builtinId="5"/>
    <cellStyle name="Pourcentage 2" xfId="13"/>
    <cellStyle name="Pourcentage 3" xfId="110"/>
    <cellStyle name="Pourcentage 4" xfId="104"/>
    <cellStyle name="Satisfaisant 2" xfId="226"/>
    <cellStyle name="Sortie 2" xfId="227"/>
    <cellStyle name="Texte explicatif 2" xfId="228"/>
    <cellStyle name="Titre 2" xfId="229"/>
    <cellStyle name="Titre 1 2" xfId="230"/>
    <cellStyle name="Titre 2 2" xfId="231"/>
    <cellStyle name="Titre 3 2" xfId="232"/>
    <cellStyle name="Titre 4 2" xfId="233"/>
    <cellStyle name="Total 2" xfId="234"/>
    <cellStyle name="Vérification 2" xfId="23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00B050"/>
  </sheetPr>
  <dimension ref="A1:L545"/>
  <sheetViews>
    <sheetView zoomScaleNormal="100" workbookViewId="0"/>
  </sheetViews>
  <sheetFormatPr baseColWidth="10" defaultColWidth="10.75" defaultRowHeight="15" x14ac:dyDescent="0.25"/>
  <cols>
    <col min="1" max="1" width="48" style="164" bestFit="1" customWidth="1"/>
    <col min="2" max="2" width="13.75" style="164" customWidth="1"/>
    <col min="3" max="3" width="16.625" style="164" customWidth="1"/>
    <col min="4" max="4" width="12.25" style="164" customWidth="1"/>
    <col min="5" max="5" width="11" style="164" bestFit="1" customWidth="1"/>
    <col min="6" max="6" width="12.125" style="164" bestFit="1" customWidth="1"/>
    <col min="7" max="7" width="12.5" style="164" bestFit="1" customWidth="1"/>
    <col min="8" max="8" width="12" style="164" bestFit="1" customWidth="1"/>
    <col min="9" max="10" width="12.125" style="164" bestFit="1" customWidth="1"/>
    <col min="11" max="11" width="14.375" style="164" bestFit="1" customWidth="1"/>
    <col min="12" max="16384" width="10.75" style="164"/>
  </cols>
  <sheetData>
    <row r="1" spans="1:10" ht="31.5" x14ac:dyDescent="0.5">
      <c r="A1" s="202" t="s">
        <v>378</v>
      </c>
    </row>
    <row r="4" spans="1:10" ht="21" x14ac:dyDescent="0.35">
      <c r="A4" s="183" t="s">
        <v>457</v>
      </c>
    </row>
    <row r="5" spans="1:10" x14ac:dyDescent="0.25">
      <c r="A5" s="164" t="s">
        <v>449</v>
      </c>
      <c r="B5" s="495" t="s">
        <v>557</v>
      </c>
    </row>
    <row r="6" spans="1:10" x14ac:dyDescent="0.25">
      <c r="A6" s="164" t="s">
        <v>501</v>
      </c>
      <c r="B6" s="495" t="s">
        <v>558</v>
      </c>
    </row>
    <row r="7" spans="1:10" x14ac:dyDescent="0.25">
      <c r="A7" s="164" t="s">
        <v>497</v>
      </c>
      <c r="B7" s="499">
        <v>42368</v>
      </c>
    </row>
    <row r="8" spans="1:10" x14ac:dyDescent="0.25">
      <c r="A8" s="164" t="s">
        <v>498</v>
      </c>
      <c r="B8" s="500">
        <v>2019</v>
      </c>
    </row>
    <row r="10" spans="1:10" ht="21" x14ac:dyDescent="0.35">
      <c r="A10" s="183" t="s">
        <v>458</v>
      </c>
      <c r="C10" s="166"/>
      <c r="D10" s="166"/>
    </row>
    <row r="11" spans="1:10" x14ac:dyDescent="0.25">
      <c r="A11" s="164" t="s">
        <v>443</v>
      </c>
      <c r="B11" s="184">
        <v>0.5</v>
      </c>
      <c r="C11" s="174"/>
      <c r="D11" s="174"/>
    </row>
    <row r="12" spans="1:10" x14ac:dyDescent="0.25">
      <c r="A12" s="164" t="s">
        <v>506</v>
      </c>
      <c r="B12" s="184">
        <v>0.3</v>
      </c>
      <c r="C12" s="175"/>
      <c r="D12" s="175"/>
      <c r="F12" s="171"/>
    </row>
    <row r="14" spans="1:10" ht="21" x14ac:dyDescent="0.35">
      <c r="A14" s="183" t="s">
        <v>459</v>
      </c>
    </row>
    <row r="15" spans="1:10" x14ac:dyDescent="0.25">
      <c r="B15" s="176" t="s">
        <v>292</v>
      </c>
      <c r="C15" s="176" t="s">
        <v>293</v>
      </c>
      <c r="D15" s="176" t="s">
        <v>410</v>
      </c>
      <c r="E15" s="176" t="s">
        <v>541</v>
      </c>
      <c r="F15" s="176" t="s">
        <v>542</v>
      </c>
      <c r="H15" s="508" t="s">
        <v>525</v>
      </c>
      <c r="I15" s="509"/>
      <c r="J15" s="510"/>
    </row>
    <row r="16" spans="1:10" x14ac:dyDescent="0.25">
      <c r="A16" s="164" t="s">
        <v>505</v>
      </c>
      <c r="B16" s="185">
        <v>0.2</v>
      </c>
      <c r="C16" s="185">
        <v>0.3</v>
      </c>
      <c r="D16" s="185">
        <v>0.4</v>
      </c>
      <c r="E16" s="185">
        <v>0.5</v>
      </c>
      <c r="F16" s="185">
        <v>0.6</v>
      </c>
      <c r="G16" s="363"/>
      <c r="H16" s="511" t="s">
        <v>523</v>
      </c>
      <c r="I16" s="512"/>
      <c r="J16" s="513"/>
    </row>
    <row r="17" spans="1:12" x14ac:dyDescent="0.25">
      <c r="A17" s="164" t="s">
        <v>460</v>
      </c>
      <c r="B17" s="185">
        <v>1</v>
      </c>
      <c r="C17" s="185">
        <v>1.2</v>
      </c>
      <c r="D17" s="185">
        <v>1.5</v>
      </c>
      <c r="E17" s="261">
        <v>2</v>
      </c>
      <c r="F17" s="185">
        <v>3</v>
      </c>
      <c r="G17" s="363"/>
      <c r="H17" s="514" t="s">
        <v>524</v>
      </c>
      <c r="I17" s="515"/>
      <c r="J17" s="516"/>
    </row>
    <row r="18" spans="1:12" x14ac:dyDescent="0.25">
      <c r="F18" s="166"/>
      <c r="I18" s="166"/>
      <c r="J18" s="166"/>
      <c r="K18" s="166"/>
      <c r="L18" s="166"/>
    </row>
    <row r="19" spans="1:12" x14ac:dyDescent="0.25">
      <c r="B19" s="176" t="s">
        <v>532</v>
      </c>
      <c r="D19" s="176" t="s">
        <v>519</v>
      </c>
      <c r="E19" s="176" t="s">
        <v>521</v>
      </c>
      <c r="F19" s="262"/>
      <c r="I19" s="166"/>
      <c r="J19" s="166"/>
      <c r="K19" s="166"/>
      <c r="L19" s="166"/>
    </row>
    <row r="20" spans="1:12" x14ac:dyDescent="0.25">
      <c r="A20" s="164" t="s">
        <v>520</v>
      </c>
      <c r="B20" s="185">
        <v>0</v>
      </c>
      <c r="D20" s="185">
        <v>0.5</v>
      </c>
      <c r="E20" s="185">
        <v>0</v>
      </c>
      <c r="I20" s="166"/>
      <c r="J20" s="166"/>
      <c r="K20" s="166"/>
      <c r="L20" s="166"/>
    </row>
    <row r="21" spans="1:12" x14ac:dyDescent="0.25">
      <c r="E21" s="164" t="s">
        <v>522</v>
      </c>
      <c r="F21" s="166"/>
      <c r="I21" s="166"/>
      <c r="J21" s="166"/>
      <c r="K21" s="166"/>
      <c r="L21" s="166"/>
    </row>
    <row r="22" spans="1:12" x14ac:dyDescent="0.25">
      <c r="F22" s="166"/>
      <c r="I22" s="166"/>
      <c r="J22" s="166"/>
      <c r="K22" s="166"/>
      <c r="L22" s="166"/>
    </row>
    <row r="23" spans="1:12" ht="21" x14ac:dyDescent="0.35">
      <c r="A23" s="183" t="s">
        <v>461</v>
      </c>
      <c r="B23" s="166"/>
      <c r="C23" s="166"/>
      <c r="D23" s="166"/>
      <c r="E23" s="177"/>
      <c r="F23" s="167"/>
      <c r="I23" s="166"/>
      <c r="J23" s="166"/>
      <c r="K23" s="166"/>
      <c r="L23" s="168"/>
    </row>
    <row r="24" spans="1:12" x14ac:dyDescent="0.25">
      <c r="A24" s="187" t="s">
        <v>502</v>
      </c>
      <c r="B24" s="190">
        <v>0</v>
      </c>
      <c r="C24" s="190">
        <v>1000</v>
      </c>
      <c r="D24" s="190">
        <v>3000</v>
      </c>
      <c r="E24" s="190">
        <v>5000</v>
      </c>
      <c r="F24" s="190">
        <v>9000</v>
      </c>
      <c r="G24" s="190">
        <v>12000</v>
      </c>
      <c r="H24" s="190">
        <v>15000</v>
      </c>
      <c r="I24" s="178"/>
      <c r="J24" s="503" t="s">
        <v>525</v>
      </c>
      <c r="K24" s="503"/>
      <c r="L24" s="166"/>
    </row>
    <row r="25" spans="1:12" x14ac:dyDescent="0.25">
      <c r="A25" s="187"/>
      <c r="B25" s="190">
        <v>1000</v>
      </c>
      <c r="C25" s="190">
        <v>3000</v>
      </c>
      <c r="D25" s="190">
        <v>5000</v>
      </c>
      <c r="E25" s="190">
        <v>9000</v>
      </c>
      <c r="F25" s="190">
        <v>12000</v>
      </c>
      <c r="G25" s="190">
        <v>15000</v>
      </c>
      <c r="H25" s="190"/>
      <c r="I25" s="178"/>
      <c r="J25" s="504" t="s">
        <v>526</v>
      </c>
      <c r="K25" s="505"/>
      <c r="L25" s="166"/>
    </row>
    <row r="26" spans="1:12" x14ac:dyDescent="0.25">
      <c r="A26" s="188" t="s">
        <v>462</v>
      </c>
      <c r="B26" s="237">
        <v>125</v>
      </c>
      <c r="C26" s="237">
        <v>350</v>
      </c>
      <c r="D26" s="237">
        <v>500</v>
      </c>
      <c r="E26" s="237">
        <v>600</v>
      </c>
      <c r="F26" s="237">
        <v>850</v>
      </c>
      <c r="G26" s="237">
        <v>1000</v>
      </c>
      <c r="H26" s="237">
        <v>1050</v>
      </c>
      <c r="I26" s="179"/>
      <c r="J26" s="506"/>
      <c r="K26" s="507"/>
      <c r="L26" s="166"/>
    </row>
    <row r="27" spans="1:12" x14ac:dyDescent="0.25">
      <c r="A27" s="166" t="s">
        <v>444</v>
      </c>
      <c r="B27" s="254">
        <v>99.4</v>
      </c>
      <c r="C27" s="186"/>
      <c r="D27" s="186"/>
      <c r="E27" s="186"/>
      <c r="F27" s="186"/>
      <c r="G27" s="186"/>
      <c r="H27" s="186"/>
      <c r="I27" s="166"/>
      <c r="J27" s="166"/>
      <c r="K27" s="166"/>
      <c r="L27" s="166"/>
    </row>
    <row r="28" spans="1:12" x14ac:dyDescent="0.25">
      <c r="A28" s="166" t="s">
        <v>445</v>
      </c>
      <c r="B28" s="501">
        <v>99.9</v>
      </c>
      <c r="C28" s="186"/>
      <c r="D28" s="186"/>
      <c r="E28" s="186"/>
      <c r="F28" s="186"/>
      <c r="G28" s="186"/>
      <c r="H28" s="186"/>
      <c r="I28" s="166"/>
      <c r="J28" s="166"/>
      <c r="K28" s="166"/>
      <c r="L28" s="166"/>
    </row>
    <row r="29" spans="1:12" x14ac:dyDescent="0.25">
      <c r="A29" s="166" t="s">
        <v>446</v>
      </c>
      <c r="B29" s="255">
        <f>+B26/$B$27*$B$28</f>
        <v>125.62877263581488</v>
      </c>
      <c r="C29" s="181">
        <f t="shared" ref="C29:H29" si="0">+C26/$B$27*$B$28</f>
        <v>351.76056338028167</v>
      </c>
      <c r="D29" s="181">
        <f t="shared" si="0"/>
        <v>502.51509054325953</v>
      </c>
      <c r="E29" s="181">
        <f t="shared" si="0"/>
        <v>603.01810865191146</v>
      </c>
      <c r="F29" s="181">
        <f t="shared" si="0"/>
        <v>854.2756539235412</v>
      </c>
      <c r="G29" s="181">
        <f t="shared" si="0"/>
        <v>1005.0301810865191</v>
      </c>
      <c r="H29" s="181">
        <f t="shared" si="0"/>
        <v>1055.2816901408451</v>
      </c>
      <c r="I29" s="166"/>
      <c r="J29" s="166"/>
      <c r="K29" s="166"/>
      <c r="L29" s="166"/>
    </row>
    <row r="31" spans="1:12" ht="21" x14ac:dyDescent="0.35">
      <c r="A31" s="183" t="s">
        <v>463</v>
      </c>
    </row>
    <row r="32" spans="1:12" x14ac:dyDescent="0.25">
      <c r="A32" s="164" t="s">
        <v>503</v>
      </c>
      <c r="B32" s="191">
        <v>0.27</v>
      </c>
    </row>
    <row r="34" spans="1:12" ht="21" x14ac:dyDescent="0.35">
      <c r="A34" s="183" t="s">
        <v>464</v>
      </c>
    </row>
    <row r="35" spans="1:12" x14ac:dyDescent="0.25">
      <c r="A35" s="164" t="s">
        <v>380</v>
      </c>
      <c r="C35" s="169"/>
    </row>
    <row r="36" spans="1:12" x14ac:dyDescent="0.25">
      <c r="A36" s="164" t="s">
        <v>421</v>
      </c>
      <c r="B36" s="231">
        <v>-20671196.379975401</v>
      </c>
      <c r="C36" s="189">
        <f>Synthèse!L315-Synthèse!F315</f>
        <v>450000.4343111515</v>
      </c>
      <c r="D36" s="189">
        <f>+'J) Plafonnement effort'!I314+'K) Plafonnement aide'!J314+'L) Plafonnement taux'!Q315</f>
        <v>-20671195.945664067</v>
      </c>
      <c r="L36" s="171"/>
    </row>
    <row r="37" spans="1:12" x14ac:dyDescent="0.25">
      <c r="A37" s="164" t="s">
        <v>504</v>
      </c>
      <c r="B37" s="231">
        <v>-450000</v>
      </c>
      <c r="C37" s="170"/>
      <c r="D37" s="171"/>
      <c r="L37" s="171"/>
    </row>
    <row r="38" spans="1:12" x14ac:dyDescent="0.25">
      <c r="G38" s="171"/>
      <c r="H38" s="172"/>
      <c r="L38" s="171"/>
    </row>
    <row r="39" spans="1:12" ht="21" x14ac:dyDescent="0.35">
      <c r="A39" s="183" t="s">
        <v>465</v>
      </c>
      <c r="G39" s="171"/>
      <c r="H39" s="172"/>
      <c r="L39" s="171"/>
    </row>
    <row r="40" spans="1:12" x14ac:dyDescent="0.25">
      <c r="A40" s="182"/>
      <c r="B40" s="193" t="s">
        <v>381</v>
      </c>
      <c r="C40" s="193" t="s">
        <v>379</v>
      </c>
      <c r="E40" s="180" t="s">
        <v>543</v>
      </c>
      <c r="F40" s="180"/>
      <c r="G40" s="195">
        <f>+'D) Ecrêtage'!C314</f>
        <v>37986675.400474928</v>
      </c>
      <c r="H40" s="197"/>
      <c r="I40" s="196" t="s">
        <v>442</v>
      </c>
      <c r="J40" s="180"/>
      <c r="K40" s="102">
        <f>+'I) Dépenses thématiques'!I314</f>
        <v>223529814.16348928</v>
      </c>
    </row>
    <row r="41" spans="1:12" x14ac:dyDescent="0.25">
      <c r="A41" s="164" t="s">
        <v>466</v>
      </c>
      <c r="B41" s="192">
        <v>8</v>
      </c>
      <c r="C41" s="176">
        <f>+H42</f>
        <v>0.74371453219442851</v>
      </c>
      <c r="E41" s="180" t="s">
        <v>527</v>
      </c>
      <c r="F41" s="180"/>
      <c r="G41" s="315">
        <v>4.5</v>
      </c>
      <c r="H41" s="283">
        <v>0.75</v>
      </c>
      <c r="I41" s="196" t="s">
        <v>215</v>
      </c>
      <c r="J41" s="180"/>
      <c r="K41" s="102">
        <f>+'I) Dépenses thématiques'!M314</f>
        <v>6316493.6634613099</v>
      </c>
    </row>
    <row r="42" spans="1:12" x14ac:dyDescent="0.25">
      <c r="A42" s="164" t="s">
        <v>507</v>
      </c>
      <c r="B42" s="192">
        <v>1</v>
      </c>
      <c r="C42" s="176">
        <f>+H42</f>
        <v>0.74371453219442851</v>
      </c>
      <c r="E42" s="180" t="s">
        <v>467</v>
      </c>
      <c r="F42" s="180"/>
      <c r="G42" s="194">
        <f>+G40*G41</f>
        <v>170940039.30213717</v>
      </c>
      <c r="H42" s="253">
        <f>IF((G42/K42)&gt;H41,H41,(G42/K42))</f>
        <v>0.74371453219442851</v>
      </c>
      <c r="I42" s="180" t="s">
        <v>138</v>
      </c>
      <c r="J42" s="180"/>
      <c r="K42" s="102">
        <f>SUM(K40:K41)</f>
        <v>229846307.82695058</v>
      </c>
    </row>
    <row r="43" spans="1:12" x14ac:dyDescent="0.25">
      <c r="E43" s="164" t="s">
        <v>552</v>
      </c>
    </row>
    <row r="44" spans="1:12" ht="21" x14ac:dyDescent="0.35">
      <c r="A44" s="183" t="s">
        <v>469</v>
      </c>
      <c r="H44" s="284"/>
      <c r="K44" s="379"/>
    </row>
    <row r="46" spans="1:12" x14ac:dyDescent="0.25">
      <c r="A46" s="164" t="s">
        <v>533</v>
      </c>
      <c r="B46" s="496">
        <v>57.471941446051872</v>
      </c>
      <c r="H46" s="358"/>
    </row>
    <row r="47" spans="1:12" x14ac:dyDescent="0.25">
      <c r="A47" s="164" t="s">
        <v>508</v>
      </c>
      <c r="B47" s="497">
        <v>45</v>
      </c>
      <c r="C47" s="263" t="s">
        <v>529</v>
      </c>
      <c r="D47" s="316">
        <v>45</v>
      </c>
      <c r="E47" s="263" t="s">
        <v>532</v>
      </c>
      <c r="F47" s="316">
        <v>45</v>
      </c>
    </row>
    <row r="48" spans="1:12" x14ac:dyDescent="0.25">
      <c r="A48" s="164" t="s">
        <v>509</v>
      </c>
      <c r="B48" s="260">
        <v>-8</v>
      </c>
      <c r="C48" s="263" t="s">
        <v>529</v>
      </c>
      <c r="D48" s="316">
        <v>-6.5</v>
      </c>
      <c r="E48" s="263" t="s">
        <v>530</v>
      </c>
      <c r="F48" s="316">
        <v>8</v>
      </c>
    </row>
    <row r="49" spans="1:9" x14ac:dyDescent="0.25">
      <c r="A49" s="164" t="s">
        <v>534</v>
      </c>
      <c r="B49" s="498">
        <v>92.469503030152794</v>
      </c>
      <c r="C49" s="313"/>
      <c r="E49" s="313"/>
    </row>
    <row r="50" spans="1:9" x14ac:dyDescent="0.25">
      <c r="A50" s="164" t="s">
        <v>540</v>
      </c>
      <c r="B50" s="485">
        <f>+B49+B63</f>
        <v>93.407859588714757</v>
      </c>
    </row>
    <row r="51" spans="1:9" x14ac:dyDescent="0.25">
      <c r="A51" s="164" t="s">
        <v>517</v>
      </c>
      <c r="B51" s="259">
        <v>45</v>
      </c>
      <c r="C51" s="164" t="s">
        <v>535</v>
      </c>
      <c r="I51" s="170"/>
    </row>
    <row r="52" spans="1:9" x14ac:dyDescent="0.25">
      <c r="A52" s="164" t="s">
        <v>518</v>
      </c>
      <c r="B52" s="259">
        <v>85</v>
      </c>
    </row>
    <row r="54" spans="1:9" x14ac:dyDescent="0.25">
      <c r="A54" s="173"/>
      <c r="B54" s="165"/>
    </row>
    <row r="55" spans="1:9" ht="21" x14ac:dyDescent="0.35">
      <c r="A55" s="203" t="s">
        <v>468</v>
      </c>
      <c r="B55" s="166"/>
      <c r="E55" s="166"/>
    </row>
    <row r="56" spans="1:9" ht="30" x14ac:dyDescent="0.25">
      <c r="B56" s="201" t="s">
        <v>551</v>
      </c>
      <c r="C56" s="166"/>
      <c r="D56" s="166"/>
      <c r="E56" s="166"/>
    </row>
    <row r="57" spans="1:9" x14ac:dyDescent="0.25">
      <c r="A57" s="166" t="s">
        <v>553</v>
      </c>
      <c r="B57" s="502">
        <v>790010914</v>
      </c>
      <c r="C57" s="166"/>
      <c r="D57" s="166"/>
      <c r="E57" s="166"/>
    </row>
    <row r="58" spans="1:9" x14ac:dyDescent="0.25">
      <c r="A58" s="166" t="s">
        <v>554</v>
      </c>
      <c r="B58" s="502">
        <v>825655960</v>
      </c>
      <c r="C58" s="178"/>
      <c r="D58" s="178"/>
      <c r="E58" s="166"/>
    </row>
    <row r="59" spans="1:9" x14ac:dyDescent="0.25">
      <c r="A59" s="166" t="s">
        <v>555</v>
      </c>
      <c r="B59" s="502">
        <f>'L) Plafonnement taux'!I315</f>
        <v>37017775.996768594</v>
      </c>
      <c r="C59" s="198"/>
      <c r="D59" s="166"/>
      <c r="E59" s="166"/>
    </row>
    <row r="60" spans="1:9" x14ac:dyDescent="0.25">
      <c r="A60" s="166" t="s">
        <v>556</v>
      </c>
      <c r="B60" s="502">
        <f>'D) Ecrêtage'!C314</f>
        <v>37986675.400474928</v>
      </c>
      <c r="C60" s="178"/>
      <c r="D60" s="166"/>
      <c r="E60" s="166"/>
    </row>
    <row r="61" spans="1:9" x14ac:dyDescent="0.25">
      <c r="A61" s="166" t="s">
        <v>611</v>
      </c>
      <c r="B61" s="199">
        <f>(B58-B57)*100/B57</f>
        <v>4.5119688055347549</v>
      </c>
      <c r="C61" s="166"/>
      <c r="D61" s="166"/>
      <c r="E61" s="166"/>
    </row>
    <row r="62" spans="1:9" x14ac:dyDescent="0.25">
      <c r="A62" s="166" t="s">
        <v>612</v>
      </c>
      <c r="B62" s="199">
        <f>(B60-B59)*100/B59</f>
        <v>2.6173895584405531</v>
      </c>
      <c r="C62" s="178"/>
      <c r="D62" s="166"/>
      <c r="E62" s="166"/>
    </row>
    <row r="63" spans="1:9" x14ac:dyDescent="0.25">
      <c r="A63" s="166" t="s">
        <v>437</v>
      </c>
      <c r="B63" s="200">
        <f>(B58-B57)/B60</f>
        <v>0.93835655856196221</v>
      </c>
      <c r="C63" s="482"/>
      <c r="D63" s="166"/>
      <c r="E63" s="166"/>
    </row>
    <row r="64" spans="1:9" x14ac:dyDescent="0.25">
      <c r="A64" s="166"/>
      <c r="B64" s="166"/>
      <c r="C64" s="166"/>
      <c r="D64" s="166"/>
      <c r="E64" s="166"/>
    </row>
    <row r="65" spans="1:8" ht="21" x14ac:dyDescent="0.35">
      <c r="A65" s="203" t="s">
        <v>492</v>
      </c>
      <c r="B65" s="166"/>
      <c r="C65" s="166"/>
      <c r="D65" s="166"/>
      <c r="E65" s="166"/>
    </row>
    <row r="66" spans="1:8" x14ac:dyDescent="0.25">
      <c r="A66" s="166" t="s">
        <v>493</v>
      </c>
      <c r="B66" s="223">
        <v>2</v>
      </c>
      <c r="C66" s="166"/>
      <c r="D66" s="236"/>
      <c r="F66" s="236"/>
      <c r="G66" s="378"/>
      <c r="H66" s="207"/>
    </row>
    <row r="67" spans="1:8" x14ac:dyDescent="0.25">
      <c r="A67" s="166" t="s">
        <v>496</v>
      </c>
      <c r="B67" s="231">
        <v>67922836.702568099</v>
      </c>
      <c r="C67" s="166"/>
      <c r="D67" s="236"/>
      <c r="E67" s="166"/>
      <c r="F67" s="207"/>
    </row>
    <row r="68" spans="1:8" x14ac:dyDescent="0.25">
      <c r="A68" s="166"/>
      <c r="B68" s="166"/>
      <c r="C68" s="166"/>
      <c r="D68" s="236"/>
      <c r="E68" s="166"/>
      <c r="F68" s="207"/>
    </row>
    <row r="69" spans="1:8" ht="21" x14ac:dyDescent="0.35">
      <c r="A69" s="203" t="s">
        <v>473</v>
      </c>
    </row>
    <row r="70" spans="1:8" x14ac:dyDescent="0.25">
      <c r="A70" s="164" t="s">
        <v>405</v>
      </c>
      <c r="B70" s="164">
        <v>5621</v>
      </c>
    </row>
    <row r="71" spans="1:8" x14ac:dyDescent="0.25">
      <c r="A71" s="164" t="s">
        <v>327</v>
      </c>
      <c r="B71" s="164">
        <v>5742</v>
      </c>
    </row>
    <row r="72" spans="1:8" x14ac:dyDescent="0.25">
      <c r="A72" s="164" t="s">
        <v>261</v>
      </c>
      <c r="B72" s="164">
        <v>5401</v>
      </c>
    </row>
    <row r="73" spans="1:8" x14ac:dyDescent="0.25">
      <c r="A73" s="164" t="s">
        <v>16</v>
      </c>
      <c r="B73" s="164">
        <v>5851</v>
      </c>
    </row>
    <row r="74" spans="1:8" x14ac:dyDescent="0.25">
      <c r="A74" s="164" t="s">
        <v>73</v>
      </c>
      <c r="B74" s="164">
        <v>5421</v>
      </c>
    </row>
    <row r="75" spans="1:8" x14ac:dyDescent="0.25">
      <c r="A75" s="164" t="s">
        <v>110</v>
      </c>
      <c r="B75" s="164">
        <v>5701</v>
      </c>
    </row>
    <row r="76" spans="1:8" x14ac:dyDescent="0.25">
      <c r="A76" s="164" t="s">
        <v>265</v>
      </c>
      <c r="B76" s="164">
        <v>5743</v>
      </c>
    </row>
    <row r="77" spans="1:8" x14ac:dyDescent="0.25">
      <c r="A77" s="164" t="s">
        <v>440</v>
      </c>
      <c r="B77" s="164">
        <v>5702</v>
      </c>
    </row>
    <row r="78" spans="1:8" x14ac:dyDescent="0.25">
      <c r="A78" s="164" t="s">
        <v>176</v>
      </c>
      <c r="B78" s="164">
        <v>5511</v>
      </c>
    </row>
    <row r="79" spans="1:8" x14ac:dyDescent="0.25">
      <c r="A79" s="164" t="s">
        <v>74</v>
      </c>
      <c r="B79" s="164">
        <v>5422</v>
      </c>
    </row>
    <row r="80" spans="1:8" x14ac:dyDescent="0.25">
      <c r="A80" s="164" t="s">
        <v>347</v>
      </c>
      <c r="B80" s="164">
        <v>5451</v>
      </c>
    </row>
    <row r="81" spans="1:2" x14ac:dyDescent="0.25">
      <c r="A81" s="164" t="s">
        <v>266</v>
      </c>
      <c r="B81" s="164">
        <v>5744</v>
      </c>
    </row>
    <row r="82" spans="1:2" x14ac:dyDescent="0.25">
      <c r="A82" s="164" t="s">
        <v>75</v>
      </c>
      <c r="B82" s="164">
        <v>5423</v>
      </c>
    </row>
    <row r="83" spans="1:2" x14ac:dyDescent="0.25">
      <c r="A83" s="164" t="s">
        <v>111</v>
      </c>
      <c r="B83" s="164">
        <v>5703</v>
      </c>
    </row>
    <row r="84" spans="1:2" x14ac:dyDescent="0.25">
      <c r="A84" s="164" t="s">
        <v>267</v>
      </c>
      <c r="B84" s="164">
        <v>5745</v>
      </c>
    </row>
    <row r="85" spans="1:2" x14ac:dyDescent="0.25">
      <c r="A85" s="164" t="s">
        <v>268</v>
      </c>
      <c r="B85" s="164">
        <v>5746</v>
      </c>
    </row>
    <row r="86" spans="1:2" x14ac:dyDescent="0.25">
      <c r="A86" s="164" t="s">
        <v>221</v>
      </c>
      <c r="B86" s="164">
        <v>5704</v>
      </c>
    </row>
    <row r="87" spans="1:2" x14ac:dyDescent="0.25">
      <c r="A87" s="164" t="s">
        <v>389</v>
      </c>
      <c r="B87" s="164">
        <v>5581</v>
      </c>
    </row>
    <row r="88" spans="1:2" x14ac:dyDescent="0.25">
      <c r="A88" s="164" t="s">
        <v>55</v>
      </c>
      <c r="B88" s="164">
        <v>5902</v>
      </c>
    </row>
    <row r="89" spans="1:2" x14ac:dyDescent="0.25">
      <c r="A89" s="164" t="s">
        <v>177</v>
      </c>
      <c r="B89" s="164">
        <v>5512</v>
      </c>
    </row>
    <row r="90" spans="1:2" x14ac:dyDescent="0.25">
      <c r="A90" s="164" t="s">
        <v>76</v>
      </c>
      <c r="B90" s="164">
        <v>5424</v>
      </c>
    </row>
    <row r="91" spans="1:2" x14ac:dyDescent="0.25">
      <c r="A91" s="164" t="s">
        <v>350</v>
      </c>
      <c r="B91" s="164">
        <v>5471</v>
      </c>
    </row>
    <row r="92" spans="1:2" x14ac:dyDescent="0.25">
      <c r="A92" s="164" t="s">
        <v>262</v>
      </c>
      <c r="B92" s="164">
        <v>5402</v>
      </c>
    </row>
    <row r="93" spans="1:2" x14ac:dyDescent="0.25">
      <c r="A93" s="164" t="s">
        <v>77</v>
      </c>
      <c r="B93" s="164">
        <v>5425</v>
      </c>
    </row>
    <row r="94" spans="1:2" x14ac:dyDescent="0.25">
      <c r="A94" s="164" t="s">
        <v>56</v>
      </c>
      <c r="B94" s="164">
        <v>5903</v>
      </c>
    </row>
    <row r="95" spans="1:2" x14ac:dyDescent="0.25">
      <c r="A95" s="164" t="s">
        <v>178</v>
      </c>
      <c r="B95" s="164">
        <v>5513</v>
      </c>
    </row>
    <row r="96" spans="1:2" x14ac:dyDescent="0.25">
      <c r="A96" s="164" t="s">
        <v>206</v>
      </c>
      <c r="B96" s="164">
        <v>5881</v>
      </c>
    </row>
    <row r="97" spans="1:2" x14ac:dyDescent="0.25">
      <c r="A97" s="164" t="s">
        <v>269</v>
      </c>
      <c r="B97" s="164">
        <v>5747</v>
      </c>
    </row>
    <row r="98" spans="1:2" x14ac:dyDescent="0.25">
      <c r="A98" s="164" t="s">
        <v>222</v>
      </c>
      <c r="B98" s="164">
        <v>5705</v>
      </c>
    </row>
    <row r="99" spans="1:2" x14ac:dyDescent="0.25">
      <c r="A99" s="164" t="s">
        <v>33</v>
      </c>
      <c r="B99" s="164">
        <v>5551</v>
      </c>
    </row>
    <row r="100" spans="1:2" x14ac:dyDescent="0.25">
      <c r="A100" s="164" t="s">
        <v>223</v>
      </c>
      <c r="B100" s="164">
        <v>5706</v>
      </c>
    </row>
    <row r="101" spans="1:2" x14ac:dyDescent="0.25">
      <c r="A101" s="164" t="s">
        <v>179</v>
      </c>
      <c r="B101" s="164">
        <v>5514</v>
      </c>
    </row>
    <row r="102" spans="1:2" x14ac:dyDescent="0.25">
      <c r="A102" s="164" t="s">
        <v>71</v>
      </c>
      <c r="B102" s="164">
        <v>5426</v>
      </c>
    </row>
    <row r="103" spans="1:2" x14ac:dyDescent="0.25">
      <c r="A103" s="164" t="s">
        <v>202</v>
      </c>
      <c r="B103" s="164">
        <v>5661</v>
      </c>
    </row>
    <row r="104" spans="1:2" x14ac:dyDescent="0.25">
      <c r="A104" s="164" t="s">
        <v>428</v>
      </c>
      <c r="B104" s="164">
        <v>5613</v>
      </c>
    </row>
    <row r="105" spans="1:2" x14ac:dyDescent="0.25">
      <c r="A105" s="164" t="s">
        <v>351</v>
      </c>
      <c r="B105" s="164">
        <v>5472</v>
      </c>
    </row>
    <row r="106" spans="1:2" x14ac:dyDescent="0.25">
      <c r="A106" s="164" t="s">
        <v>209</v>
      </c>
      <c r="B106" s="164">
        <v>5473</v>
      </c>
    </row>
    <row r="107" spans="1:2" x14ac:dyDescent="0.25">
      <c r="A107" s="164" t="s">
        <v>147</v>
      </c>
      <c r="B107" s="164">
        <v>5622</v>
      </c>
    </row>
    <row r="108" spans="1:2" x14ac:dyDescent="0.25">
      <c r="A108" s="164" t="s">
        <v>180</v>
      </c>
      <c r="B108" s="164">
        <v>5515</v>
      </c>
    </row>
    <row r="109" spans="1:2" x14ac:dyDescent="0.25">
      <c r="A109" s="164" t="s">
        <v>270</v>
      </c>
      <c r="B109" s="164">
        <v>5748</v>
      </c>
    </row>
    <row r="110" spans="1:2" x14ac:dyDescent="0.25">
      <c r="A110" s="164" t="s">
        <v>148</v>
      </c>
      <c r="B110" s="164">
        <v>5623</v>
      </c>
    </row>
    <row r="111" spans="1:2" x14ac:dyDescent="0.25">
      <c r="A111" s="164" t="s">
        <v>34</v>
      </c>
      <c r="B111" s="164">
        <v>5552</v>
      </c>
    </row>
    <row r="112" spans="1:2" x14ac:dyDescent="0.25">
      <c r="A112" s="164" t="s">
        <v>17</v>
      </c>
      <c r="B112" s="164">
        <v>5852</v>
      </c>
    </row>
    <row r="113" spans="1:2" x14ac:dyDescent="0.25">
      <c r="A113" s="164" t="s">
        <v>18</v>
      </c>
      <c r="B113" s="164">
        <v>5853</v>
      </c>
    </row>
    <row r="114" spans="1:2" x14ac:dyDescent="0.25">
      <c r="A114" s="164" t="s">
        <v>19</v>
      </c>
      <c r="B114" s="164">
        <v>5854</v>
      </c>
    </row>
    <row r="115" spans="1:2" x14ac:dyDescent="0.25">
      <c r="A115" s="164" t="s">
        <v>439</v>
      </c>
      <c r="B115" s="164">
        <v>5624</v>
      </c>
    </row>
    <row r="116" spans="1:2" x14ac:dyDescent="0.25">
      <c r="A116" s="164" t="s">
        <v>301</v>
      </c>
      <c r="B116" s="164">
        <v>5625</v>
      </c>
    </row>
    <row r="117" spans="1:2" x14ac:dyDescent="0.25">
      <c r="A117" s="164" t="s">
        <v>203</v>
      </c>
      <c r="B117" s="164">
        <v>5663</v>
      </c>
    </row>
    <row r="118" spans="1:2" x14ac:dyDescent="0.25">
      <c r="A118" s="164" t="s">
        <v>57</v>
      </c>
      <c r="B118" s="164">
        <v>5904</v>
      </c>
    </row>
    <row r="119" spans="1:2" x14ac:dyDescent="0.25">
      <c r="A119" s="164" t="s">
        <v>35</v>
      </c>
      <c r="B119" s="164">
        <v>5553</v>
      </c>
    </row>
    <row r="120" spans="1:2" x14ac:dyDescent="0.25">
      <c r="A120" s="164" t="s">
        <v>387</v>
      </c>
      <c r="B120" s="164">
        <v>5812</v>
      </c>
    </row>
    <row r="121" spans="1:2" x14ac:dyDescent="0.25">
      <c r="A121" s="164" t="s">
        <v>58</v>
      </c>
      <c r="B121" s="164">
        <v>5905</v>
      </c>
    </row>
    <row r="122" spans="1:2" x14ac:dyDescent="0.25">
      <c r="A122" s="164" t="s">
        <v>207</v>
      </c>
      <c r="B122" s="164">
        <v>5882</v>
      </c>
    </row>
    <row r="123" spans="1:2" x14ac:dyDescent="0.25">
      <c r="A123" s="164" t="s">
        <v>13</v>
      </c>
      <c r="B123" s="164">
        <v>5841</v>
      </c>
    </row>
    <row r="124" spans="1:2" x14ac:dyDescent="0.25">
      <c r="A124" s="164" t="s">
        <v>224</v>
      </c>
      <c r="B124" s="164">
        <v>5707</v>
      </c>
    </row>
    <row r="125" spans="1:2" x14ac:dyDescent="0.25">
      <c r="A125" s="164" t="s">
        <v>225</v>
      </c>
      <c r="B125" s="164">
        <v>5708</v>
      </c>
    </row>
    <row r="126" spans="1:2" x14ac:dyDescent="0.25">
      <c r="A126" s="164" t="s">
        <v>59</v>
      </c>
      <c r="B126" s="164">
        <v>5907</v>
      </c>
    </row>
    <row r="127" spans="1:2" x14ac:dyDescent="0.25">
      <c r="A127" s="164" t="s">
        <v>373</v>
      </c>
      <c r="B127" s="164">
        <v>5475</v>
      </c>
    </row>
    <row r="128" spans="1:2" x14ac:dyDescent="0.25">
      <c r="A128" s="164" t="s">
        <v>255</v>
      </c>
      <c r="B128" s="164">
        <v>5627</v>
      </c>
    </row>
    <row r="129" spans="1:2" x14ac:dyDescent="0.25">
      <c r="A129" s="164" t="s">
        <v>97</v>
      </c>
      <c r="B129" s="164">
        <v>5665</v>
      </c>
    </row>
    <row r="130" spans="1:2" x14ac:dyDescent="0.25">
      <c r="A130" s="164" t="s">
        <v>271</v>
      </c>
      <c r="B130" s="164">
        <v>5749</v>
      </c>
    </row>
    <row r="131" spans="1:2" x14ac:dyDescent="0.25">
      <c r="A131" s="164" t="s">
        <v>60</v>
      </c>
      <c r="B131" s="164">
        <v>5908</v>
      </c>
    </row>
    <row r="132" spans="1:2" x14ac:dyDescent="0.25">
      <c r="A132" s="164" t="s">
        <v>61</v>
      </c>
      <c r="B132" s="164">
        <v>5909</v>
      </c>
    </row>
    <row r="133" spans="1:2" x14ac:dyDescent="0.25">
      <c r="A133" s="164" t="s">
        <v>390</v>
      </c>
      <c r="B133" s="164">
        <v>5582</v>
      </c>
    </row>
    <row r="134" spans="1:2" x14ac:dyDescent="0.25">
      <c r="A134" s="164" t="s">
        <v>226</v>
      </c>
      <c r="B134" s="164">
        <v>5709</v>
      </c>
    </row>
    <row r="135" spans="1:2" x14ac:dyDescent="0.25">
      <c r="A135" s="164" t="s">
        <v>112</v>
      </c>
      <c r="B135" s="164">
        <v>5403</v>
      </c>
    </row>
    <row r="136" spans="1:2" x14ac:dyDescent="0.25">
      <c r="A136" s="164" t="s">
        <v>374</v>
      </c>
      <c r="B136" s="164">
        <v>5476</v>
      </c>
    </row>
    <row r="137" spans="1:2" x14ac:dyDescent="0.25">
      <c r="A137" s="164" t="s">
        <v>388</v>
      </c>
      <c r="B137" s="164">
        <v>5813</v>
      </c>
    </row>
    <row r="138" spans="1:2" x14ac:dyDescent="0.25">
      <c r="A138" s="164" t="s">
        <v>298</v>
      </c>
      <c r="B138" s="164">
        <v>5601</v>
      </c>
    </row>
    <row r="139" spans="1:2" x14ac:dyDescent="0.25">
      <c r="A139" s="164" t="s">
        <v>256</v>
      </c>
      <c r="B139" s="164">
        <v>5628</v>
      </c>
    </row>
    <row r="140" spans="1:2" x14ac:dyDescent="0.25">
      <c r="A140" s="164" t="s">
        <v>151</v>
      </c>
      <c r="B140" s="164">
        <v>5629</v>
      </c>
    </row>
    <row r="141" spans="1:2" x14ac:dyDescent="0.25">
      <c r="A141" s="164" t="s">
        <v>227</v>
      </c>
      <c r="B141" s="164">
        <v>5710</v>
      </c>
    </row>
    <row r="142" spans="1:2" x14ac:dyDescent="0.25">
      <c r="A142" s="164" t="s">
        <v>228</v>
      </c>
      <c r="B142" s="164">
        <v>5711</v>
      </c>
    </row>
    <row r="143" spans="1:2" x14ac:dyDescent="0.25">
      <c r="A143" s="164" t="s">
        <v>36</v>
      </c>
      <c r="B143" s="164">
        <v>5554</v>
      </c>
    </row>
    <row r="144" spans="1:2" x14ac:dyDescent="0.25">
      <c r="A144" s="164" t="s">
        <v>229</v>
      </c>
      <c r="B144" s="164">
        <v>5712</v>
      </c>
    </row>
    <row r="145" spans="1:2" x14ac:dyDescent="0.25">
      <c r="A145" s="164" t="s">
        <v>113</v>
      </c>
      <c r="B145" s="164">
        <v>5404</v>
      </c>
    </row>
    <row r="146" spans="1:2" x14ac:dyDescent="0.25">
      <c r="A146" s="164" t="s">
        <v>279</v>
      </c>
      <c r="B146" s="164">
        <v>5785</v>
      </c>
    </row>
    <row r="147" spans="1:2" x14ac:dyDescent="0.25">
      <c r="A147" s="164" t="s">
        <v>37</v>
      </c>
      <c r="B147" s="164">
        <v>5555</v>
      </c>
    </row>
    <row r="148" spans="1:2" x14ac:dyDescent="0.25">
      <c r="A148" s="164" t="s">
        <v>6</v>
      </c>
      <c r="B148" s="164">
        <v>5816</v>
      </c>
    </row>
    <row r="149" spans="1:2" x14ac:dyDescent="0.25">
      <c r="A149" s="164" t="s">
        <v>208</v>
      </c>
      <c r="B149" s="164">
        <v>5883</v>
      </c>
    </row>
    <row r="150" spans="1:2" x14ac:dyDescent="0.25">
      <c r="A150" s="164" t="s">
        <v>49</v>
      </c>
      <c r="B150" s="164">
        <v>5884</v>
      </c>
    </row>
    <row r="151" spans="1:2" x14ac:dyDescent="0.25">
      <c r="A151" s="164" t="s">
        <v>375</v>
      </c>
      <c r="B151" s="164">
        <v>5477</v>
      </c>
    </row>
    <row r="152" spans="1:2" x14ac:dyDescent="0.25">
      <c r="A152" s="164" t="s">
        <v>241</v>
      </c>
      <c r="B152" s="164">
        <v>5478</v>
      </c>
    </row>
    <row r="153" spans="1:2" x14ac:dyDescent="0.25">
      <c r="A153" s="164" t="s">
        <v>230</v>
      </c>
      <c r="B153" s="164">
        <v>5713</v>
      </c>
    </row>
    <row r="154" spans="1:2" x14ac:dyDescent="0.25">
      <c r="A154" s="164" t="s">
        <v>231</v>
      </c>
      <c r="B154" s="164">
        <v>5714</v>
      </c>
    </row>
    <row r="155" spans="1:2" x14ac:dyDescent="0.25">
      <c r="A155" s="164" t="s">
        <v>391</v>
      </c>
      <c r="B155" s="164">
        <v>5583</v>
      </c>
    </row>
    <row r="156" spans="1:2" x14ac:dyDescent="0.25">
      <c r="A156" s="164" t="s">
        <v>62</v>
      </c>
      <c r="B156" s="164">
        <v>5910</v>
      </c>
    </row>
    <row r="157" spans="1:2" x14ac:dyDescent="0.25">
      <c r="A157" s="164" t="s">
        <v>332</v>
      </c>
      <c r="B157" s="164">
        <v>5752</v>
      </c>
    </row>
    <row r="158" spans="1:2" x14ac:dyDescent="0.25">
      <c r="A158" s="164" t="s">
        <v>242</v>
      </c>
      <c r="B158" s="164">
        <v>5479</v>
      </c>
    </row>
    <row r="159" spans="1:2" x14ac:dyDescent="0.25">
      <c r="A159" s="164" t="s">
        <v>63</v>
      </c>
      <c r="B159" s="164">
        <v>5911</v>
      </c>
    </row>
    <row r="160" spans="1:2" x14ac:dyDescent="0.25">
      <c r="A160" s="164" t="s">
        <v>348</v>
      </c>
      <c r="B160" s="164">
        <v>5456</v>
      </c>
    </row>
    <row r="161" spans="1:2" x14ac:dyDescent="0.25">
      <c r="A161" s="164" t="s">
        <v>181</v>
      </c>
      <c r="B161" s="164">
        <v>5516</v>
      </c>
    </row>
    <row r="162" spans="1:2" x14ac:dyDescent="0.25">
      <c r="A162" s="164" t="s">
        <v>98</v>
      </c>
      <c r="B162" s="164">
        <v>5669</v>
      </c>
    </row>
    <row r="163" spans="1:2" x14ac:dyDescent="0.25">
      <c r="A163" s="164" t="s">
        <v>243</v>
      </c>
      <c r="B163" s="164">
        <v>5480</v>
      </c>
    </row>
    <row r="164" spans="1:2" x14ac:dyDescent="0.25">
      <c r="A164" s="164" t="s">
        <v>64</v>
      </c>
      <c r="B164" s="164">
        <v>5912</v>
      </c>
    </row>
    <row r="165" spans="1:2" x14ac:dyDescent="0.25">
      <c r="A165" s="164" t="s">
        <v>152</v>
      </c>
      <c r="B165" s="164">
        <v>5631</v>
      </c>
    </row>
    <row r="166" spans="1:2" x14ac:dyDescent="0.25">
      <c r="A166" s="164" t="s">
        <v>153</v>
      </c>
      <c r="B166" s="164">
        <v>5632</v>
      </c>
    </row>
    <row r="167" spans="1:2" x14ac:dyDescent="0.25">
      <c r="A167" s="164" t="s">
        <v>244</v>
      </c>
      <c r="B167" s="164">
        <v>5481</v>
      </c>
    </row>
    <row r="168" spans="1:2" x14ac:dyDescent="0.25">
      <c r="A168" s="164" t="s">
        <v>99</v>
      </c>
      <c r="B168" s="164">
        <v>5671</v>
      </c>
    </row>
    <row r="169" spans="1:2" x14ac:dyDescent="0.25">
      <c r="A169" s="164" t="s">
        <v>65</v>
      </c>
      <c r="B169" s="164">
        <v>5913</v>
      </c>
    </row>
    <row r="170" spans="1:2" x14ac:dyDescent="0.25">
      <c r="A170" s="164" t="s">
        <v>232</v>
      </c>
      <c r="B170" s="164">
        <v>5715</v>
      </c>
    </row>
    <row r="171" spans="1:2" x14ac:dyDescent="0.25">
      <c r="A171" s="164" t="s">
        <v>20</v>
      </c>
      <c r="B171" s="164">
        <v>5855</v>
      </c>
    </row>
    <row r="172" spans="1:2" x14ac:dyDescent="0.25">
      <c r="A172" s="164" t="s">
        <v>182</v>
      </c>
      <c r="B172" s="164">
        <v>5518</v>
      </c>
    </row>
    <row r="173" spans="1:2" x14ac:dyDescent="0.25">
      <c r="A173" s="164" t="s">
        <v>154</v>
      </c>
      <c r="B173" s="164">
        <v>5633</v>
      </c>
    </row>
    <row r="174" spans="1:2" x14ac:dyDescent="0.25">
      <c r="A174" s="164" t="s">
        <v>155</v>
      </c>
      <c r="B174" s="164">
        <v>5634</v>
      </c>
    </row>
    <row r="175" spans="1:2" x14ac:dyDescent="0.25">
      <c r="A175" s="164" t="s">
        <v>245</v>
      </c>
      <c r="B175" s="164">
        <v>5482</v>
      </c>
    </row>
    <row r="176" spans="1:2" x14ac:dyDescent="0.25">
      <c r="A176" s="164" t="s">
        <v>156</v>
      </c>
      <c r="B176" s="164">
        <v>5635</v>
      </c>
    </row>
    <row r="177" spans="1:2" x14ac:dyDescent="0.25">
      <c r="A177" s="164" t="s">
        <v>392</v>
      </c>
      <c r="B177" s="164">
        <v>5584</v>
      </c>
    </row>
    <row r="178" spans="1:2" x14ac:dyDescent="0.25">
      <c r="A178" s="164" t="s">
        <v>66</v>
      </c>
      <c r="B178" s="164">
        <v>5914</v>
      </c>
    </row>
    <row r="179" spans="1:2" x14ac:dyDescent="0.25">
      <c r="A179" s="164" t="s">
        <v>280</v>
      </c>
      <c r="B179" s="164">
        <v>5788</v>
      </c>
    </row>
    <row r="180" spans="1:2" x14ac:dyDescent="0.25">
      <c r="A180" s="164" t="s">
        <v>21</v>
      </c>
      <c r="B180" s="164">
        <v>5856</v>
      </c>
    </row>
    <row r="181" spans="1:2" x14ac:dyDescent="0.25">
      <c r="A181" s="164" t="s">
        <v>183</v>
      </c>
      <c r="B181" s="164">
        <v>5520</v>
      </c>
    </row>
    <row r="182" spans="1:2" x14ac:dyDescent="0.25">
      <c r="A182" s="164" t="s">
        <v>184</v>
      </c>
      <c r="B182" s="164">
        <v>5521</v>
      </c>
    </row>
    <row r="183" spans="1:2" x14ac:dyDescent="0.25">
      <c r="A183" s="164" t="s">
        <v>157</v>
      </c>
      <c r="B183" s="164">
        <v>5636</v>
      </c>
    </row>
    <row r="184" spans="1:2" x14ac:dyDescent="0.25">
      <c r="A184" s="164" t="s">
        <v>233</v>
      </c>
      <c r="B184" s="164">
        <v>5716</v>
      </c>
    </row>
    <row r="185" spans="1:2" x14ac:dyDescent="0.25">
      <c r="A185" s="164" t="s">
        <v>349</v>
      </c>
      <c r="B185" s="164">
        <v>5458</v>
      </c>
    </row>
    <row r="186" spans="1:2" x14ac:dyDescent="0.25">
      <c r="A186" s="164" t="s">
        <v>342</v>
      </c>
      <c r="B186" s="164">
        <v>5427</v>
      </c>
    </row>
    <row r="187" spans="1:2" x14ac:dyDescent="0.25">
      <c r="A187" s="164" t="s">
        <v>140</v>
      </c>
      <c r="B187" s="164">
        <v>5483</v>
      </c>
    </row>
    <row r="188" spans="1:2" x14ac:dyDescent="0.25">
      <c r="A188" s="164" t="s">
        <v>185</v>
      </c>
      <c r="B188" s="164">
        <v>5522</v>
      </c>
    </row>
    <row r="189" spans="1:2" x14ac:dyDescent="0.25">
      <c r="A189" s="164" t="s">
        <v>38</v>
      </c>
      <c r="B189" s="164">
        <v>5556</v>
      </c>
    </row>
    <row r="190" spans="1:2" x14ac:dyDescent="0.25">
      <c r="A190" s="164" t="s">
        <v>39</v>
      </c>
      <c r="B190" s="164">
        <v>5557</v>
      </c>
    </row>
    <row r="191" spans="1:2" x14ac:dyDescent="0.25">
      <c r="A191" s="164" t="s">
        <v>143</v>
      </c>
      <c r="B191" s="164">
        <v>5604</v>
      </c>
    </row>
    <row r="192" spans="1:2" x14ac:dyDescent="0.25">
      <c r="A192" s="164" t="s">
        <v>234</v>
      </c>
      <c r="B192" s="164">
        <v>5717</v>
      </c>
    </row>
    <row r="193" spans="1:2" x14ac:dyDescent="0.25">
      <c r="A193" s="164" t="s">
        <v>186</v>
      </c>
      <c r="B193" s="164">
        <v>5523</v>
      </c>
    </row>
    <row r="194" spans="1:2" x14ac:dyDescent="0.25">
      <c r="A194" s="164" t="s">
        <v>235</v>
      </c>
      <c r="B194" s="164">
        <v>5718</v>
      </c>
    </row>
    <row r="195" spans="1:2" x14ac:dyDescent="0.25">
      <c r="A195" s="164" t="s">
        <v>40</v>
      </c>
      <c r="B195" s="164">
        <v>5559</v>
      </c>
    </row>
    <row r="196" spans="1:2" x14ac:dyDescent="0.25">
      <c r="A196" s="164" t="s">
        <v>22</v>
      </c>
      <c r="B196" s="164">
        <v>5857</v>
      </c>
    </row>
    <row r="197" spans="1:2" x14ac:dyDescent="0.25">
      <c r="A197" s="164" t="s">
        <v>343</v>
      </c>
      <c r="B197" s="164">
        <v>5428</v>
      </c>
    </row>
    <row r="198" spans="1:2" x14ac:dyDescent="0.25">
      <c r="A198" s="164" t="s">
        <v>236</v>
      </c>
      <c r="B198" s="164">
        <v>5719</v>
      </c>
    </row>
    <row r="199" spans="1:2" x14ac:dyDescent="0.25">
      <c r="A199" s="164" t="s">
        <v>237</v>
      </c>
      <c r="B199" s="164">
        <v>5720</v>
      </c>
    </row>
    <row r="200" spans="1:2" x14ac:dyDescent="0.25">
      <c r="A200" s="164" t="s">
        <v>238</v>
      </c>
      <c r="B200" s="164">
        <v>5721</v>
      </c>
    </row>
    <row r="201" spans="1:2" x14ac:dyDescent="0.25">
      <c r="A201" s="164" t="s">
        <v>141</v>
      </c>
      <c r="B201" s="164">
        <v>5484</v>
      </c>
    </row>
    <row r="202" spans="1:2" x14ac:dyDescent="0.25">
      <c r="A202" s="164" t="s">
        <v>431</v>
      </c>
      <c r="B202" s="164">
        <v>5541</v>
      </c>
    </row>
    <row r="203" spans="1:2" x14ac:dyDescent="0.25">
      <c r="A203" s="164" t="s">
        <v>142</v>
      </c>
      <c r="B203" s="164">
        <v>5485</v>
      </c>
    </row>
    <row r="204" spans="1:2" x14ac:dyDescent="0.25">
      <c r="A204" s="164" t="s">
        <v>7</v>
      </c>
      <c r="B204" s="164">
        <v>5817</v>
      </c>
    </row>
    <row r="205" spans="1:2" x14ac:dyDescent="0.25">
      <c r="A205" s="164" t="s">
        <v>41</v>
      </c>
      <c r="B205" s="164">
        <v>5560</v>
      </c>
    </row>
    <row r="206" spans="1:2" x14ac:dyDescent="0.25">
      <c r="A206" s="164" t="s">
        <v>42</v>
      </c>
      <c r="B206" s="164">
        <v>5561</v>
      </c>
    </row>
    <row r="207" spans="1:2" x14ac:dyDescent="0.25">
      <c r="A207" s="164" t="s">
        <v>239</v>
      </c>
      <c r="B207" s="164">
        <v>5722</v>
      </c>
    </row>
    <row r="208" spans="1:2" x14ac:dyDescent="0.25">
      <c r="A208" s="164" t="s">
        <v>114</v>
      </c>
      <c r="B208" s="164">
        <v>5405</v>
      </c>
    </row>
    <row r="209" spans="1:2" x14ac:dyDescent="0.25">
      <c r="A209" s="164" t="s">
        <v>8</v>
      </c>
      <c r="B209" s="164">
        <v>5819</v>
      </c>
    </row>
    <row r="210" spans="1:2" x14ac:dyDescent="0.25">
      <c r="A210" s="164" t="s">
        <v>100</v>
      </c>
      <c r="B210" s="164">
        <v>5673</v>
      </c>
    </row>
    <row r="211" spans="1:2" x14ac:dyDescent="0.25">
      <c r="A211" s="164" t="s">
        <v>50</v>
      </c>
      <c r="B211" s="164">
        <v>5885</v>
      </c>
    </row>
    <row r="212" spans="1:2" x14ac:dyDescent="0.25">
      <c r="A212" s="164" t="s">
        <v>433</v>
      </c>
      <c r="B212" s="164">
        <v>5804</v>
      </c>
    </row>
    <row r="213" spans="1:2" x14ac:dyDescent="0.25">
      <c r="A213" s="164" t="s">
        <v>528</v>
      </c>
      <c r="B213" s="164">
        <v>5806</v>
      </c>
    </row>
    <row r="214" spans="1:2" x14ac:dyDescent="0.25">
      <c r="A214" s="164" t="s">
        <v>393</v>
      </c>
      <c r="B214" s="164">
        <v>5585</v>
      </c>
    </row>
    <row r="215" spans="1:2" x14ac:dyDescent="0.25">
      <c r="A215" s="164" t="s">
        <v>333</v>
      </c>
      <c r="B215" s="164">
        <v>5754</v>
      </c>
    </row>
    <row r="216" spans="1:2" x14ac:dyDescent="0.25">
      <c r="A216" s="164" t="s">
        <v>210</v>
      </c>
      <c r="B216" s="164">
        <v>5474</v>
      </c>
    </row>
    <row r="217" spans="1:2" x14ac:dyDescent="0.25">
      <c r="A217" s="164" t="s">
        <v>217</v>
      </c>
      <c r="B217" s="164">
        <v>5758</v>
      </c>
    </row>
    <row r="218" spans="1:2" x14ac:dyDescent="0.25">
      <c r="A218" s="164" t="s">
        <v>319</v>
      </c>
      <c r="B218" s="164">
        <v>5726</v>
      </c>
    </row>
    <row r="219" spans="1:2" x14ac:dyDescent="0.25">
      <c r="A219" s="164" t="s">
        <v>171</v>
      </c>
      <c r="B219" s="164">
        <v>5498</v>
      </c>
    </row>
    <row r="220" spans="1:2" x14ac:dyDescent="0.25">
      <c r="A220" s="164" t="s">
        <v>52</v>
      </c>
      <c r="B220" s="164">
        <v>5889</v>
      </c>
    </row>
    <row r="221" spans="1:2" x14ac:dyDescent="0.25">
      <c r="A221" s="164" t="s">
        <v>29</v>
      </c>
      <c r="B221" s="164">
        <v>5871</v>
      </c>
    </row>
    <row r="222" spans="1:2" x14ac:dyDescent="0.25">
      <c r="A222" s="164" t="s">
        <v>326</v>
      </c>
      <c r="B222" s="164">
        <v>5741</v>
      </c>
    </row>
    <row r="223" spans="1:2" x14ac:dyDescent="0.25">
      <c r="A223" s="164" t="s">
        <v>120</v>
      </c>
      <c r="B223" s="164">
        <v>5586</v>
      </c>
    </row>
    <row r="224" spans="1:2" x14ac:dyDescent="0.25">
      <c r="A224" s="164" t="s">
        <v>115</v>
      </c>
      <c r="B224" s="164">
        <v>5406</v>
      </c>
    </row>
    <row r="225" spans="1:2" x14ac:dyDescent="0.25">
      <c r="A225" s="164" t="s">
        <v>158</v>
      </c>
      <c r="B225" s="164">
        <v>5637</v>
      </c>
    </row>
    <row r="226" spans="1:2" x14ac:dyDescent="0.25">
      <c r="A226" s="164" t="s">
        <v>204</v>
      </c>
      <c r="B226" s="164">
        <v>5872</v>
      </c>
    </row>
    <row r="227" spans="1:2" x14ac:dyDescent="0.25">
      <c r="A227" s="164" t="s">
        <v>205</v>
      </c>
      <c r="B227" s="164">
        <v>5873</v>
      </c>
    </row>
    <row r="228" spans="1:2" x14ac:dyDescent="0.25">
      <c r="A228" s="164" t="s">
        <v>121</v>
      </c>
      <c r="B228" s="164">
        <v>5587</v>
      </c>
    </row>
    <row r="229" spans="1:2" x14ac:dyDescent="0.25">
      <c r="A229" s="164" t="s">
        <v>324</v>
      </c>
      <c r="B229" s="164">
        <v>5731</v>
      </c>
    </row>
    <row r="230" spans="1:2" x14ac:dyDescent="0.25">
      <c r="A230" s="164" t="s">
        <v>272</v>
      </c>
      <c r="B230" s="164">
        <v>5750</v>
      </c>
    </row>
    <row r="231" spans="1:2" x14ac:dyDescent="0.25">
      <c r="A231" s="164" t="s">
        <v>116</v>
      </c>
      <c r="B231" s="164">
        <v>5407</v>
      </c>
    </row>
    <row r="232" spans="1:2" x14ac:dyDescent="0.25">
      <c r="A232" s="164" t="s">
        <v>334</v>
      </c>
      <c r="B232" s="164">
        <v>5755</v>
      </c>
    </row>
    <row r="233" spans="1:2" x14ac:dyDescent="0.25">
      <c r="A233" s="164" t="s">
        <v>1</v>
      </c>
      <c r="B233" s="164">
        <v>5486</v>
      </c>
    </row>
    <row r="234" spans="1:2" x14ac:dyDescent="0.25">
      <c r="A234" s="164" t="s">
        <v>159</v>
      </c>
      <c r="B234" s="164">
        <v>5638</v>
      </c>
    </row>
    <row r="235" spans="1:2" x14ac:dyDescent="0.25">
      <c r="A235" s="164" t="s">
        <v>363</v>
      </c>
      <c r="B235" s="164">
        <v>5429</v>
      </c>
    </row>
    <row r="236" spans="1:2" x14ac:dyDescent="0.25">
      <c r="A236" s="164" t="s">
        <v>101</v>
      </c>
      <c r="B236" s="164">
        <v>5674</v>
      </c>
    </row>
    <row r="237" spans="1:2" x14ac:dyDescent="0.25">
      <c r="A237" s="164" t="s">
        <v>102</v>
      </c>
      <c r="B237" s="164">
        <v>5675</v>
      </c>
    </row>
    <row r="238" spans="1:2" x14ac:dyDescent="0.25">
      <c r="A238" s="164" t="s">
        <v>23</v>
      </c>
      <c r="B238" s="164">
        <v>5858</v>
      </c>
    </row>
    <row r="239" spans="1:2" x14ac:dyDescent="0.25">
      <c r="A239" s="164" t="s">
        <v>160</v>
      </c>
      <c r="B239" s="164">
        <v>5639</v>
      </c>
    </row>
    <row r="240" spans="1:2" x14ac:dyDescent="0.25">
      <c r="A240" s="164" t="s">
        <v>2</v>
      </c>
      <c r="B240" s="164">
        <v>5487</v>
      </c>
    </row>
    <row r="241" spans="1:2" x14ac:dyDescent="0.25">
      <c r="A241" s="164" t="s">
        <v>161</v>
      </c>
      <c r="B241" s="164">
        <v>5640</v>
      </c>
    </row>
    <row r="242" spans="1:2" x14ac:dyDescent="0.25">
      <c r="A242" s="164" t="s">
        <v>144</v>
      </c>
      <c r="B242" s="164">
        <v>5606</v>
      </c>
    </row>
    <row r="243" spans="1:2" x14ac:dyDescent="0.25">
      <c r="A243" s="164" t="s">
        <v>281</v>
      </c>
      <c r="B243" s="164">
        <v>5790</v>
      </c>
    </row>
    <row r="244" spans="1:2" x14ac:dyDescent="0.25">
      <c r="A244" s="164" t="s">
        <v>364</v>
      </c>
      <c r="B244" s="164">
        <v>5430</v>
      </c>
    </row>
    <row r="245" spans="1:2" x14ac:dyDescent="0.25">
      <c r="A245" s="164" t="s">
        <v>394</v>
      </c>
      <c r="B245" s="164">
        <v>5919</v>
      </c>
    </row>
    <row r="246" spans="1:2" x14ac:dyDescent="0.25">
      <c r="A246" s="164" t="s">
        <v>43</v>
      </c>
      <c r="B246" s="164">
        <v>5562</v>
      </c>
    </row>
    <row r="247" spans="1:2" x14ac:dyDescent="0.25">
      <c r="A247" s="164" t="s">
        <v>3</v>
      </c>
      <c r="B247" s="164">
        <v>5488</v>
      </c>
    </row>
    <row r="248" spans="1:2" x14ac:dyDescent="0.25">
      <c r="A248" s="164" t="s">
        <v>4</v>
      </c>
      <c r="B248" s="164">
        <v>5489</v>
      </c>
    </row>
    <row r="249" spans="1:2" x14ac:dyDescent="0.25">
      <c r="A249" s="164" t="s">
        <v>240</v>
      </c>
      <c r="B249" s="164">
        <v>5723</v>
      </c>
    </row>
    <row r="250" spans="1:2" x14ac:dyDescent="0.25">
      <c r="A250" s="164" t="s">
        <v>9</v>
      </c>
      <c r="B250" s="164">
        <v>5821</v>
      </c>
    </row>
    <row r="251" spans="1:2" x14ac:dyDescent="0.25">
      <c r="A251" s="164" t="s">
        <v>5</v>
      </c>
      <c r="B251" s="164">
        <v>5490</v>
      </c>
    </row>
    <row r="252" spans="1:2" x14ac:dyDescent="0.25">
      <c r="A252" s="164" t="s">
        <v>365</v>
      </c>
      <c r="B252" s="164">
        <v>5431</v>
      </c>
    </row>
    <row r="253" spans="1:2" x14ac:dyDescent="0.25">
      <c r="A253" s="164" t="s">
        <v>395</v>
      </c>
      <c r="B253" s="164">
        <v>5921</v>
      </c>
    </row>
    <row r="254" spans="1:2" x14ac:dyDescent="0.25">
      <c r="A254" s="164" t="s">
        <v>273</v>
      </c>
      <c r="B254" s="164">
        <v>5922</v>
      </c>
    </row>
    <row r="255" spans="1:2" x14ac:dyDescent="0.25">
      <c r="A255" s="164" t="s">
        <v>441</v>
      </c>
      <c r="B255" s="164">
        <v>5693</v>
      </c>
    </row>
    <row r="256" spans="1:2" x14ac:dyDescent="0.25">
      <c r="A256" s="164" t="s">
        <v>335</v>
      </c>
      <c r="B256" s="164">
        <v>5756</v>
      </c>
    </row>
    <row r="257" spans="1:2" x14ac:dyDescent="0.25">
      <c r="A257" s="164" t="s">
        <v>366</v>
      </c>
      <c r="B257" s="164">
        <v>5432</v>
      </c>
    </row>
    <row r="258" spans="1:2" x14ac:dyDescent="0.25">
      <c r="A258" s="164" t="s">
        <v>432</v>
      </c>
      <c r="B258" s="164">
        <v>5540</v>
      </c>
    </row>
    <row r="259" spans="1:2" x14ac:dyDescent="0.25">
      <c r="A259" s="164" t="s">
        <v>164</v>
      </c>
      <c r="B259" s="164">
        <v>5491</v>
      </c>
    </row>
    <row r="260" spans="1:2" x14ac:dyDescent="0.25">
      <c r="A260" s="164" t="s">
        <v>282</v>
      </c>
      <c r="B260" s="164">
        <v>5792</v>
      </c>
    </row>
    <row r="261" spans="1:2" x14ac:dyDescent="0.25">
      <c r="A261" s="164" t="s">
        <v>51</v>
      </c>
      <c r="B261" s="164">
        <v>5886</v>
      </c>
    </row>
    <row r="262" spans="1:2" x14ac:dyDescent="0.25">
      <c r="A262" s="164" t="s">
        <v>165</v>
      </c>
      <c r="B262" s="164">
        <v>5492</v>
      </c>
    </row>
    <row r="263" spans="1:2" x14ac:dyDescent="0.25">
      <c r="A263" s="164" t="s">
        <v>24</v>
      </c>
      <c r="B263" s="164">
        <v>5859</v>
      </c>
    </row>
    <row r="264" spans="1:2" x14ac:dyDescent="0.25">
      <c r="A264" s="164" t="s">
        <v>162</v>
      </c>
      <c r="B264" s="164">
        <v>5642</v>
      </c>
    </row>
    <row r="265" spans="1:2" x14ac:dyDescent="0.25">
      <c r="A265" s="164" t="s">
        <v>187</v>
      </c>
      <c r="B265" s="164">
        <v>5527</v>
      </c>
    </row>
    <row r="266" spans="1:2" x14ac:dyDescent="0.25">
      <c r="A266" s="164" t="s">
        <v>103</v>
      </c>
      <c r="B266" s="164">
        <v>5678</v>
      </c>
    </row>
    <row r="267" spans="1:2" x14ac:dyDescent="0.25">
      <c r="A267" s="164" t="s">
        <v>285</v>
      </c>
      <c r="B267" s="164">
        <v>5563</v>
      </c>
    </row>
    <row r="268" spans="1:2" x14ac:dyDescent="0.25">
      <c r="A268" s="164" t="s">
        <v>286</v>
      </c>
      <c r="B268" s="164">
        <v>5564</v>
      </c>
    </row>
    <row r="269" spans="1:2" x14ac:dyDescent="0.25">
      <c r="A269" s="164" t="s">
        <v>117</v>
      </c>
      <c r="B269" s="164">
        <v>5408</v>
      </c>
    </row>
    <row r="270" spans="1:2" x14ac:dyDescent="0.25">
      <c r="A270" s="164" t="s">
        <v>69</v>
      </c>
      <c r="B270" s="164">
        <v>5724</v>
      </c>
    </row>
    <row r="271" spans="1:2" x14ac:dyDescent="0.25">
      <c r="A271" s="164" t="s">
        <v>104</v>
      </c>
      <c r="B271" s="164">
        <v>5680</v>
      </c>
    </row>
    <row r="272" spans="1:2" x14ac:dyDescent="0.25">
      <c r="A272" s="164" t="s">
        <v>118</v>
      </c>
      <c r="B272" s="164">
        <v>5409</v>
      </c>
    </row>
    <row r="273" spans="1:2" x14ac:dyDescent="0.25">
      <c r="A273" s="164" t="s">
        <v>287</v>
      </c>
      <c r="B273" s="164">
        <v>5565</v>
      </c>
    </row>
    <row r="274" spans="1:2" x14ac:dyDescent="0.25">
      <c r="A274" s="164" t="s">
        <v>274</v>
      </c>
      <c r="B274" s="164">
        <v>5923</v>
      </c>
    </row>
    <row r="275" spans="1:2" x14ac:dyDescent="0.25">
      <c r="A275" s="164" t="s">
        <v>336</v>
      </c>
      <c r="B275" s="164">
        <v>5757</v>
      </c>
    </row>
    <row r="276" spans="1:2" x14ac:dyDescent="0.25">
      <c r="A276" s="164" t="s">
        <v>275</v>
      </c>
      <c r="B276" s="164">
        <v>5924</v>
      </c>
    </row>
    <row r="277" spans="1:2" x14ac:dyDescent="0.25">
      <c r="A277" s="164" t="s">
        <v>130</v>
      </c>
      <c r="B277" s="164">
        <v>5410</v>
      </c>
    </row>
    <row r="278" spans="1:2" x14ac:dyDescent="0.25">
      <c r="A278" s="164" t="s">
        <v>131</v>
      </c>
      <c r="B278" s="164">
        <v>5411</v>
      </c>
    </row>
    <row r="279" spans="1:2" x14ac:dyDescent="0.25">
      <c r="A279" s="164" t="s">
        <v>166</v>
      </c>
      <c r="B279" s="164">
        <v>5493</v>
      </c>
    </row>
    <row r="280" spans="1:2" x14ac:dyDescent="0.25">
      <c r="A280" s="164" t="s">
        <v>435</v>
      </c>
      <c r="B280" s="164">
        <v>5805</v>
      </c>
    </row>
    <row r="281" spans="1:2" x14ac:dyDescent="0.25">
      <c r="A281" s="164" t="s">
        <v>399</v>
      </c>
      <c r="B281" s="164">
        <v>5925</v>
      </c>
    </row>
    <row r="282" spans="1:2" x14ac:dyDescent="0.25">
      <c r="A282" s="164" t="s">
        <v>188</v>
      </c>
      <c r="B282" s="164">
        <v>5529</v>
      </c>
    </row>
    <row r="283" spans="1:2" x14ac:dyDescent="0.25">
      <c r="A283" s="164" t="s">
        <v>189</v>
      </c>
      <c r="B283" s="164">
        <v>5530</v>
      </c>
    </row>
    <row r="284" spans="1:2" x14ac:dyDescent="0.25">
      <c r="A284" s="164" t="s">
        <v>167</v>
      </c>
      <c r="B284" s="164">
        <v>5494</v>
      </c>
    </row>
    <row r="285" spans="1:2" x14ac:dyDescent="0.25">
      <c r="A285" s="164" t="s">
        <v>122</v>
      </c>
      <c r="B285" s="164">
        <v>5588</v>
      </c>
    </row>
    <row r="286" spans="1:2" x14ac:dyDescent="0.25">
      <c r="A286" s="164" t="s">
        <v>10</v>
      </c>
      <c r="B286" s="164">
        <v>5822</v>
      </c>
    </row>
    <row r="287" spans="1:2" x14ac:dyDescent="0.25">
      <c r="A287" s="164" t="s">
        <v>168</v>
      </c>
      <c r="B287" s="164">
        <v>5495</v>
      </c>
    </row>
    <row r="288" spans="1:2" x14ac:dyDescent="0.25">
      <c r="A288" s="164" t="s">
        <v>169</v>
      </c>
      <c r="B288" s="164">
        <v>5496</v>
      </c>
    </row>
    <row r="289" spans="1:2" x14ac:dyDescent="0.25">
      <c r="A289" s="164" t="s">
        <v>190</v>
      </c>
      <c r="B289" s="164">
        <v>5531</v>
      </c>
    </row>
    <row r="290" spans="1:2" x14ac:dyDescent="0.25">
      <c r="A290" s="164" t="s">
        <v>25</v>
      </c>
      <c r="B290" s="164">
        <v>5860</v>
      </c>
    </row>
    <row r="291" spans="1:2" x14ac:dyDescent="0.25">
      <c r="A291" s="164" t="s">
        <v>191</v>
      </c>
      <c r="B291" s="164">
        <v>5533</v>
      </c>
    </row>
    <row r="292" spans="1:2" x14ac:dyDescent="0.25">
      <c r="A292" s="164" t="s">
        <v>170</v>
      </c>
      <c r="B292" s="164">
        <v>5497</v>
      </c>
    </row>
    <row r="293" spans="1:2" x14ac:dyDescent="0.25">
      <c r="A293" s="164" t="s">
        <v>400</v>
      </c>
      <c r="B293" s="164">
        <v>5926</v>
      </c>
    </row>
    <row r="294" spans="1:2" x14ac:dyDescent="0.25">
      <c r="A294" s="164" t="s">
        <v>70</v>
      </c>
      <c r="B294" s="164">
        <v>5725</v>
      </c>
    </row>
    <row r="295" spans="1:2" x14ac:dyDescent="0.25">
      <c r="A295" s="164" t="s">
        <v>218</v>
      </c>
      <c r="B295" s="164">
        <v>5759</v>
      </c>
    </row>
    <row r="296" spans="1:2" x14ac:dyDescent="0.25">
      <c r="A296" s="164" t="s">
        <v>163</v>
      </c>
      <c r="B296" s="164">
        <v>5643</v>
      </c>
    </row>
    <row r="297" spans="1:2" x14ac:dyDescent="0.25">
      <c r="A297" s="164" t="s">
        <v>105</v>
      </c>
      <c r="B297" s="164">
        <v>5683</v>
      </c>
    </row>
    <row r="298" spans="1:2" x14ac:dyDescent="0.25">
      <c r="A298" s="164" t="s">
        <v>123</v>
      </c>
      <c r="B298" s="164">
        <v>5589</v>
      </c>
    </row>
    <row r="299" spans="1:2" x14ac:dyDescent="0.25">
      <c r="A299" s="164" t="s">
        <v>288</v>
      </c>
      <c r="B299" s="164">
        <v>5566</v>
      </c>
    </row>
    <row r="300" spans="1:2" x14ac:dyDescent="0.25">
      <c r="A300" s="164" t="s">
        <v>300</v>
      </c>
      <c r="B300" s="164">
        <v>5607</v>
      </c>
    </row>
    <row r="301" spans="1:2" x14ac:dyDescent="0.25">
      <c r="A301" s="164" t="s">
        <v>124</v>
      </c>
      <c r="B301" s="164">
        <v>5590</v>
      </c>
    </row>
    <row r="302" spans="1:2" x14ac:dyDescent="0.25">
      <c r="A302" s="164" t="s">
        <v>219</v>
      </c>
      <c r="B302" s="164">
        <v>5760</v>
      </c>
    </row>
    <row r="303" spans="1:2" x14ac:dyDescent="0.25">
      <c r="A303" s="164" t="s">
        <v>396</v>
      </c>
      <c r="B303" s="164">
        <v>5591</v>
      </c>
    </row>
    <row r="304" spans="1:2" x14ac:dyDescent="0.25">
      <c r="A304" s="164" t="s">
        <v>132</v>
      </c>
      <c r="B304" s="164">
        <v>5412</v>
      </c>
    </row>
    <row r="305" spans="1:2" x14ac:dyDescent="0.25">
      <c r="A305" s="164" t="s">
        <v>312</v>
      </c>
      <c r="B305" s="164">
        <v>5644</v>
      </c>
    </row>
    <row r="306" spans="1:2" x14ac:dyDescent="0.25">
      <c r="A306" s="164" t="s">
        <v>128</v>
      </c>
      <c r="B306" s="164">
        <v>5609</v>
      </c>
    </row>
    <row r="307" spans="1:2" x14ac:dyDescent="0.25">
      <c r="A307" s="164" t="s">
        <v>133</v>
      </c>
      <c r="B307" s="164">
        <v>5413</v>
      </c>
    </row>
    <row r="308" spans="1:2" x14ac:dyDescent="0.25">
      <c r="A308" s="164" t="s">
        <v>26</v>
      </c>
      <c r="B308" s="164">
        <v>5861</v>
      </c>
    </row>
    <row r="309" spans="1:2" x14ac:dyDescent="0.25">
      <c r="A309" s="164" t="s">
        <v>135</v>
      </c>
      <c r="B309" s="164">
        <v>5761</v>
      </c>
    </row>
    <row r="310" spans="1:2" x14ac:dyDescent="0.25">
      <c r="A310" s="164" t="s">
        <v>216</v>
      </c>
      <c r="B310" s="164">
        <v>5592</v>
      </c>
    </row>
    <row r="311" spans="1:2" x14ac:dyDescent="0.25">
      <c r="A311" s="164" t="s">
        <v>313</v>
      </c>
      <c r="B311" s="164">
        <v>5645</v>
      </c>
    </row>
    <row r="312" spans="1:2" x14ac:dyDescent="0.25">
      <c r="A312" s="164" t="s">
        <v>283</v>
      </c>
      <c r="B312" s="164">
        <v>5798</v>
      </c>
    </row>
    <row r="313" spans="1:2" x14ac:dyDescent="0.25">
      <c r="A313" s="164" t="s">
        <v>106</v>
      </c>
      <c r="B313" s="164">
        <v>5684</v>
      </c>
    </row>
    <row r="314" spans="1:2" x14ac:dyDescent="0.25">
      <c r="A314" s="164" t="s">
        <v>14</v>
      </c>
      <c r="B314" s="164">
        <v>5842</v>
      </c>
    </row>
    <row r="315" spans="1:2" x14ac:dyDescent="0.25">
      <c r="A315" s="164" t="s">
        <v>15</v>
      </c>
      <c r="B315" s="164">
        <v>5843</v>
      </c>
    </row>
    <row r="316" spans="1:2" x14ac:dyDescent="0.25">
      <c r="A316" s="164" t="s">
        <v>401</v>
      </c>
      <c r="B316" s="164">
        <v>5928</v>
      </c>
    </row>
    <row r="317" spans="1:2" x14ac:dyDescent="0.25">
      <c r="A317" s="164" t="s">
        <v>192</v>
      </c>
      <c r="B317" s="164">
        <v>5534</v>
      </c>
    </row>
    <row r="318" spans="1:2" x14ac:dyDescent="0.25">
      <c r="A318" s="164" t="s">
        <v>30</v>
      </c>
      <c r="B318" s="164">
        <v>5535</v>
      </c>
    </row>
    <row r="319" spans="1:2" x14ac:dyDescent="0.25">
      <c r="A319" s="164" t="s">
        <v>320</v>
      </c>
      <c r="B319" s="164">
        <v>5727</v>
      </c>
    </row>
    <row r="320" spans="1:2" x14ac:dyDescent="0.25">
      <c r="A320" s="164" t="s">
        <v>119</v>
      </c>
      <c r="B320" s="164">
        <v>5568</v>
      </c>
    </row>
    <row r="321" spans="1:2" x14ac:dyDescent="0.25">
      <c r="A321" s="164" t="s">
        <v>367</v>
      </c>
      <c r="B321" s="164">
        <v>5434</v>
      </c>
    </row>
    <row r="322" spans="1:2" x14ac:dyDescent="0.25">
      <c r="A322" s="164" t="s">
        <v>515</v>
      </c>
      <c r="B322" s="164">
        <v>5888</v>
      </c>
    </row>
    <row r="323" spans="1:2" x14ac:dyDescent="0.25">
      <c r="A323" s="164" t="s">
        <v>344</v>
      </c>
      <c r="B323" s="164">
        <v>5435</v>
      </c>
    </row>
    <row r="324" spans="1:2" x14ac:dyDescent="0.25">
      <c r="A324" s="164" t="s">
        <v>345</v>
      </c>
      <c r="B324" s="164">
        <v>5436</v>
      </c>
    </row>
    <row r="325" spans="1:2" x14ac:dyDescent="0.25">
      <c r="A325" s="164" t="s">
        <v>314</v>
      </c>
      <c r="B325" s="164">
        <v>5646</v>
      </c>
    </row>
    <row r="326" spans="1:2" x14ac:dyDescent="0.25">
      <c r="A326" s="164" t="s">
        <v>315</v>
      </c>
      <c r="B326" s="164">
        <v>5648</v>
      </c>
    </row>
    <row r="327" spans="1:2" x14ac:dyDescent="0.25">
      <c r="A327" s="164" t="s">
        <v>346</v>
      </c>
      <c r="B327" s="164">
        <v>5437</v>
      </c>
    </row>
    <row r="328" spans="1:2" x14ac:dyDescent="0.25">
      <c r="A328" s="164" t="s">
        <v>297</v>
      </c>
      <c r="B328" s="164">
        <v>5611</v>
      </c>
    </row>
    <row r="329" spans="1:2" x14ac:dyDescent="0.25">
      <c r="A329" s="164" t="s">
        <v>172</v>
      </c>
      <c r="B329" s="164">
        <v>5499</v>
      </c>
    </row>
    <row r="330" spans="1:2" x14ac:dyDescent="0.25">
      <c r="A330" s="164" t="s">
        <v>136</v>
      </c>
      <c r="B330" s="164">
        <v>5762</v>
      </c>
    </row>
    <row r="331" spans="1:2" x14ac:dyDescent="0.25">
      <c r="A331" s="164" t="s">
        <v>284</v>
      </c>
      <c r="B331" s="164">
        <v>5799</v>
      </c>
    </row>
    <row r="332" spans="1:2" x14ac:dyDescent="0.25">
      <c r="A332" s="164" t="s">
        <v>173</v>
      </c>
      <c r="B332" s="164">
        <v>5500</v>
      </c>
    </row>
    <row r="333" spans="1:2" x14ac:dyDescent="0.25">
      <c r="A333" s="164" t="s">
        <v>321</v>
      </c>
      <c r="B333" s="164">
        <v>5728</v>
      </c>
    </row>
    <row r="334" spans="1:2" x14ac:dyDescent="0.25">
      <c r="A334" s="164" t="s">
        <v>129</v>
      </c>
      <c r="B334" s="164">
        <v>5610</v>
      </c>
    </row>
    <row r="335" spans="1:2" x14ac:dyDescent="0.25">
      <c r="A335" s="164" t="s">
        <v>402</v>
      </c>
      <c r="B335" s="164">
        <v>5929</v>
      </c>
    </row>
    <row r="336" spans="1:2" x14ac:dyDescent="0.25">
      <c r="A336" s="164" t="s">
        <v>174</v>
      </c>
      <c r="B336" s="164">
        <v>5501</v>
      </c>
    </row>
    <row r="337" spans="1:2" x14ac:dyDescent="0.25">
      <c r="A337" s="164" t="s">
        <v>403</v>
      </c>
      <c r="B337" s="164">
        <v>5930</v>
      </c>
    </row>
    <row r="338" spans="1:2" x14ac:dyDescent="0.25">
      <c r="A338" s="164" t="s">
        <v>107</v>
      </c>
      <c r="B338" s="164">
        <v>5688</v>
      </c>
    </row>
    <row r="339" spans="1:2" x14ac:dyDescent="0.25">
      <c r="A339" s="164" t="s">
        <v>322</v>
      </c>
      <c r="B339" s="164">
        <v>5729</v>
      </c>
    </row>
    <row r="340" spans="1:2" x14ac:dyDescent="0.25">
      <c r="A340" s="164" t="s">
        <v>27</v>
      </c>
      <c r="B340" s="164">
        <v>5862</v>
      </c>
    </row>
    <row r="341" spans="1:2" x14ac:dyDescent="0.25">
      <c r="A341" s="164" t="s">
        <v>429</v>
      </c>
      <c r="B341" s="164">
        <v>5571</v>
      </c>
    </row>
    <row r="342" spans="1:2" x14ac:dyDescent="0.25">
      <c r="A342" s="164" t="s">
        <v>316</v>
      </c>
      <c r="B342" s="164">
        <v>5649</v>
      </c>
    </row>
    <row r="343" spans="1:2" x14ac:dyDescent="0.25">
      <c r="A343" s="164" t="s">
        <v>323</v>
      </c>
      <c r="B343" s="164">
        <v>5730</v>
      </c>
    </row>
    <row r="344" spans="1:2" x14ac:dyDescent="0.25">
      <c r="A344" s="164" t="s">
        <v>11</v>
      </c>
      <c r="B344" s="164">
        <v>5827</v>
      </c>
    </row>
    <row r="345" spans="1:2" x14ac:dyDescent="0.25">
      <c r="A345" s="164" t="s">
        <v>404</v>
      </c>
      <c r="B345" s="164">
        <v>5931</v>
      </c>
    </row>
    <row r="346" spans="1:2" x14ac:dyDescent="0.25">
      <c r="A346" s="164" t="s">
        <v>514</v>
      </c>
      <c r="B346" s="164">
        <v>5828</v>
      </c>
    </row>
    <row r="347" spans="1:2" x14ac:dyDescent="0.25">
      <c r="A347" s="164" t="s">
        <v>276</v>
      </c>
      <c r="B347" s="164">
        <v>5932</v>
      </c>
    </row>
    <row r="348" spans="1:2" x14ac:dyDescent="0.25">
      <c r="A348" s="164" t="s">
        <v>434</v>
      </c>
      <c r="B348" s="164">
        <v>5831</v>
      </c>
    </row>
    <row r="349" spans="1:2" x14ac:dyDescent="0.25">
      <c r="A349" s="164" t="s">
        <v>397</v>
      </c>
      <c r="B349" s="164">
        <v>5933</v>
      </c>
    </row>
    <row r="350" spans="1:2" x14ac:dyDescent="0.25">
      <c r="A350" s="164" t="s">
        <v>137</v>
      </c>
      <c r="B350" s="164">
        <v>5763</v>
      </c>
    </row>
    <row r="351" spans="1:2" x14ac:dyDescent="0.25">
      <c r="A351" s="164" t="s">
        <v>398</v>
      </c>
      <c r="B351" s="164">
        <v>5934</v>
      </c>
    </row>
    <row r="352" spans="1:2" x14ac:dyDescent="0.25">
      <c r="A352" s="164" t="s">
        <v>337</v>
      </c>
      <c r="B352" s="164">
        <v>5764</v>
      </c>
    </row>
    <row r="353" spans="1:2" x14ac:dyDescent="0.25">
      <c r="A353" s="164" t="s">
        <v>338</v>
      </c>
      <c r="B353" s="164">
        <v>5765</v>
      </c>
    </row>
    <row r="354" spans="1:2" x14ac:dyDescent="0.25">
      <c r="A354" s="164" t="s">
        <v>317</v>
      </c>
      <c r="B354" s="164">
        <v>5650</v>
      </c>
    </row>
    <row r="355" spans="1:2" x14ac:dyDescent="0.25">
      <c r="A355" s="164" t="s">
        <v>53</v>
      </c>
      <c r="B355" s="164">
        <v>5890</v>
      </c>
    </row>
    <row r="356" spans="1:2" x14ac:dyDescent="0.25">
      <c r="A356" s="164" t="s">
        <v>54</v>
      </c>
      <c r="B356" s="164">
        <v>5891</v>
      </c>
    </row>
    <row r="357" spans="1:2" x14ac:dyDescent="0.25">
      <c r="A357" s="164" t="s">
        <v>325</v>
      </c>
      <c r="B357" s="164">
        <v>5732</v>
      </c>
    </row>
    <row r="358" spans="1:2" x14ac:dyDescent="0.25">
      <c r="A358" s="164" t="s">
        <v>299</v>
      </c>
      <c r="B358" s="164">
        <v>5935</v>
      </c>
    </row>
    <row r="359" spans="1:2" x14ac:dyDescent="0.25">
      <c r="A359" s="164" t="s">
        <v>108</v>
      </c>
      <c r="B359" s="164">
        <v>5690</v>
      </c>
    </row>
    <row r="360" spans="1:2" x14ac:dyDescent="0.25">
      <c r="A360" s="164" t="s">
        <v>31</v>
      </c>
      <c r="B360" s="164">
        <v>5537</v>
      </c>
    </row>
    <row r="361" spans="1:2" x14ac:dyDescent="0.25">
      <c r="A361" s="164" t="s">
        <v>318</v>
      </c>
      <c r="B361" s="164">
        <v>5651</v>
      </c>
    </row>
    <row r="362" spans="1:2" x14ac:dyDescent="0.25">
      <c r="A362" s="164" t="s">
        <v>198</v>
      </c>
      <c r="B362" s="164">
        <v>5652</v>
      </c>
    </row>
    <row r="363" spans="1:2" x14ac:dyDescent="0.25">
      <c r="A363" s="164" t="s">
        <v>12</v>
      </c>
      <c r="B363" s="164">
        <v>5830</v>
      </c>
    </row>
    <row r="364" spans="1:2" x14ac:dyDescent="0.25">
      <c r="A364" s="164" t="s">
        <v>134</v>
      </c>
      <c r="B364" s="164">
        <v>5414</v>
      </c>
    </row>
    <row r="365" spans="1:2" x14ac:dyDescent="0.25">
      <c r="A365" s="164" t="s">
        <v>28</v>
      </c>
      <c r="B365" s="164">
        <v>5863</v>
      </c>
    </row>
    <row r="366" spans="1:2" x14ac:dyDescent="0.25">
      <c r="A366" s="164" t="s">
        <v>32</v>
      </c>
      <c r="B366" s="164">
        <v>5539</v>
      </c>
    </row>
    <row r="367" spans="1:2" x14ac:dyDescent="0.25">
      <c r="A367" s="164" t="s">
        <v>109</v>
      </c>
      <c r="B367" s="164">
        <v>5692</v>
      </c>
    </row>
    <row r="368" spans="1:2" x14ac:dyDescent="0.25">
      <c r="A368" s="164" t="s">
        <v>175</v>
      </c>
      <c r="B368" s="164">
        <v>5503</v>
      </c>
    </row>
    <row r="369" spans="1:2" x14ac:dyDescent="0.25">
      <c r="A369" s="164" t="s">
        <v>199</v>
      </c>
      <c r="B369" s="164">
        <v>5653</v>
      </c>
    </row>
    <row r="370" spans="1:2" x14ac:dyDescent="0.25">
      <c r="A370" s="164" t="s">
        <v>277</v>
      </c>
      <c r="B370" s="164">
        <v>5937</v>
      </c>
    </row>
    <row r="371" spans="1:2" x14ac:dyDescent="0.25">
      <c r="A371" s="164" t="s">
        <v>339</v>
      </c>
      <c r="B371" s="164">
        <v>5766</v>
      </c>
    </row>
    <row r="372" spans="1:2" x14ac:dyDescent="0.25">
      <c r="A372" s="164" t="s">
        <v>386</v>
      </c>
      <c r="B372" s="164">
        <v>5803</v>
      </c>
    </row>
    <row r="373" spans="1:2" x14ac:dyDescent="0.25">
      <c r="A373" s="164" t="s">
        <v>200</v>
      </c>
      <c r="B373" s="164">
        <v>5654</v>
      </c>
    </row>
    <row r="374" spans="1:2" x14ac:dyDescent="0.25">
      <c r="A374" s="164" t="s">
        <v>430</v>
      </c>
      <c r="B374" s="164">
        <v>5464</v>
      </c>
    </row>
    <row r="375" spans="1:2" x14ac:dyDescent="0.25">
      <c r="A375" s="164" t="s">
        <v>201</v>
      </c>
      <c r="B375" s="164">
        <v>5655</v>
      </c>
    </row>
    <row r="376" spans="1:2" x14ac:dyDescent="0.25">
      <c r="A376" s="164" t="s">
        <v>150</v>
      </c>
      <c r="B376" s="164">
        <v>5938</v>
      </c>
    </row>
    <row r="377" spans="1:2" x14ac:dyDescent="0.25">
      <c r="A377" s="164" t="s">
        <v>149</v>
      </c>
      <c r="B377" s="164">
        <v>5939</v>
      </c>
    </row>
    <row r="378" spans="1:2" x14ac:dyDescent="0.25">
      <c r="A378" s="164" t="s">
        <v>72</v>
      </c>
      <c r="B378" s="164">
        <v>5415</v>
      </c>
    </row>
    <row r="379" spans="1:2" x14ac:dyDescent="0.25">
      <c r="B379" s="166"/>
    </row>
    <row r="380" spans="1:2" x14ac:dyDescent="0.25">
      <c r="B380" s="166"/>
    </row>
    <row r="381" spans="1:2" x14ac:dyDescent="0.25">
      <c r="B381" s="166"/>
    </row>
    <row r="382" spans="1:2" x14ac:dyDescent="0.25">
      <c r="B382" s="166"/>
    </row>
    <row r="383" spans="1:2" x14ac:dyDescent="0.25">
      <c r="B383" s="166"/>
    </row>
    <row r="384" spans="1:2" x14ac:dyDescent="0.25">
      <c r="B384" s="166"/>
    </row>
    <row r="385" spans="2:2" x14ac:dyDescent="0.25">
      <c r="B385" s="166"/>
    </row>
    <row r="386" spans="2:2" x14ac:dyDescent="0.25">
      <c r="B386" s="166"/>
    </row>
    <row r="387" spans="2:2" x14ac:dyDescent="0.25">
      <c r="B387" s="166"/>
    </row>
    <row r="388" spans="2:2" x14ac:dyDescent="0.25">
      <c r="B388" s="166"/>
    </row>
    <row r="389" spans="2:2" x14ac:dyDescent="0.25">
      <c r="B389" s="166"/>
    </row>
    <row r="390" spans="2:2" x14ac:dyDescent="0.25">
      <c r="B390" s="166"/>
    </row>
    <row r="391" spans="2:2" x14ac:dyDescent="0.25">
      <c r="B391" s="166"/>
    </row>
    <row r="392" spans="2:2" x14ac:dyDescent="0.25">
      <c r="B392" s="166"/>
    </row>
    <row r="393" spans="2:2" x14ac:dyDescent="0.25">
      <c r="B393" s="166"/>
    </row>
    <row r="394" spans="2:2" x14ac:dyDescent="0.25">
      <c r="B394" s="166"/>
    </row>
    <row r="395" spans="2:2" x14ac:dyDescent="0.25">
      <c r="B395" s="166"/>
    </row>
    <row r="396" spans="2:2" x14ac:dyDescent="0.25">
      <c r="B396" s="166"/>
    </row>
    <row r="397" spans="2:2" x14ac:dyDescent="0.25">
      <c r="B397" s="166"/>
    </row>
    <row r="398" spans="2:2" x14ac:dyDescent="0.25">
      <c r="B398" s="166"/>
    </row>
    <row r="399" spans="2:2" x14ac:dyDescent="0.25">
      <c r="B399" s="166"/>
    </row>
    <row r="400" spans="2:2" x14ac:dyDescent="0.25">
      <c r="B400" s="166"/>
    </row>
    <row r="401" spans="2:2" x14ac:dyDescent="0.25">
      <c r="B401" s="166"/>
    </row>
    <row r="402" spans="2:2" x14ac:dyDescent="0.25">
      <c r="B402" s="166"/>
    </row>
    <row r="403" spans="2:2" x14ac:dyDescent="0.25">
      <c r="B403" s="166"/>
    </row>
    <row r="404" spans="2:2" x14ac:dyDescent="0.25">
      <c r="B404" s="166"/>
    </row>
    <row r="405" spans="2:2" x14ac:dyDescent="0.25">
      <c r="B405" s="166"/>
    </row>
    <row r="406" spans="2:2" x14ac:dyDescent="0.25">
      <c r="B406" s="166"/>
    </row>
    <row r="407" spans="2:2" x14ac:dyDescent="0.25">
      <c r="B407" s="166"/>
    </row>
    <row r="408" spans="2:2" x14ac:dyDescent="0.25">
      <c r="B408" s="166"/>
    </row>
    <row r="409" spans="2:2" x14ac:dyDescent="0.25">
      <c r="B409" s="166"/>
    </row>
    <row r="410" spans="2:2" x14ac:dyDescent="0.25">
      <c r="B410" s="166"/>
    </row>
    <row r="411" spans="2:2" x14ac:dyDescent="0.25">
      <c r="B411" s="166"/>
    </row>
    <row r="412" spans="2:2" x14ac:dyDescent="0.25">
      <c r="B412" s="166"/>
    </row>
    <row r="413" spans="2:2" x14ac:dyDescent="0.25">
      <c r="B413" s="166"/>
    </row>
    <row r="414" spans="2:2" x14ac:dyDescent="0.25">
      <c r="B414" s="166"/>
    </row>
    <row r="415" spans="2:2" x14ac:dyDescent="0.25">
      <c r="B415" s="166"/>
    </row>
    <row r="416" spans="2:2" x14ac:dyDescent="0.25">
      <c r="B416" s="166"/>
    </row>
    <row r="417" spans="2:2" x14ac:dyDescent="0.25">
      <c r="B417" s="166"/>
    </row>
    <row r="418" spans="2:2" x14ac:dyDescent="0.25">
      <c r="B418" s="166"/>
    </row>
    <row r="419" spans="2:2" x14ac:dyDescent="0.25">
      <c r="B419" s="166"/>
    </row>
    <row r="420" spans="2:2" x14ac:dyDescent="0.25">
      <c r="B420" s="166"/>
    </row>
    <row r="421" spans="2:2" x14ac:dyDescent="0.25">
      <c r="B421" s="166"/>
    </row>
    <row r="422" spans="2:2" x14ac:dyDescent="0.25">
      <c r="B422" s="166"/>
    </row>
    <row r="423" spans="2:2" x14ac:dyDescent="0.25">
      <c r="B423" s="166"/>
    </row>
    <row r="424" spans="2:2" x14ac:dyDescent="0.25">
      <c r="B424" s="166"/>
    </row>
    <row r="425" spans="2:2" x14ac:dyDescent="0.25">
      <c r="B425" s="166"/>
    </row>
    <row r="426" spans="2:2" x14ac:dyDescent="0.25">
      <c r="B426" s="166"/>
    </row>
    <row r="427" spans="2:2" x14ac:dyDescent="0.25">
      <c r="B427" s="166"/>
    </row>
    <row r="428" spans="2:2" x14ac:dyDescent="0.25">
      <c r="B428" s="166"/>
    </row>
    <row r="429" spans="2:2" x14ac:dyDescent="0.25">
      <c r="B429" s="166"/>
    </row>
    <row r="430" spans="2:2" x14ac:dyDescent="0.25">
      <c r="B430" s="166"/>
    </row>
    <row r="431" spans="2:2" x14ac:dyDescent="0.25">
      <c r="B431" s="166"/>
    </row>
    <row r="432" spans="2:2" x14ac:dyDescent="0.25">
      <c r="B432" s="166"/>
    </row>
    <row r="433" spans="2:2" x14ac:dyDescent="0.25">
      <c r="B433" s="166"/>
    </row>
    <row r="434" spans="2:2" x14ac:dyDescent="0.25">
      <c r="B434" s="166"/>
    </row>
    <row r="435" spans="2:2" x14ac:dyDescent="0.25">
      <c r="B435" s="166"/>
    </row>
    <row r="436" spans="2:2" x14ac:dyDescent="0.25">
      <c r="B436" s="166"/>
    </row>
    <row r="437" spans="2:2" x14ac:dyDescent="0.25">
      <c r="B437" s="166"/>
    </row>
    <row r="438" spans="2:2" x14ac:dyDescent="0.25">
      <c r="B438" s="166"/>
    </row>
    <row r="439" spans="2:2" x14ac:dyDescent="0.25">
      <c r="B439" s="166"/>
    </row>
    <row r="440" spans="2:2" x14ac:dyDescent="0.25">
      <c r="B440" s="166"/>
    </row>
    <row r="441" spans="2:2" x14ac:dyDescent="0.25">
      <c r="B441" s="166"/>
    </row>
    <row r="442" spans="2:2" x14ac:dyDescent="0.25">
      <c r="B442" s="166"/>
    </row>
    <row r="443" spans="2:2" x14ac:dyDescent="0.25">
      <c r="B443" s="166"/>
    </row>
    <row r="444" spans="2:2" x14ac:dyDescent="0.25">
      <c r="B444" s="166"/>
    </row>
    <row r="445" spans="2:2" x14ac:dyDescent="0.25">
      <c r="B445" s="166"/>
    </row>
    <row r="446" spans="2:2" x14ac:dyDescent="0.25">
      <c r="B446" s="166"/>
    </row>
    <row r="447" spans="2:2" x14ac:dyDescent="0.25">
      <c r="B447" s="166"/>
    </row>
    <row r="448" spans="2:2" x14ac:dyDescent="0.25">
      <c r="B448" s="166"/>
    </row>
    <row r="449" spans="2:2" x14ac:dyDescent="0.25">
      <c r="B449" s="166"/>
    </row>
    <row r="450" spans="2:2" x14ac:dyDescent="0.25">
      <c r="B450" s="166"/>
    </row>
    <row r="451" spans="2:2" x14ac:dyDescent="0.25">
      <c r="B451" s="166"/>
    </row>
    <row r="452" spans="2:2" x14ac:dyDescent="0.25">
      <c r="B452" s="166"/>
    </row>
    <row r="453" spans="2:2" x14ac:dyDescent="0.25">
      <c r="B453" s="166"/>
    </row>
    <row r="454" spans="2:2" x14ac:dyDescent="0.25">
      <c r="B454" s="166"/>
    </row>
    <row r="455" spans="2:2" x14ac:dyDescent="0.25">
      <c r="B455" s="166"/>
    </row>
    <row r="456" spans="2:2" x14ac:dyDescent="0.25">
      <c r="B456" s="166"/>
    </row>
    <row r="457" spans="2:2" x14ac:dyDescent="0.25">
      <c r="B457" s="166"/>
    </row>
    <row r="458" spans="2:2" x14ac:dyDescent="0.25">
      <c r="B458" s="166"/>
    </row>
    <row r="459" spans="2:2" x14ac:dyDescent="0.25">
      <c r="B459" s="166"/>
    </row>
    <row r="460" spans="2:2" x14ac:dyDescent="0.25">
      <c r="B460" s="166"/>
    </row>
    <row r="461" spans="2:2" x14ac:dyDescent="0.25">
      <c r="B461" s="166"/>
    </row>
    <row r="462" spans="2:2" x14ac:dyDescent="0.25">
      <c r="B462" s="166"/>
    </row>
    <row r="463" spans="2:2" x14ac:dyDescent="0.25">
      <c r="B463" s="166"/>
    </row>
    <row r="464" spans="2:2" x14ac:dyDescent="0.25">
      <c r="B464" s="166"/>
    </row>
    <row r="465" spans="2:2" x14ac:dyDescent="0.25">
      <c r="B465" s="166"/>
    </row>
    <row r="466" spans="2:2" x14ac:dyDescent="0.25">
      <c r="B466" s="166"/>
    </row>
    <row r="467" spans="2:2" x14ac:dyDescent="0.25">
      <c r="B467" s="166"/>
    </row>
    <row r="468" spans="2:2" x14ac:dyDescent="0.25">
      <c r="B468" s="166"/>
    </row>
    <row r="469" spans="2:2" x14ac:dyDescent="0.25">
      <c r="B469" s="166"/>
    </row>
    <row r="470" spans="2:2" x14ac:dyDescent="0.25">
      <c r="B470" s="166"/>
    </row>
    <row r="471" spans="2:2" x14ac:dyDescent="0.25">
      <c r="B471" s="166"/>
    </row>
    <row r="472" spans="2:2" x14ac:dyDescent="0.25">
      <c r="B472" s="166"/>
    </row>
    <row r="473" spans="2:2" x14ac:dyDescent="0.25">
      <c r="B473" s="166"/>
    </row>
    <row r="474" spans="2:2" x14ac:dyDescent="0.25">
      <c r="B474" s="166"/>
    </row>
    <row r="475" spans="2:2" x14ac:dyDescent="0.25">
      <c r="B475" s="166"/>
    </row>
    <row r="476" spans="2:2" x14ac:dyDescent="0.25">
      <c r="B476" s="166"/>
    </row>
    <row r="477" spans="2:2" x14ac:dyDescent="0.25">
      <c r="B477" s="166"/>
    </row>
    <row r="478" spans="2:2" x14ac:dyDescent="0.25">
      <c r="B478" s="166"/>
    </row>
    <row r="479" spans="2:2" x14ac:dyDescent="0.25">
      <c r="B479" s="166"/>
    </row>
    <row r="480" spans="2:2" x14ac:dyDescent="0.25">
      <c r="B480" s="166"/>
    </row>
    <row r="481" spans="2:2" x14ac:dyDescent="0.25">
      <c r="B481" s="166"/>
    </row>
    <row r="482" spans="2:2" x14ac:dyDescent="0.25">
      <c r="B482" s="166"/>
    </row>
    <row r="483" spans="2:2" x14ac:dyDescent="0.25">
      <c r="B483" s="166"/>
    </row>
    <row r="484" spans="2:2" x14ac:dyDescent="0.25">
      <c r="B484" s="166"/>
    </row>
    <row r="485" spans="2:2" x14ac:dyDescent="0.25">
      <c r="B485" s="166"/>
    </row>
    <row r="486" spans="2:2" x14ac:dyDescent="0.25">
      <c r="B486" s="166"/>
    </row>
    <row r="487" spans="2:2" x14ac:dyDescent="0.25">
      <c r="B487" s="166"/>
    </row>
    <row r="488" spans="2:2" x14ac:dyDescent="0.25">
      <c r="B488" s="166"/>
    </row>
    <row r="489" spans="2:2" x14ac:dyDescent="0.25">
      <c r="B489" s="166"/>
    </row>
    <row r="490" spans="2:2" x14ac:dyDescent="0.25">
      <c r="B490" s="166"/>
    </row>
    <row r="491" spans="2:2" x14ac:dyDescent="0.25">
      <c r="B491" s="166"/>
    </row>
    <row r="492" spans="2:2" x14ac:dyDescent="0.25">
      <c r="B492" s="166"/>
    </row>
    <row r="493" spans="2:2" x14ac:dyDescent="0.25">
      <c r="B493" s="166"/>
    </row>
    <row r="494" spans="2:2" x14ac:dyDescent="0.25">
      <c r="B494" s="166"/>
    </row>
    <row r="495" spans="2:2" x14ac:dyDescent="0.25">
      <c r="B495" s="166"/>
    </row>
    <row r="496" spans="2:2" x14ac:dyDescent="0.25">
      <c r="B496" s="166"/>
    </row>
    <row r="497" spans="2:2" x14ac:dyDescent="0.25">
      <c r="B497" s="166"/>
    </row>
    <row r="498" spans="2:2" x14ac:dyDescent="0.25">
      <c r="B498" s="166"/>
    </row>
    <row r="499" spans="2:2" x14ac:dyDescent="0.25">
      <c r="B499" s="166"/>
    </row>
    <row r="500" spans="2:2" x14ac:dyDescent="0.25">
      <c r="B500" s="166"/>
    </row>
    <row r="501" spans="2:2" x14ac:dyDescent="0.25">
      <c r="B501" s="166"/>
    </row>
    <row r="502" spans="2:2" x14ac:dyDescent="0.25">
      <c r="B502" s="166"/>
    </row>
    <row r="503" spans="2:2" x14ac:dyDescent="0.25">
      <c r="B503" s="166"/>
    </row>
    <row r="504" spans="2:2" x14ac:dyDescent="0.25">
      <c r="B504" s="166"/>
    </row>
    <row r="505" spans="2:2" x14ac:dyDescent="0.25">
      <c r="B505" s="166"/>
    </row>
    <row r="506" spans="2:2" x14ac:dyDescent="0.25">
      <c r="B506" s="166"/>
    </row>
    <row r="507" spans="2:2" x14ac:dyDescent="0.25">
      <c r="B507" s="166"/>
    </row>
    <row r="508" spans="2:2" x14ac:dyDescent="0.25">
      <c r="B508" s="166"/>
    </row>
    <row r="509" spans="2:2" x14ac:dyDescent="0.25">
      <c r="B509" s="166"/>
    </row>
    <row r="510" spans="2:2" x14ac:dyDescent="0.25">
      <c r="B510" s="166"/>
    </row>
    <row r="511" spans="2:2" x14ac:dyDescent="0.25">
      <c r="B511" s="166"/>
    </row>
    <row r="512" spans="2:2" x14ac:dyDescent="0.25">
      <c r="B512" s="166"/>
    </row>
    <row r="513" spans="2:2" x14ac:dyDescent="0.25">
      <c r="B513" s="166"/>
    </row>
    <row r="514" spans="2:2" x14ac:dyDescent="0.25">
      <c r="B514" s="166"/>
    </row>
    <row r="515" spans="2:2" x14ac:dyDescent="0.25">
      <c r="B515" s="166"/>
    </row>
    <row r="516" spans="2:2" x14ac:dyDescent="0.25">
      <c r="B516" s="166"/>
    </row>
    <row r="517" spans="2:2" x14ac:dyDescent="0.25">
      <c r="B517" s="166"/>
    </row>
    <row r="518" spans="2:2" x14ac:dyDescent="0.25">
      <c r="B518" s="166"/>
    </row>
    <row r="519" spans="2:2" x14ac:dyDescent="0.25">
      <c r="B519" s="166"/>
    </row>
    <row r="520" spans="2:2" x14ac:dyDescent="0.25">
      <c r="B520" s="166"/>
    </row>
    <row r="521" spans="2:2" x14ac:dyDescent="0.25">
      <c r="B521" s="166"/>
    </row>
    <row r="522" spans="2:2" x14ac:dyDescent="0.25">
      <c r="B522" s="166"/>
    </row>
    <row r="523" spans="2:2" x14ac:dyDescent="0.25">
      <c r="B523" s="166"/>
    </row>
    <row r="524" spans="2:2" x14ac:dyDescent="0.25">
      <c r="B524" s="166"/>
    </row>
    <row r="525" spans="2:2" x14ac:dyDescent="0.25">
      <c r="B525" s="166"/>
    </row>
    <row r="526" spans="2:2" x14ac:dyDescent="0.25">
      <c r="B526" s="166"/>
    </row>
    <row r="527" spans="2:2" x14ac:dyDescent="0.25">
      <c r="B527" s="166"/>
    </row>
    <row r="528" spans="2:2" x14ac:dyDescent="0.25">
      <c r="B528" s="166"/>
    </row>
    <row r="529" spans="2:2" x14ac:dyDescent="0.25">
      <c r="B529" s="166"/>
    </row>
    <row r="530" spans="2:2" x14ac:dyDescent="0.25">
      <c r="B530" s="166"/>
    </row>
    <row r="531" spans="2:2" x14ac:dyDescent="0.25">
      <c r="B531" s="166"/>
    </row>
    <row r="532" spans="2:2" x14ac:dyDescent="0.25">
      <c r="B532" s="166"/>
    </row>
    <row r="533" spans="2:2" x14ac:dyDescent="0.25">
      <c r="B533" s="166"/>
    </row>
    <row r="534" spans="2:2" x14ac:dyDescent="0.25">
      <c r="B534" s="166"/>
    </row>
    <row r="535" spans="2:2" x14ac:dyDescent="0.25">
      <c r="B535" s="166"/>
    </row>
    <row r="536" spans="2:2" x14ac:dyDescent="0.25">
      <c r="B536" s="166"/>
    </row>
    <row r="537" spans="2:2" x14ac:dyDescent="0.25">
      <c r="B537" s="166"/>
    </row>
    <row r="538" spans="2:2" x14ac:dyDescent="0.25">
      <c r="B538" s="166"/>
    </row>
    <row r="539" spans="2:2" x14ac:dyDescent="0.25">
      <c r="B539" s="166"/>
    </row>
    <row r="540" spans="2:2" x14ac:dyDescent="0.25">
      <c r="B540" s="166"/>
    </row>
    <row r="541" spans="2:2" x14ac:dyDescent="0.25">
      <c r="B541" s="166"/>
    </row>
    <row r="542" spans="2:2" x14ac:dyDescent="0.25">
      <c r="B542" s="166"/>
    </row>
    <row r="543" spans="2:2" x14ac:dyDescent="0.25">
      <c r="B543" s="166"/>
    </row>
    <row r="544" spans="2:2" x14ac:dyDescent="0.25">
      <c r="B544" s="166"/>
    </row>
    <row r="545" spans="2:2" x14ac:dyDescent="0.25">
      <c r="B545" s="166"/>
    </row>
  </sheetData>
  <protectedRanges>
    <protectedRange sqref="B26:H26" name="Plage2"/>
    <protectedRange sqref="A379:A408 B11:B12 B28 B32 B36:B37 B41:B42 G41 B66:B67 B20:B21 D20:F20 B47:F49 B16:F17 B46:C46" name="Plage1"/>
    <protectedRange sqref="A70:A378" name="Plage1_3"/>
    <protectedRange sqref="B70:B378" name="Plage1_4"/>
    <protectedRange sqref="B5:B8" name="Plage1_1"/>
    <protectedRange sqref="B57:B58" name="Plage1_2"/>
    <protectedRange sqref="B59" name="Plage1_5"/>
  </protectedRanges>
  <sortState ref="A70:B378">
    <sortCondition ref="A70:A378"/>
  </sortState>
  <dataConsolidate/>
  <mergeCells count="5">
    <mergeCell ref="J24:K24"/>
    <mergeCell ref="J25:K26"/>
    <mergeCell ref="H15:J15"/>
    <mergeCell ref="H16:J16"/>
    <mergeCell ref="H17:J17"/>
  </mergeCells>
  <phoneticPr fontId="15"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1">
    <tabColor rgb="FF00B050"/>
  </sheetPr>
  <dimension ref="A1:I344"/>
  <sheetViews>
    <sheetView workbookViewId="0"/>
  </sheetViews>
  <sheetFormatPr baseColWidth="10" defaultColWidth="11" defaultRowHeight="15" x14ac:dyDescent="0.25"/>
  <cols>
    <col min="1" max="1" width="9.375" style="13" customWidth="1"/>
    <col min="2" max="2" width="22.25" style="13" customWidth="1"/>
    <col min="3" max="3" width="13.375" style="13" customWidth="1"/>
    <col min="4" max="4" width="11.125" style="13" bestFit="1" customWidth="1"/>
    <col min="5" max="5" width="13" style="13" customWidth="1"/>
    <col min="6" max="7" width="12.375" style="13" customWidth="1"/>
    <col min="8" max="9" width="13" style="13" bestFit="1" customWidth="1"/>
    <col min="10" max="10" width="3.5" style="13" customWidth="1"/>
    <col min="11" max="16384" width="11" style="13"/>
  </cols>
  <sheetData>
    <row r="1" spans="1:9" ht="21" x14ac:dyDescent="0.25">
      <c r="A1" s="51" t="s">
        <v>328</v>
      </c>
      <c r="B1" s="42"/>
      <c r="C1" s="71"/>
      <c r="D1" s="71"/>
      <c r="E1" s="71"/>
      <c r="F1" s="71"/>
      <c r="G1" s="71"/>
      <c r="H1" s="71"/>
      <c r="I1" s="71"/>
    </row>
    <row r="3" spans="1:9" x14ac:dyDescent="0.25">
      <c r="A3" s="125" t="s">
        <v>47</v>
      </c>
      <c r="B3" s="126"/>
      <c r="C3" s="127" t="s">
        <v>453</v>
      </c>
      <c r="D3" s="127" t="s">
        <v>409</v>
      </c>
      <c r="E3" s="71"/>
      <c r="F3" s="71"/>
      <c r="G3" s="71"/>
      <c r="H3" s="71"/>
      <c r="I3" s="71"/>
    </row>
    <row r="4" spans="1:9" x14ac:dyDescent="0.25">
      <c r="A4" s="78" t="s">
        <v>94</v>
      </c>
      <c r="B4" s="79"/>
      <c r="C4" s="11">
        <f>E325</f>
        <v>759987673.21164012</v>
      </c>
      <c r="D4" s="35"/>
      <c r="E4" s="71"/>
      <c r="F4" s="71"/>
      <c r="G4" s="71"/>
      <c r="H4" s="71"/>
      <c r="I4" s="71"/>
    </row>
    <row r="5" spans="1:9" x14ac:dyDescent="0.25">
      <c r="A5" s="84" t="s">
        <v>424</v>
      </c>
      <c r="B5" s="45"/>
      <c r="C5" s="10">
        <v>0</v>
      </c>
      <c r="D5" s="33">
        <f>C5/$C$325</f>
        <v>0</v>
      </c>
      <c r="E5" s="71"/>
      <c r="F5" s="71"/>
      <c r="G5" s="71"/>
      <c r="H5" s="71"/>
      <c r="I5" s="71"/>
    </row>
    <row r="6" spans="1:9" x14ac:dyDescent="0.25">
      <c r="A6" s="84" t="s">
        <v>423</v>
      </c>
      <c r="B6" s="45"/>
      <c r="C6" s="10">
        <f>Paramètres!B36</f>
        <v>-20671196.379975401</v>
      </c>
      <c r="D6" s="257">
        <f>C6/$C$325</f>
        <v>-0.54416966375838616</v>
      </c>
      <c r="E6" s="71"/>
      <c r="F6" s="71"/>
      <c r="G6" s="71"/>
      <c r="H6" s="71"/>
      <c r="I6" s="71"/>
    </row>
    <row r="7" spans="1:9" x14ac:dyDescent="0.25">
      <c r="A7" s="84" t="s">
        <v>95</v>
      </c>
      <c r="B7" s="45"/>
      <c r="C7" s="10">
        <f>'I) Dépenses thématiques'!O314</f>
        <v>-170940039.30213711</v>
      </c>
      <c r="D7" s="257">
        <f>C7/$C$325</f>
        <v>-4.4999999999999982</v>
      </c>
      <c r="E7" s="71"/>
      <c r="F7" s="71"/>
      <c r="G7" s="71"/>
      <c r="H7" s="71"/>
      <c r="I7" s="71"/>
    </row>
    <row r="8" spans="1:9" x14ac:dyDescent="0.25">
      <c r="A8" s="86" t="s">
        <v>278</v>
      </c>
      <c r="B8" s="115"/>
      <c r="C8" s="18">
        <f>Paramètres!B37</f>
        <v>-450000</v>
      </c>
      <c r="D8" s="257">
        <f>C8/$C$325</f>
        <v>-1.1846259122596811E-2</v>
      </c>
      <c r="E8" s="71"/>
      <c r="F8" s="71"/>
      <c r="G8" s="71"/>
      <c r="H8" s="71"/>
      <c r="I8" s="71"/>
    </row>
    <row r="9" spans="1:9" x14ac:dyDescent="0.25">
      <c r="A9" s="86" t="s">
        <v>357</v>
      </c>
      <c r="B9" s="115"/>
      <c r="C9" s="18">
        <f>SUM(C5:C8)</f>
        <v>-192061235.68211251</v>
      </c>
      <c r="D9" s="101">
        <f>SUM(D5:D8)</f>
        <v>-5.0560159228809809</v>
      </c>
      <c r="E9" s="71"/>
      <c r="F9" s="71"/>
      <c r="G9" s="71"/>
      <c r="H9" s="71"/>
      <c r="I9" s="71"/>
    </row>
    <row r="10" spans="1:9" x14ac:dyDescent="0.25">
      <c r="A10" s="78" t="s">
        <v>427</v>
      </c>
      <c r="B10" s="79"/>
      <c r="C10" s="18">
        <f>-SUM(C4:C8)</f>
        <v>-567926437.52952754</v>
      </c>
      <c r="D10" s="101">
        <f>C10/$C$325</f>
        <v>-14.950674981217942</v>
      </c>
      <c r="E10" s="71"/>
      <c r="F10" s="71"/>
      <c r="G10" s="71"/>
      <c r="H10" s="71"/>
      <c r="I10" s="71"/>
    </row>
    <row r="11" spans="1:9" x14ac:dyDescent="0.25">
      <c r="A11" s="78" t="s">
        <v>356</v>
      </c>
      <c r="B11" s="80"/>
      <c r="C11" s="18">
        <f>C9+C10</f>
        <v>-759987673.21164012</v>
      </c>
      <c r="D11" s="101">
        <f>D10+D9</f>
        <v>-20.006690904098924</v>
      </c>
      <c r="E11" s="71"/>
      <c r="F11" s="71"/>
      <c r="G11" s="71"/>
      <c r="H11" s="71"/>
      <c r="I11" s="71"/>
    </row>
    <row r="14" spans="1:9" ht="60" customHeight="1" x14ac:dyDescent="0.25">
      <c r="A14" s="559" t="s">
        <v>46</v>
      </c>
      <c r="B14" s="559" t="s">
        <v>96</v>
      </c>
      <c r="C14" s="577" t="s">
        <v>545</v>
      </c>
      <c r="D14" s="577" t="s">
        <v>304</v>
      </c>
      <c r="E14" s="67" t="s">
        <v>94</v>
      </c>
      <c r="F14" s="67" t="s">
        <v>355</v>
      </c>
      <c r="G14" s="67" t="s">
        <v>426</v>
      </c>
      <c r="H14" s="67" t="s">
        <v>296</v>
      </c>
      <c r="I14" s="64" t="s">
        <v>408</v>
      </c>
    </row>
    <row r="15" spans="1:9" x14ac:dyDescent="0.25">
      <c r="A15" s="560"/>
      <c r="B15" s="560"/>
      <c r="C15" s="577"/>
      <c r="D15" s="577"/>
      <c r="E15" s="380">
        <f>-D9+F15+G15</f>
        <v>20.006690904098928</v>
      </c>
      <c r="F15" s="381">
        <f>F325/C325</f>
        <v>11.308776952225529</v>
      </c>
      <c r="G15" s="381">
        <f>G325/C325</f>
        <v>3.6418980289924194</v>
      </c>
      <c r="H15" s="381"/>
      <c r="I15" s="146"/>
    </row>
    <row r="16" spans="1:9" x14ac:dyDescent="0.25">
      <c r="A16" s="46">
        <f>'A) Base RI'!A7</f>
        <v>5401</v>
      </c>
      <c r="B16" s="291" t="str">
        <f>'A) Base RI'!B7</f>
        <v>Aigle</v>
      </c>
      <c r="C16" s="31">
        <f>'D) Ecrêtage'!C5</f>
        <v>277789.63254320994</v>
      </c>
      <c r="D16" s="14">
        <f>'A) Base RI'!AO7</f>
        <v>10217</v>
      </c>
      <c r="E16" s="10">
        <f>C16*E$15</f>
        <v>5557651.314655222</v>
      </c>
      <c r="F16" s="14">
        <f>'F) Population'!K8</f>
        <v>5285905.9859154932</v>
      </c>
      <c r="G16" s="10">
        <f>'G) Solidarité'!I5</f>
        <v>3674470.9432797791</v>
      </c>
      <c r="H16" s="14">
        <f>F16+G16</f>
        <v>8960376.9291952718</v>
      </c>
      <c r="I16" s="57">
        <f>E16-H16</f>
        <v>-3402725.6145400498</v>
      </c>
    </row>
    <row r="17" spans="1:9" x14ac:dyDescent="0.25">
      <c r="A17" s="49">
        <f>'A) Base RI'!A8</f>
        <v>5402</v>
      </c>
      <c r="B17" s="32" t="str">
        <f>'A) Base RI'!B8</f>
        <v>Bex</v>
      </c>
      <c r="C17" s="31">
        <f>'D) Ecrêtage'!C6</f>
        <v>185729.53788732394</v>
      </c>
      <c r="D17" s="14">
        <f>'A) Base RI'!AO8</f>
        <v>7869</v>
      </c>
      <c r="E17" s="10">
        <f t="shared" ref="E17:E80" si="0">C17*E$15</f>
        <v>3715833.4562728209</v>
      </c>
      <c r="F17" s="14">
        <f>'F) Population'!K9</f>
        <v>3564239.0342052313</v>
      </c>
      <c r="G17" s="10">
        <f>'G) Solidarité'!I6</f>
        <v>3694385.7210164065</v>
      </c>
      <c r="H17" s="14">
        <f t="shared" ref="H17:H80" si="1">F17+G17</f>
        <v>7258624.7552216379</v>
      </c>
      <c r="I17" s="57">
        <f t="shared" ref="I17:I80" si="2">E17-H17</f>
        <v>-3542791.298948817</v>
      </c>
    </row>
    <row r="18" spans="1:9" x14ac:dyDescent="0.25">
      <c r="A18" s="49">
        <f>'A) Base RI'!A9</f>
        <v>5403</v>
      </c>
      <c r="B18" s="32" t="str">
        <f>'A) Base RI'!B9</f>
        <v>Chessel</v>
      </c>
      <c r="C18" s="31">
        <f>'D) Ecrêtage'!C7</f>
        <v>10653.993243243245</v>
      </c>
      <c r="D18" s="14">
        <f>'A) Base RI'!AO9</f>
        <v>429</v>
      </c>
      <c r="E18" s="10">
        <f t="shared" si="0"/>
        <v>213151.14971192606</v>
      </c>
      <c r="F18" s="14">
        <f>'F) Population'!K10</f>
        <v>53894.743460764585</v>
      </c>
      <c r="G18" s="10">
        <f>'G) Solidarité'!I7</f>
        <v>207332.0998864453</v>
      </c>
      <c r="H18" s="14">
        <f t="shared" si="1"/>
        <v>261226.84334720988</v>
      </c>
      <c r="I18" s="57">
        <f t="shared" si="2"/>
        <v>-48075.693635283824</v>
      </c>
    </row>
    <row r="19" spans="1:9" x14ac:dyDescent="0.25">
      <c r="A19" s="49">
        <f>'A) Base RI'!A10</f>
        <v>5404</v>
      </c>
      <c r="B19" s="32" t="str">
        <f>'A) Base RI'!B10</f>
        <v>Corbeyrier</v>
      </c>
      <c r="C19" s="31">
        <f>'D) Ecrêtage'!C8</f>
        <v>14595.552612612611</v>
      </c>
      <c r="D19" s="14">
        <f>'A) Base RI'!AO10</f>
        <v>437</v>
      </c>
      <c r="E19" s="10">
        <f t="shared" si="0"/>
        <v>292008.7096950541</v>
      </c>
      <c r="F19" s="14">
        <f>'F) Population'!K11</f>
        <v>54899.773641851105</v>
      </c>
      <c r="G19" s="10">
        <f>'G) Solidarité'!I8</f>
        <v>130046.14255411013</v>
      </c>
      <c r="H19" s="14">
        <f t="shared" si="1"/>
        <v>184945.91619596124</v>
      </c>
      <c r="I19" s="57">
        <f t="shared" si="2"/>
        <v>107062.79349909286</v>
      </c>
    </row>
    <row r="20" spans="1:9" x14ac:dyDescent="0.25">
      <c r="A20" s="49">
        <f>'A) Base RI'!A11</f>
        <v>5405</v>
      </c>
      <c r="B20" s="32" t="str">
        <f>'A) Base RI'!B11</f>
        <v>Gryon</v>
      </c>
      <c r="C20" s="31">
        <f>'D) Ecrêtage'!C9</f>
        <v>65705.555822222203</v>
      </c>
      <c r="D20" s="14">
        <f>'A) Base RI'!AO11</f>
        <v>1347</v>
      </c>
      <c r="E20" s="10">
        <f t="shared" si="0"/>
        <v>1314550.7460172174</v>
      </c>
      <c r="F20" s="14">
        <f>'F) Population'!K12</f>
        <v>247689.6881287726</v>
      </c>
      <c r="G20" s="10">
        <f>'G) Solidarité'!I9</f>
        <v>0</v>
      </c>
      <c r="H20" s="14">
        <f t="shared" si="1"/>
        <v>247689.6881287726</v>
      </c>
      <c r="I20" s="57">
        <f t="shared" si="2"/>
        <v>1066861.0578884447</v>
      </c>
    </row>
    <row r="21" spans="1:9" x14ac:dyDescent="0.25">
      <c r="A21" s="49">
        <f>'A) Base RI'!A12</f>
        <v>5406</v>
      </c>
      <c r="B21" s="32" t="str">
        <f>'A) Base RI'!B12</f>
        <v>Lavey-Morcles</v>
      </c>
      <c r="C21" s="31">
        <f>'D) Ecrêtage'!C10</f>
        <v>24857.219750812561</v>
      </c>
      <c r="D21" s="14">
        <f>'A) Base RI'!AO12</f>
        <v>931</v>
      </c>
      <c r="E21" s="10">
        <f t="shared" si="0"/>
        <v>497310.7122897699</v>
      </c>
      <c r="F21" s="14">
        <f>'F) Population'!K13</f>
        <v>116960.38732394365</v>
      </c>
      <c r="G21" s="10">
        <f>'G) Solidarité'!I10</f>
        <v>379546.15619478479</v>
      </c>
      <c r="H21" s="14">
        <f t="shared" si="1"/>
        <v>496506.54351872846</v>
      </c>
      <c r="I21" s="57">
        <f t="shared" si="2"/>
        <v>804.16877104144078</v>
      </c>
    </row>
    <row r="22" spans="1:9" x14ac:dyDescent="0.25">
      <c r="A22" s="49">
        <f>'A) Base RI'!A13</f>
        <v>5407</v>
      </c>
      <c r="B22" s="32" t="str">
        <f>'A) Base RI'!B13</f>
        <v>Leysin</v>
      </c>
      <c r="C22" s="31">
        <f>'D) Ecrêtage'!C11</f>
        <v>90593.766196581171</v>
      </c>
      <c r="D22" s="14">
        <f>'A) Base RI'!AO13</f>
        <v>3776</v>
      </c>
      <c r="E22" s="10">
        <f t="shared" si="0"/>
        <v>1812481.4781332056</v>
      </c>
      <c r="F22" s="14">
        <f>'F) Population'!K14</f>
        <v>1219101.6096579477</v>
      </c>
      <c r="G22" s="10">
        <f>'G) Solidarité'!I11</f>
        <v>2104161.8730292185</v>
      </c>
      <c r="H22" s="14">
        <f t="shared" si="1"/>
        <v>3323263.482687166</v>
      </c>
      <c r="I22" s="57">
        <f t="shared" si="2"/>
        <v>-1510782.0045539604</v>
      </c>
    </row>
    <row r="23" spans="1:9" x14ac:dyDescent="0.25">
      <c r="A23" s="49">
        <f>'A) Base RI'!A14</f>
        <v>5408</v>
      </c>
      <c r="B23" s="32" t="str">
        <f>'A) Base RI'!B14</f>
        <v>Noville</v>
      </c>
      <c r="C23" s="31">
        <f>'D) Ecrêtage'!C12</f>
        <v>28671.623864118894</v>
      </c>
      <c r="D23" s="14">
        <f>'A) Base RI'!AO14</f>
        <v>1167</v>
      </c>
      <c r="E23" s="10">
        <f t="shared" si="0"/>
        <v>573624.31636801327</v>
      </c>
      <c r="F23" s="14">
        <f>'F) Population'!K15</f>
        <v>184372.78672032192</v>
      </c>
      <c r="G23" s="10">
        <f>'G) Solidarité'!I12</f>
        <v>642250.68859640148</v>
      </c>
      <c r="H23" s="14">
        <f t="shared" si="1"/>
        <v>826623.47531672334</v>
      </c>
      <c r="I23" s="57">
        <f t="shared" si="2"/>
        <v>-252999.15894871007</v>
      </c>
    </row>
    <row r="24" spans="1:9" x14ac:dyDescent="0.25">
      <c r="A24" s="49">
        <f>'A) Base RI'!A15</f>
        <v>5409</v>
      </c>
      <c r="B24" s="32" t="str">
        <f>'A) Base RI'!B15</f>
        <v>Ollon</v>
      </c>
      <c r="C24" s="31">
        <f>'D) Ecrêtage'!C13</f>
        <v>399776.03154977376</v>
      </c>
      <c r="D24" s="14">
        <f>'A) Base RI'!AO15</f>
        <v>7560</v>
      </c>
      <c r="E24" s="10">
        <f t="shared" si="0"/>
        <v>7998195.4940836243</v>
      </c>
      <c r="F24" s="14">
        <f>'F) Population'!K16</f>
        <v>3377906.4386317907</v>
      </c>
      <c r="G24" s="10">
        <f>'G) Solidarité'!I13</f>
        <v>0</v>
      </c>
      <c r="H24" s="14">
        <f t="shared" si="1"/>
        <v>3377906.4386317907</v>
      </c>
      <c r="I24" s="57">
        <f t="shared" si="2"/>
        <v>4620289.0554518336</v>
      </c>
    </row>
    <row r="25" spans="1:9" x14ac:dyDescent="0.25">
      <c r="A25" s="49">
        <f>'A) Base RI'!A16</f>
        <v>5410</v>
      </c>
      <c r="B25" s="32" t="str">
        <f>'A) Base RI'!B16</f>
        <v>Ormont-Dessous</v>
      </c>
      <c r="C25" s="31">
        <f>'D) Ecrêtage'!C14</f>
        <v>38431.903864118896</v>
      </c>
      <c r="D25" s="14">
        <f>'A) Base RI'!AO16</f>
        <v>1141</v>
      </c>
      <c r="E25" s="10">
        <f t="shared" si="0"/>
        <v>768895.22146547202</v>
      </c>
      <c r="F25" s="14">
        <f>'F) Population'!K17</f>
        <v>175227.01207243459</v>
      </c>
      <c r="G25" s="10">
        <f>'G) Solidarité'!I14</f>
        <v>374215.95496111031</v>
      </c>
      <c r="H25" s="14">
        <f t="shared" si="1"/>
        <v>549442.9670335449</v>
      </c>
      <c r="I25" s="57">
        <f t="shared" si="2"/>
        <v>219452.25443192711</v>
      </c>
    </row>
    <row r="26" spans="1:9" x14ac:dyDescent="0.25">
      <c r="A26" s="49">
        <f>'A) Base RI'!A17</f>
        <v>5411</v>
      </c>
      <c r="B26" s="32" t="str">
        <f>'A) Base RI'!B17</f>
        <v>Ormont-Dessus</v>
      </c>
      <c r="C26" s="31">
        <f>'D) Ecrêtage'!C15</f>
        <v>73250.08368421052</v>
      </c>
      <c r="D26" s="14">
        <f>'A) Base RI'!AO17</f>
        <v>1434</v>
      </c>
      <c r="E26" s="10">
        <f t="shared" si="0"/>
        <v>1465491.7829693798</v>
      </c>
      <c r="F26" s="14">
        <f>'F) Population'!K18</f>
        <v>278292.85714285716</v>
      </c>
      <c r="G26" s="10">
        <f>'G) Solidarité'!I15</f>
        <v>0</v>
      </c>
      <c r="H26" s="14">
        <f t="shared" si="1"/>
        <v>278292.85714285716</v>
      </c>
      <c r="I26" s="57">
        <f t="shared" si="2"/>
        <v>1187198.9258265225</v>
      </c>
    </row>
    <row r="27" spans="1:9" x14ac:dyDescent="0.25">
      <c r="A27" s="49">
        <f>'A) Base RI'!A18</f>
        <v>5412</v>
      </c>
      <c r="B27" s="32" t="str">
        <f>'A) Base RI'!B18</f>
        <v>Rennaz</v>
      </c>
      <c r="C27" s="31">
        <f>'D) Ecrêtage'!C16</f>
        <v>24302.490518518523</v>
      </c>
      <c r="D27" s="14">
        <f>'A) Base RI'!AO18</f>
        <v>871</v>
      </c>
      <c r="E27" s="10">
        <f t="shared" si="0"/>
        <v>486212.41600379499</v>
      </c>
      <c r="F27" s="14">
        <f>'F) Population'!K19</f>
        <v>109422.66096579477</v>
      </c>
      <c r="G27" s="10">
        <f>'G) Solidarité'!I16</f>
        <v>302047.75764106819</v>
      </c>
      <c r="H27" s="14">
        <f t="shared" si="1"/>
        <v>411470.41860686295</v>
      </c>
      <c r="I27" s="57">
        <f t="shared" si="2"/>
        <v>74741.997396932042</v>
      </c>
    </row>
    <row r="28" spans="1:9" x14ac:dyDescent="0.25">
      <c r="A28" s="49">
        <f>'A) Base RI'!A19</f>
        <v>5413</v>
      </c>
      <c r="B28" s="32" t="str">
        <f>'A) Base RI'!B19</f>
        <v>Roche</v>
      </c>
      <c r="C28" s="31">
        <f>'D) Ecrêtage'!C17</f>
        <v>45084.327818627447</v>
      </c>
      <c r="D28" s="14">
        <f>'A) Base RI'!AO19</f>
        <v>1826</v>
      </c>
      <c r="E28" s="10">
        <f t="shared" si="0"/>
        <v>901988.21128634806</v>
      </c>
      <c r="F28" s="14">
        <f>'F) Population'!K20</f>
        <v>416182.99798792752</v>
      </c>
      <c r="G28" s="10">
        <f>'G) Solidarité'!I17</f>
        <v>750008.64673991431</v>
      </c>
      <c r="H28" s="14">
        <f t="shared" si="1"/>
        <v>1166191.644727842</v>
      </c>
      <c r="I28" s="57">
        <f t="shared" si="2"/>
        <v>-264203.43344149389</v>
      </c>
    </row>
    <row r="29" spans="1:9" x14ac:dyDescent="0.25">
      <c r="A29" s="49">
        <f>'A) Base RI'!A20</f>
        <v>5414</v>
      </c>
      <c r="B29" s="32" t="str">
        <f>'A) Base RI'!B20</f>
        <v>Villeneuve</v>
      </c>
      <c r="C29" s="31">
        <f>'D) Ecrêtage'!C18</f>
        <v>167595.35260869566</v>
      </c>
      <c r="D29" s="14">
        <f>'A) Base RI'!AO20</f>
        <v>5772</v>
      </c>
      <c r="E29" s="10">
        <f t="shared" si="0"/>
        <v>3353028.4166056439</v>
      </c>
      <c r="F29" s="14">
        <f>'F) Population'!K21</f>
        <v>2299710.0603621732</v>
      </c>
      <c r="G29" s="10">
        <f>'G) Solidarité'!I18</f>
        <v>1968182.2964299349</v>
      </c>
      <c r="H29" s="14">
        <f t="shared" si="1"/>
        <v>4267892.3567921082</v>
      </c>
      <c r="I29" s="57">
        <f t="shared" si="2"/>
        <v>-914863.94018646423</v>
      </c>
    </row>
    <row r="30" spans="1:9" x14ac:dyDescent="0.25">
      <c r="A30" s="49">
        <f>'A) Base RI'!A21</f>
        <v>5415</v>
      </c>
      <c r="B30" s="32" t="str">
        <f>'A) Base RI'!B21</f>
        <v>Yvorne</v>
      </c>
      <c r="C30" s="31">
        <f>'D) Ecrêtage'!C19</f>
        <v>39170.690675990678</v>
      </c>
      <c r="D30" s="14">
        <f>'A) Base RI'!AO21</f>
        <v>1071</v>
      </c>
      <c r="E30" s="10">
        <f t="shared" si="0"/>
        <v>783675.90085461538</v>
      </c>
      <c r="F30" s="14">
        <f>'F) Population'!K22</f>
        <v>150603.77263581488</v>
      </c>
      <c r="G30" s="10">
        <f>'G) Solidarité'!I19</f>
        <v>228726.94348285705</v>
      </c>
      <c r="H30" s="14">
        <f t="shared" si="1"/>
        <v>379330.71611867193</v>
      </c>
      <c r="I30" s="57">
        <f t="shared" si="2"/>
        <v>404345.18473594345</v>
      </c>
    </row>
    <row r="31" spans="1:9" x14ac:dyDescent="0.25">
      <c r="A31" s="49">
        <f>'A) Base RI'!A22</f>
        <v>5421</v>
      </c>
      <c r="B31" s="32" t="str">
        <f>'A) Base RI'!B22</f>
        <v>Apples</v>
      </c>
      <c r="C31" s="31">
        <f>'D) Ecrêtage'!C20</f>
        <v>70612.156710526324</v>
      </c>
      <c r="D31" s="14">
        <f>'A) Base RI'!AO22</f>
        <v>1460</v>
      </c>
      <c r="E31" s="10">
        <f t="shared" si="0"/>
        <v>1412715.5933792952</v>
      </c>
      <c r="F31" s="14">
        <f>'F) Population'!K23</f>
        <v>287438.63179074443</v>
      </c>
      <c r="G31" s="10">
        <f>'G) Solidarité'!I20</f>
        <v>0</v>
      </c>
      <c r="H31" s="14">
        <f t="shared" si="1"/>
        <v>287438.63179074443</v>
      </c>
      <c r="I31" s="57">
        <f t="shared" si="2"/>
        <v>1125276.9615885508</v>
      </c>
    </row>
    <row r="32" spans="1:9" x14ac:dyDescent="0.25">
      <c r="A32" s="49">
        <f>'A) Base RI'!A23</f>
        <v>5422</v>
      </c>
      <c r="B32" s="32" t="str">
        <f>'A) Base RI'!B23</f>
        <v>Aubonne</v>
      </c>
      <c r="C32" s="31">
        <f>'D) Ecrêtage'!C21</f>
        <v>231171.83385714272</v>
      </c>
      <c r="D32" s="14">
        <f>'A) Base RI'!AO23</f>
        <v>3276</v>
      </c>
      <c r="E32" s="10">
        <f t="shared" si="0"/>
        <v>4624983.4257135661</v>
      </c>
      <c r="F32" s="14">
        <f>'F) Population'!K24</f>
        <v>967844.06438631786</v>
      </c>
      <c r="G32" s="10">
        <f>'G) Solidarité'!I21</f>
        <v>0</v>
      </c>
      <c r="H32" s="14">
        <f t="shared" si="1"/>
        <v>967844.06438631786</v>
      </c>
      <c r="I32" s="57">
        <f t="shared" si="2"/>
        <v>3657139.3613272482</v>
      </c>
    </row>
    <row r="33" spans="1:9" x14ac:dyDescent="0.25">
      <c r="A33" s="49">
        <f>'A) Base RI'!A24</f>
        <v>5423</v>
      </c>
      <c r="B33" s="32" t="str">
        <f>'A) Base RI'!B24</f>
        <v>Ballens</v>
      </c>
      <c r="C33" s="31">
        <f>'D) Ecrêtage'!C22</f>
        <v>16262.42684931507</v>
      </c>
      <c r="D33" s="14">
        <f>'A) Base RI'!AO24</f>
        <v>545</v>
      </c>
      <c r="E33" s="10">
        <f t="shared" si="0"/>
        <v>325357.34732476599</v>
      </c>
      <c r="F33" s="14">
        <f>'F) Population'!K25</f>
        <v>68467.681086519107</v>
      </c>
      <c r="G33" s="10">
        <f>'G) Solidarité'!I22</f>
        <v>198770.95897193946</v>
      </c>
      <c r="H33" s="14">
        <f t="shared" si="1"/>
        <v>267238.64005845855</v>
      </c>
      <c r="I33" s="57">
        <f t="shared" si="2"/>
        <v>58118.707266307436</v>
      </c>
    </row>
    <row r="34" spans="1:9" x14ac:dyDescent="0.25">
      <c r="A34" s="49">
        <f>'A) Base RI'!A25</f>
        <v>5424</v>
      </c>
      <c r="B34" s="32" t="str">
        <f>'A) Base RI'!B25</f>
        <v>Berolle</v>
      </c>
      <c r="C34" s="31">
        <f>'D) Ecrêtage'!C23</f>
        <v>9281.7425974025955</v>
      </c>
      <c r="D34" s="14">
        <f>'A) Base RI'!AO25</f>
        <v>300</v>
      </c>
      <c r="E34" s="10">
        <f t="shared" si="0"/>
        <v>185696.95519764206</v>
      </c>
      <c r="F34" s="14">
        <f>'F) Population'!K26</f>
        <v>37688.631790744468</v>
      </c>
      <c r="G34" s="10">
        <f>'G) Solidarité'!I23</f>
        <v>113988.77485744761</v>
      </c>
      <c r="H34" s="14">
        <f t="shared" si="1"/>
        <v>151677.40664819209</v>
      </c>
      <c r="I34" s="57">
        <f t="shared" si="2"/>
        <v>34019.548549449974</v>
      </c>
    </row>
    <row r="35" spans="1:9" x14ac:dyDescent="0.25">
      <c r="A35" s="49">
        <f>'A) Base RI'!A26</f>
        <v>5425</v>
      </c>
      <c r="B35" s="32" t="str">
        <f>'A) Base RI'!B26</f>
        <v>Bière</v>
      </c>
      <c r="C35" s="31">
        <f>'D) Ecrêtage'!C24</f>
        <v>39522.239817733993</v>
      </c>
      <c r="D35" s="14">
        <f>'A) Base RI'!AO26</f>
        <v>1596</v>
      </c>
      <c r="E35" s="10">
        <f t="shared" si="0"/>
        <v>790709.23587107519</v>
      </c>
      <c r="F35" s="14">
        <f>'F) Population'!K27</f>
        <v>335278.06841046276</v>
      </c>
      <c r="G35" s="10">
        <f>'G) Solidarité'!I24</f>
        <v>692403.60003840912</v>
      </c>
      <c r="H35" s="14">
        <f t="shared" si="1"/>
        <v>1027681.6684488719</v>
      </c>
      <c r="I35" s="57">
        <f t="shared" si="2"/>
        <v>-236972.43257779675</v>
      </c>
    </row>
    <row r="36" spans="1:9" x14ac:dyDescent="0.25">
      <c r="A36" s="49">
        <f>'A) Base RI'!A27</f>
        <v>5426</v>
      </c>
      <c r="B36" s="32" t="str">
        <f>'A) Base RI'!B27</f>
        <v>Bougy-Villars</v>
      </c>
      <c r="C36" s="31">
        <f>'D) Ecrêtage'!C25</f>
        <v>52073.160505050502</v>
      </c>
      <c r="D36" s="14">
        <f>'A) Base RI'!AO27</f>
        <v>475</v>
      </c>
      <c r="E36" s="10">
        <f t="shared" si="0"/>
        <v>1041811.6266240774</v>
      </c>
      <c r="F36" s="14">
        <f>'F) Population'!K28</f>
        <v>59673.667002012073</v>
      </c>
      <c r="G36" s="10">
        <f>'G) Solidarité'!I25</f>
        <v>0</v>
      </c>
      <c r="H36" s="14">
        <f t="shared" si="1"/>
        <v>59673.667002012073</v>
      </c>
      <c r="I36" s="57">
        <f t="shared" si="2"/>
        <v>982137.95962206542</v>
      </c>
    </row>
    <row r="37" spans="1:9" x14ac:dyDescent="0.25">
      <c r="A37" s="49">
        <f>'A) Base RI'!A28</f>
        <v>5427</v>
      </c>
      <c r="B37" s="32" t="str">
        <f>'A) Base RI'!B28</f>
        <v>Féchy</v>
      </c>
      <c r="C37" s="31">
        <f>'D) Ecrêtage'!C26</f>
        <v>86749.440144230772</v>
      </c>
      <c r="D37" s="14">
        <f>'A) Base RI'!AO28</f>
        <v>861</v>
      </c>
      <c r="E37" s="10">
        <f t="shared" si="0"/>
        <v>1735569.2350692563</v>
      </c>
      <c r="F37" s="14">
        <f>'F) Population'!K29</f>
        <v>108166.37323943661</v>
      </c>
      <c r="G37" s="10">
        <f>'G) Solidarité'!I26</f>
        <v>0</v>
      </c>
      <c r="H37" s="14">
        <f t="shared" si="1"/>
        <v>108166.37323943661</v>
      </c>
      <c r="I37" s="57">
        <f t="shared" si="2"/>
        <v>1627402.8618298196</v>
      </c>
    </row>
    <row r="38" spans="1:9" x14ac:dyDescent="0.25">
      <c r="A38" s="49">
        <f>'A) Base RI'!A29</f>
        <v>5428</v>
      </c>
      <c r="B38" s="32" t="str">
        <f>'A) Base RI'!B29</f>
        <v>Gimel</v>
      </c>
      <c r="C38" s="31">
        <f>'D) Ecrêtage'!C27</f>
        <v>66171.009865771834</v>
      </c>
      <c r="D38" s="14">
        <f>'A) Base RI'!AO29</f>
        <v>2238</v>
      </c>
      <c r="E38" s="10">
        <f t="shared" si="0"/>
        <v>1323862.9411965779</v>
      </c>
      <c r="F38" s="14">
        <f>'F) Population'!K30</f>
        <v>561108.35010060354</v>
      </c>
      <c r="G38" s="10">
        <f>'G) Solidarité'!I27</f>
        <v>863517.60784064233</v>
      </c>
      <c r="H38" s="14">
        <f t="shared" si="1"/>
        <v>1424625.9579412458</v>
      </c>
      <c r="I38" s="57">
        <f t="shared" si="2"/>
        <v>-100763.0167446679</v>
      </c>
    </row>
    <row r="39" spans="1:9" x14ac:dyDescent="0.25">
      <c r="A39" s="49">
        <f>'A) Base RI'!A30</f>
        <v>5429</v>
      </c>
      <c r="B39" s="32" t="str">
        <f>'A) Base RI'!B30</f>
        <v>Longirod</v>
      </c>
      <c r="C39" s="31">
        <f>'D) Ecrêtage'!C28</f>
        <v>15311.416666666666</v>
      </c>
      <c r="D39" s="14">
        <f>'A) Base RI'!AO30</f>
        <v>482</v>
      </c>
      <c r="E39" s="10">
        <f t="shared" si="0"/>
        <v>306330.78055386874</v>
      </c>
      <c r="F39" s="14">
        <f>'F) Population'!K31</f>
        <v>60553.068410462773</v>
      </c>
      <c r="G39" s="10">
        <f>'G) Solidarité'!I28</f>
        <v>192305.30584834106</v>
      </c>
      <c r="H39" s="14">
        <f t="shared" si="1"/>
        <v>252858.37425880384</v>
      </c>
      <c r="I39" s="57">
        <f t="shared" si="2"/>
        <v>53472.406295064895</v>
      </c>
    </row>
    <row r="40" spans="1:9" x14ac:dyDescent="0.25">
      <c r="A40" s="49">
        <f>'A) Base RI'!A31</f>
        <v>5430</v>
      </c>
      <c r="B40" s="32" t="str">
        <f>'A) Base RI'!B31</f>
        <v>Marchissy</v>
      </c>
      <c r="C40" s="31">
        <f>'D) Ecrêtage'!C29</f>
        <v>14827.393037974683</v>
      </c>
      <c r="D40" s="14">
        <f>'A) Base RI'!AO31</f>
        <v>472</v>
      </c>
      <c r="E40" s="10">
        <f t="shared" si="0"/>
        <v>296647.06942434789</v>
      </c>
      <c r="F40" s="14">
        <f>'F) Population'!K32</f>
        <v>59296.780684104626</v>
      </c>
      <c r="G40" s="10">
        <f>'G) Solidarité'!I29</f>
        <v>183241.70235375708</v>
      </c>
      <c r="H40" s="14">
        <f t="shared" si="1"/>
        <v>242538.4830378617</v>
      </c>
      <c r="I40" s="57">
        <f t="shared" si="2"/>
        <v>54108.586386486189</v>
      </c>
    </row>
    <row r="41" spans="1:9" x14ac:dyDescent="0.25">
      <c r="A41" s="49">
        <f>'A) Base RI'!A32</f>
        <v>5431</v>
      </c>
      <c r="B41" s="32" t="str">
        <f>'A) Base RI'!B32</f>
        <v>Mollens</v>
      </c>
      <c r="C41" s="31">
        <f>'D) Ecrêtage'!C30</f>
        <v>10626.755405405405</v>
      </c>
      <c r="D41" s="14">
        <f>'A) Base RI'!AO32</f>
        <v>308</v>
      </c>
      <c r="E41" s="10">
        <f t="shared" si="0"/>
        <v>212606.21070940845</v>
      </c>
      <c r="F41" s="14">
        <f>'F) Population'!K33</f>
        <v>38693.661971830981</v>
      </c>
      <c r="G41" s="10">
        <f>'G) Solidarité'!I30</f>
        <v>84291.297304502063</v>
      </c>
      <c r="H41" s="14">
        <f t="shared" si="1"/>
        <v>122984.95927633304</v>
      </c>
      <c r="I41" s="57">
        <f t="shared" si="2"/>
        <v>89621.251433075406</v>
      </c>
    </row>
    <row r="42" spans="1:9" x14ac:dyDescent="0.25">
      <c r="A42" s="49">
        <f>'A) Base RI'!A33</f>
        <v>5432</v>
      </c>
      <c r="B42" s="32" t="str">
        <f>'A) Base RI'!B33</f>
        <v>Montherod</v>
      </c>
      <c r="C42" s="31">
        <f>'D) Ecrêtage'!C31</f>
        <v>16078.014230769231</v>
      </c>
      <c r="D42" s="14">
        <f>'A) Base RI'!AO33</f>
        <v>541</v>
      </c>
      <c r="E42" s="10">
        <f t="shared" si="0"/>
        <v>321667.86106670392</v>
      </c>
      <c r="F42" s="14">
        <f>'F) Population'!K34</f>
        <v>67965.165995975854</v>
      </c>
      <c r="G42" s="10">
        <f>'G) Solidarité'!I31</f>
        <v>226833.91920999438</v>
      </c>
      <c r="H42" s="14">
        <f t="shared" si="1"/>
        <v>294799.08520597022</v>
      </c>
      <c r="I42" s="57">
        <f t="shared" si="2"/>
        <v>26868.775860733702</v>
      </c>
    </row>
    <row r="43" spans="1:9" x14ac:dyDescent="0.25">
      <c r="A43" s="49">
        <f>'A) Base RI'!A34</f>
        <v>5434</v>
      </c>
      <c r="B43" s="32" t="str">
        <f>'A) Base RI'!B34</f>
        <v>Saint-George</v>
      </c>
      <c r="C43" s="31">
        <f>'D) Ecrêtage'!C32</f>
        <v>39905.96180751174</v>
      </c>
      <c r="D43" s="14">
        <f>'A) Base RI'!AO34</f>
        <v>1063</v>
      </c>
      <c r="E43" s="10">
        <f t="shared" si="0"/>
        <v>798386.24311366433</v>
      </c>
      <c r="F43" s="14">
        <f>'F) Population'!K35</f>
        <v>147789.68812877263</v>
      </c>
      <c r="G43" s="10">
        <f>'G) Solidarité'!I32</f>
        <v>203338.91735948957</v>
      </c>
      <c r="H43" s="14">
        <f t="shared" si="1"/>
        <v>351128.6054882622</v>
      </c>
      <c r="I43" s="57">
        <f t="shared" si="2"/>
        <v>447257.63762540213</v>
      </c>
    </row>
    <row r="44" spans="1:9" x14ac:dyDescent="0.25">
      <c r="A44" s="49">
        <f>'A) Base RI'!A35</f>
        <v>5435</v>
      </c>
      <c r="B44" s="32" t="str">
        <f>'A) Base RI'!B35</f>
        <v>Saint-Livres</v>
      </c>
      <c r="C44" s="31">
        <f>'D) Ecrêtage'!C33</f>
        <v>24331.716956521734</v>
      </c>
      <c r="D44" s="14">
        <f>'A) Base RI'!AO35</f>
        <v>691</v>
      </c>
      <c r="E44" s="10">
        <f t="shared" si="0"/>
        <v>486797.140315153</v>
      </c>
      <c r="F44" s="14">
        <f>'F) Population'!K36</f>
        <v>86809.481891348085</v>
      </c>
      <c r="G44" s="10">
        <f>'G) Solidarité'!I33</f>
        <v>155169.55368841003</v>
      </c>
      <c r="H44" s="14">
        <f t="shared" si="1"/>
        <v>241979.03557975811</v>
      </c>
      <c r="I44" s="57">
        <f t="shared" si="2"/>
        <v>244818.10473539488</v>
      </c>
    </row>
    <row r="45" spans="1:9" x14ac:dyDescent="0.25">
      <c r="A45" s="49">
        <f>'A) Base RI'!A36</f>
        <v>5436</v>
      </c>
      <c r="B45" s="32" t="str">
        <f>'A) Base RI'!B36</f>
        <v>Saint-Oyens</v>
      </c>
      <c r="C45" s="31">
        <f>'D) Ecrêtage'!C34</f>
        <v>16564.840617283953</v>
      </c>
      <c r="D45" s="14">
        <f>'A) Base RI'!AO36</f>
        <v>447</v>
      </c>
      <c r="E45" s="10">
        <f t="shared" si="0"/>
        <v>331407.64610566333</v>
      </c>
      <c r="F45" s="14">
        <f>'F) Population'!K37</f>
        <v>56156.061368209252</v>
      </c>
      <c r="G45" s="10">
        <f>'G) Solidarité'!I34</f>
        <v>116897.45097605554</v>
      </c>
      <c r="H45" s="14">
        <f t="shared" si="1"/>
        <v>173053.51234426477</v>
      </c>
      <c r="I45" s="57">
        <f t="shared" si="2"/>
        <v>158354.13376139855</v>
      </c>
    </row>
    <row r="46" spans="1:9" x14ac:dyDescent="0.25">
      <c r="A46" s="49">
        <f>'A) Base RI'!A37</f>
        <v>5437</v>
      </c>
      <c r="B46" s="32" t="str">
        <f>'A) Base RI'!B37</f>
        <v>Saubraz</v>
      </c>
      <c r="C46" s="31">
        <f>'D) Ecrêtage'!C35</f>
        <v>13155.785124999999</v>
      </c>
      <c r="D46" s="14">
        <f>'A) Base RI'!AO37</f>
        <v>423</v>
      </c>
      <c r="E46" s="10">
        <f t="shared" si="0"/>
        <v>263203.72659661743</v>
      </c>
      <c r="F46" s="14">
        <f>'F) Population'!K38</f>
        <v>53140.970824949698</v>
      </c>
      <c r="G46" s="10">
        <f>'G) Solidarité'!I35</f>
        <v>171755.58864357485</v>
      </c>
      <c r="H46" s="14">
        <f t="shared" si="1"/>
        <v>224896.55946852456</v>
      </c>
      <c r="I46" s="57">
        <f t="shared" si="2"/>
        <v>38307.167128092871</v>
      </c>
    </row>
    <row r="47" spans="1:9" x14ac:dyDescent="0.25">
      <c r="A47" s="49">
        <f>'A) Base RI'!A38</f>
        <v>5451</v>
      </c>
      <c r="B47" s="32" t="str">
        <f>'A) Base RI'!B38</f>
        <v>Avenches</v>
      </c>
      <c r="C47" s="31">
        <f>'D) Ecrêtage'!C36</f>
        <v>129378.19823529426</v>
      </c>
      <c r="D47" s="14">
        <f>'A) Base RI'!AO38</f>
        <v>4305</v>
      </c>
      <c r="E47" s="10">
        <f t="shared" si="0"/>
        <v>2588429.6218227698</v>
      </c>
      <c r="F47" s="14">
        <f>'F) Population'!K39</f>
        <v>1484932.092555332</v>
      </c>
      <c r="G47" s="10">
        <f>'G) Solidarité'!I36</f>
        <v>1345548.090995922</v>
      </c>
      <c r="H47" s="14">
        <f t="shared" si="1"/>
        <v>2830480.1835512538</v>
      </c>
      <c r="I47" s="57">
        <f t="shared" si="2"/>
        <v>-242050.561728484</v>
      </c>
    </row>
    <row r="48" spans="1:9" x14ac:dyDescent="0.25">
      <c r="A48" s="49">
        <f>'A) Base RI'!A39</f>
        <v>5456</v>
      </c>
      <c r="B48" s="32" t="str">
        <f>'A) Base RI'!B39</f>
        <v>Cudrefin</v>
      </c>
      <c r="C48" s="31">
        <f>'D) Ecrêtage'!C37</f>
        <v>57755.250790960446</v>
      </c>
      <c r="D48" s="14">
        <f>'A) Base RI'!AO39</f>
        <v>1735</v>
      </c>
      <c r="E48" s="10">
        <f t="shared" si="0"/>
        <v>1155491.4506634609</v>
      </c>
      <c r="F48" s="14">
        <f>'F) Population'!K40</f>
        <v>384172.78672032186</v>
      </c>
      <c r="G48" s="10">
        <f>'G) Solidarité'!I37</f>
        <v>330870.09779924416</v>
      </c>
      <c r="H48" s="14">
        <f t="shared" si="1"/>
        <v>715042.88451956608</v>
      </c>
      <c r="I48" s="57">
        <f t="shared" si="2"/>
        <v>440448.5661438948</v>
      </c>
    </row>
    <row r="49" spans="1:9" x14ac:dyDescent="0.25">
      <c r="A49" s="49">
        <f>'A) Base RI'!A40</f>
        <v>5458</v>
      </c>
      <c r="B49" s="32" t="str">
        <f>'A) Base RI'!B40</f>
        <v>Faoug</v>
      </c>
      <c r="C49" s="31">
        <f>'D) Ecrêtage'!C38</f>
        <v>33143.605656565654</v>
      </c>
      <c r="D49" s="14">
        <f>'A) Base RI'!AO40</f>
        <v>884</v>
      </c>
      <c r="E49" s="10">
        <f t="shared" si="0"/>
        <v>663093.87381825387</v>
      </c>
      <c r="F49" s="14">
        <f>'F) Population'!K41</f>
        <v>111055.83501006036</v>
      </c>
      <c r="G49" s="10">
        <f>'G) Solidarité'!I38</f>
        <v>146853.99663639916</v>
      </c>
      <c r="H49" s="14">
        <f t="shared" si="1"/>
        <v>257909.83164645953</v>
      </c>
      <c r="I49" s="57">
        <f t="shared" si="2"/>
        <v>405184.04217179434</v>
      </c>
    </row>
    <row r="50" spans="1:9" x14ac:dyDescent="0.25">
      <c r="A50" s="49">
        <f>'A) Base RI'!A41</f>
        <v>5464</v>
      </c>
      <c r="B50" s="32" t="str">
        <f>'A) Base RI'!B41</f>
        <v>Vully-les-Lacs</v>
      </c>
      <c r="C50" s="31">
        <f>'D) Ecrêtage'!C39</f>
        <v>112741.2284079602</v>
      </c>
      <c r="D50" s="14">
        <f>'A) Base RI'!AO41</f>
        <v>3278</v>
      </c>
      <c r="E50" s="10">
        <f t="shared" si="0"/>
        <v>2255578.908906477</v>
      </c>
      <c r="F50" s="14">
        <f>'F) Population'!K42</f>
        <v>968849.09456740436</v>
      </c>
      <c r="G50" s="10">
        <f>'G) Solidarité'!I39</f>
        <v>741765.61643626355</v>
      </c>
      <c r="H50" s="14">
        <f t="shared" si="1"/>
        <v>1710614.7110036679</v>
      </c>
      <c r="I50" s="57">
        <f t="shared" si="2"/>
        <v>544964.19790280913</v>
      </c>
    </row>
    <row r="51" spans="1:9" x14ac:dyDescent="0.25">
      <c r="A51" s="49">
        <f>'A) Base RI'!A42</f>
        <v>5471</v>
      </c>
      <c r="B51" s="32" t="str">
        <f>'A) Base RI'!B42</f>
        <v>Bettens</v>
      </c>
      <c r="C51" s="31">
        <f>'D) Ecrêtage'!C40</f>
        <v>21708.019984126982</v>
      </c>
      <c r="D51" s="14">
        <f>'A) Base RI'!AO42</f>
        <v>650</v>
      </c>
      <c r="E51" s="10">
        <f t="shared" si="0"/>
        <v>434305.64596243104</v>
      </c>
      <c r="F51" s="14">
        <f>'F) Population'!K43</f>
        <v>81658.70221327967</v>
      </c>
      <c r="G51" s="10">
        <f>'G) Solidarité'!I40</f>
        <v>173117.31275880995</v>
      </c>
      <c r="H51" s="14">
        <f t="shared" si="1"/>
        <v>254776.01497208962</v>
      </c>
      <c r="I51" s="57">
        <f t="shared" si="2"/>
        <v>179529.63099034142</v>
      </c>
    </row>
    <row r="52" spans="1:9" x14ac:dyDescent="0.25">
      <c r="A52" s="49">
        <f>'A) Base RI'!A43</f>
        <v>5472</v>
      </c>
      <c r="B52" s="32" t="str">
        <f>'A) Base RI'!B43</f>
        <v>Bournens</v>
      </c>
      <c r="C52" s="31">
        <f>'D) Ecrêtage'!C41</f>
        <v>15065.660131578947</v>
      </c>
      <c r="D52" s="14">
        <f>'A) Base RI'!AO43</f>
        <v>422</v>
      </c>
      <c r="E52" s="10">
        <f t="shared" si="0"/>
        <v>301414.0055187064</v>
      </c>
      <c r="F52" s="14">
        <f>'F) Population'!K44</f>
        <v>53015.342052313878</v>
      </c>
      <c r="G52" s="10">
        <f>'G) Solidarité'!I41</f>
        <v>110253.65408011153</v>
      </c>
      <c r="H52" s="14">
        <f t="shared" si="1"/>
        <v>163268.99613242541</v>
      </c>
      <c r="I52" s="57">
        <f t="shared" si="2"/>
        <v>138145.00938628099</v>
      </c>
    </row>
    <row r="53" spans="1:9" x14ac:dyDescent="0.25">
      <c r="A53" s="49">
        <f>'A) Base RI'!A44</f>
        <v>5473</v>
      </c>
      <c r="B53" s="32" t="str">
        <f>'A) Base RI'!B44</f>
        <v>Boussens</v>
      </c>
      <c r="C53" s="31">
        <f>'D) Ecrêtage'!C42</f>
        <v>34350.684492753629</v>
      </c>
      <c r="D53" s="14">
        <f>'A) Base RI'!AO44</f>
        <v>993</v>
      </c>
      <c r="E53" s="10">
        <f t="shared" si="0"/>
        <v>687243.52699074615</v>
      </c>
      <c r="F53" s="14">
        <f>'F) Population'!K45</f>
        <v>124749.37122736417</v>
      </c>
      <c r="G53" s="10">
        <f>'G) Solidarité'!I42</f>
        <v>234582.20349135002</v>
      </c>
      <c r="H53" s="14">
        <f t="shared" si="1"/>
        <v>359331.57471871423</v>
      </c>
      <c r="I53" s="57">
        <f t="shared" si="2"/>
        <v>327911.95227203192</v>
      </c>
    </row>
    <row r="54" spans="1:9" x14ac:dyDescent="0.25">
      <c r="A54" s="49">
        <f>'A) Base RI'!A45</f>
        <v>5474</v>
      </c>
      <c r="B54" s="32" t="str">
        <f>'A) Base RI'!B45</f>
        <v>La Chaux (Cossonay)</v>
      </c>
      <c r="C54" s="31">
        <f>'D) Ecrêtage'!C43</f>
        <v>15323.423073593074</v>
      </c>
      <c r="D54" s="14">
        <f>'A) Base RI'!AO45</f>
        <v>395</v>
      </c>
      <c r="E54" s="10">
        <f t="shared" si="0"/>
        <v>306570.98902611417</v>
      </c>
      <c r="F54" s="14">
        <f>'F) Population'!K46</f>
        <v>49623.365191146877</v>
      </c>
      <c r="G54" s="10">
        <f>'G) Solidarité'!I43</f>
        <v>77253.771251995713</v>
      </c>
      <c r="H54" s="14">
        <f t="shared" si="1"/>
        <v>126877.13644314259</v>
      </c>
      <c r="I54" s="57">
        <f t="shared" si="2"/>
        <v>179693.85258297157</v>
      </c>
    </row>
    <row r="55" spans="1:9" x14ac:dyDescent="0.25">
      <c r="A55" s="49">
        <f>'A) Base RI'!A46</f>
        <v>5475</v>
      </c>
      <c r="B55" s="32" t="str">
        <f>'A) Base RI'!B46</f>
        <v>Chavannes-le-Veyron</v>
      </c>
      <c r="C55" s="31">
        <f>'D) Ecrêtage'!C44</f>
        <v>3045.9346753246755</v>
      </c>
      <c r="D55" s="14">
        <f>'A) Base RI'!AO46</f>
        <v>152</v>
      </c>
      <c r="E55" s="10">
        <f t="shared" si="0"/>
        <v>60939.073563297708</v>
      </c>
      <c r="F55" s="14">
        <f>'F) Population'!K47</f>
        <v>19095.573440643861</v>
      </c>
      <c r="G55" s="10">
        <f>'G) Solidarité'!I44</f>
        <v>96648.658728173701</v>
      </c>
      <c r="H55" s="14">
        <f t="shared" si="1"/>
        <v>115744.23216881756</v>
      </c>
      <c r="I55" s="57">
        <f t="shared" si="2"/>
        <v>-54805.15860551985</v>
      </c>
    </row>
    <row r="56" spans="1:9" x14ac:dyDescent="0.25">
      <c r="A56" s="49">
        <f>'A) Base RI'!A47</f>
        <v>5476</v>
      </c>
      <c r="B56" s="32" t="str">
        <f>'A) Base RI'!B47</f>
        <v>Chevilly</v>
      </c>
      <c r="C56" s="31">
        <f>'D) Ecrêtage'!C45</f>
        <v>12632.544999999996</v>
      </c>
      <c r="D56" s="14">
        <f>'A) Base RI'!AO47</f>
        <v>317</v>
      </c>
      <c r="E56" s="10">
        <f t="shared" si="0"/>
        <v>252735.42314712031</v>
      </c>
      <c r="F56" s="14">
        <f>'F) Population'!K48</f>
        <v>39824.320925553315</v>
      </c>
      <c r="G56" s="10">
        <f>'G) Solidarité'!I45</f>
        <v>49997.976446741748</v>
      </c>
      <c r="H56" s="14">
        <f t="shared" si="1"/>
        <v>89822.297372295056</v>
      </c>
      <c r="I56" s="57">
        <f t="shared" si="2"/>
        <v>162913.12577482525</v>
      </c>
    </row>
    <row r="57" spans="1:9" x14ac:dyDescent="0.25">
      <c r="A57" s="49">
        <f>'A) Base RI'!A48</f>
        <v>5477</v>
      </c>
      <c r="B57" s="32" t="str">
        <f>'A) Base RI'!B48</f>
        <v>Cossonay</v>
      </c>
      <c r="C57" s="31">
        <f>'D) Ecrêtage'!C46</f>
        <v>144389.2549295775</v>
      </c>
      <c r="D57" s="14">
        <f>'A) Base RI'!AO48</f>
        <v>4045</v>
      </c>
      <c r="E57" s="10">
        <f t="shared" si="0"/>
        <v>2888751.1932491995</v>
      </c>
      <c r="F57" s="14">
        <f>'F) Population'!K49</f>
        <v>1354278.1690140844</v>
      </c>
      <c r="G57" s="10">
        <f>'G) Solidarité'!I46</f>
        <v>922728.73683071241</v>
      </c>
      <c r="H57" s="14">
        <f t="shared" si="1"/>
        <v>2277006.9058447969</v>
      </c>
      <c r="I57" s="57">
        <f t="shared" si="2"/>
        <v>611744.28740440262</v>
      </c>
    </row>
    <row r="58" spans="1:9" x14ac:dyDescent="0.25">
      <c r="A58" s="49">
        <f>'A) Base RI'!A49</f>
        <v>5478</v>
      </c>
      <c r="B58" s="32" t="str">
        <f>'A) Base RI'!B49</f>
        <v>Cottens</v>
      </c>
      <c r="C58" s="31">
        <f>'D) Ecrêtage'!C47</f>
        <v>17566.345945945945</v>
      </c>
      <c r="D58" s="14">
        <f>'A) Base RI'!AO49</f>
        <v>487</v>
      </c>
      <c r="E58" s="10">
        <f t="shared" si="0"/>
        <v>351444.45365501184</v>
      </c>
      <c r="F58" s="14">
        <f>'F) Population'!K50</f>
        <v>61181.212273641846</v>
      </c>
      <c r="G58" s="10">
        <f>'G) Solidarité'!I47</f>
        <v>116721.46538179831</v>
      </c>
      <c r="H58" s="14">
        <f t="shared" si="1"/>
        <v>177902.67765544014</v>
      </c>
      <c r="I58" s="57">
        <f t="shared" si="2"/>
        <v>173541.77599957169</v>
      </c>
    </row>
    <row r="59" spans="1:9" x14ac:dyDescent="0.25">
      <c r="A59" s="49">
        <f>'A) Base RI'!A50</f>
        <v>5479</v>
      </c>
      <c r="B59" s="32" t="str">
        <f>'A) Base RI'!B50</f>
        <v>Cuarnens</v>
      </c>
      <c r="C59" s="31">
        <f>'D) Ecrêtage'!C48</f>
        <v>17277.023636363636</v>
      </c>
      <c r="D59" s="14">
        <f>'A) Base RI'!AO50</f>
        <v>486</v>
      </c>
      <c r="E59" s="10">
        <f t="shared" si="0"/>
        <v>345656.07163553854</v>
      </c>
      <c r="F59" s="14">
        <f>'F) Population'!K51</f>
        <v>61055.583501006033</v>
      </c>
      <c r="G59" s="10">
        <f>'G) Solidarité'!I48</f>
        <v>132062.8822150307</v>
      </c>
      <c r="H59" s="14">
        <f t="shared" si="1"/>
        <v>193118.46571603674</v>
      </c>
      <c r="I59" s="57">
        <f t="shared" si="2"/>
        <v>152537.6059195018</v>
      </c>
    </row>
    <row r="60" spans="1:9" x14ac:dyDescent="0.25">
      <c r="A60" s="49">
        <f>'A) Base RI'!A51</f>
        <v>5480</v>
      </c>
      <c r="B60" s="32" t="str">
        <f>'A) Base RI'!B51</f>
        <v>Daillens</v>
      </c>
      <c r="C60" s="31">
        <f>'D) Ecrêtage'!C49</f>
        <v>40568.804343434349</v>
      </c>
      <c r="D60" s="14">
        <f>'A) Base RI'!AO51</f>
        <v>1034</v>
      </c>
      <c r="E60" s="10">
        <f t="shared" si="0"/>
        <v>811647.52884795703</v>
      </c>
      <c r="F60" s="14">
        <f>'F) Population'!K52</f>
        <v>137588.63179074446</v>
      </c>
      <c r="G60" s="10">
        <f>'G) Solidarité'!I49</f>
        <v>140705.53935389713</v>
      </c>
      <c r="H60" s="14">
        <f t="shared" si="1"/>
        <v>278294.17114464159</v>
      </c>
      <c r="I60" s="57">
        <f t="shared" si="2"/>
        <v>533353.35770331544</v>
      </c>
    </row>
    <row r="61" spans="1:9" x14ac:dyDescent="0.25">
      <c r="A61" s="49">
        <f>'A) Base RI'!A52</f>
        <v>5481</v>
      </c>
      <c r="B61" s="32" t="str">
        <f>'A) Base RI'!B52</f>
        <v>Dizy</v>
      </c>
      <c r="C61" s="31">
        <f>'D) Ecrêtage'!C50</f>
        <v>9658.8267088607608</v>
      </c>
      <c r="D61" s="14">
        <f>'A) Base RI'!AO52</f>
        <v>234</v>
      </c>
      <c r="E61" s="10">
        <f t="shared" si="0"/>
        <v>193241.16046043238</v>
      </c>
      <c r="F61" s="14">
        <f>'F) Population'!K53</f>
        <v>29397.132796780683</v>
      </c>
      <c r="G61" s="10">
        <f>'G) Solidarité'!I50</f>
        <v>33813.120696143458</v>
      </c>
      <c r="H61" s="14">
        <f t="shared" si="1"/>
        <v>63210.253492924137</v>
      </c>
      <c r="I61" s="57">
        <f t="shared" si="2"/>
        <v>130030.90696750824</v>
      </c>
    </row>
    <row r="62" spans="1:9" x14ac:dyDescent="0.25">
      <c r="A62" s="49">
        <f>'A) Base RI'!A53</f>
        <v>5482</v>
      </c>
      <c r="B62" s="32" t="str">
        <f>'A) Base RI'!B53</f>
        <v>Eclépens</v>
      </c>
      <c r="C62" s="31">
        <f>'D) Ecrêtage'!C51</f>
        <v>60116.695217391316</v>
      </c>
      <c r="D62" s="14">
        <f>'A) Base RI'!AO53</f>
        <v>1222</v>
      </c>
      <c r="E62" s="10">
        <f t="shared" si="0"/>
        <v>1202736.1393902705</v>
      </c>
      <c r="F62" s="14">
        <f>'F) Population'!K54</f>
        <v>203719.61770623742</v>
      </c>
      <c r="G62" s="10">
        <f>'G) Solidarité'!I51</f>
        <v>0</v>
      </c>
      <c r="H62" s="14">
        <f t="shared" si="1"/>
        <v>203719.61770623742</v>
      </c>
      <c r="I62" s="57">
        <f t="shared" si="2"/>
        <v>999016.5216840331</v>
      </c>
    </row>
    <row r="63" spans="1:9" x14ac:dyDescent="0.25">
      <c r="A63" s="49">
        <f>'A) Base RI'!A54</f>
        <v>5483</v>
      </c>
      <c r="B63" s="32" t="str">
        <f>'A) Base RI'!B54</f>
        <v>Ferreyres</v>
      </c>
      <c r="C63" s="31">
        <f>'D) Ecrêtage'!C52</f>
        <v>11167.980394736842</v>
      </c>
      <c r="D63" s="14">
        <f>'A) Base RI'!AO54</f>
        <v>320</v>
      </c>
      <c r="E63" s="10">
        <f t="shared" si="0"/>
        <v>223434.33178053674</v>
      </c>
      <c r="F63" s="14">
        <f>'F) Population'!K55</f>
        <v>40201.207243460762</v>
      </c>
      <c r="G63" s="10">
        <f>'G) Solidarité'!I52</f>
        <v>89464.238970691542</v>
      </c>
      <c r="H63" s="14">
        <f t="shared" si="1"/>
        <v>129665.4462141523</v>
      </c>
      <c r="I63" s="57">
        <f t="shared" si="2"/>
        <v>93768.885566384444</v>
      </c>
    </row>
    <row r="64" spans="1:9" x14ac:dyDescent="0.25">
      <c r="A64" s="49">
        <f>'A) Base RI'!A55</f>
        <v>5484</v>
      </c>
      <c r="B64" s="32" t="str">
        <f>'A) Base RI'!B55</f>
        <v>Gollion</v>
      </c>
      <c r="C64" s="31">
        <f>'D) Ecrêtage'!C53</f>
        <v>33995.543783783789</v>
      </c>
      <c r="D64" s="14">
        <f>'A) Base RI'!AO55</f>
        <v>939</v>
      </c>
      <c r="E64" s="10">
        <f t="shared" si="0"/>
        <v>680138.33659892401</v>
      </c>
      <c r="F64" s="14">
        <f>'F) Population'!K56</f>
        <v>117965.41750503017</v>
      </c>
      <c r="G64" s="10">
        <f>'G) Solidarité'!I53</f>
        <v>222337.16044028709</v>
      </c>
      <c r="H64" s="14">
        <f t="shared" si="1"/>
        <v>340302.57794531726</v>
      </c>
      <c r="I64" s="57">
        <f t="shared" si="2"/>
        <v>339835.75865360675</v>
      </c>
    </row>
    <row r="65" spans="1:9" x14ac:dyDescent="0.25">
      <c r="A65" s="49">
        <f>'A) Base RI'!A56</f>
        <v>5485</v>
      </c>
      <c r="B65" s="32" t="str">
        <f>'A) Base RI'!B56</f>
        <v>Grancy</v>
      </c>
      <c r="C65" s="31">
        <f>'D) Ecrêtage'!C54</f>
        <v>16957.048857142858</v>
      </c>
      <c r="D65" s="14">
        <f>'A) Base RI'!AO56</f>
        <v>397</v>
      </c>
      <c r="E65" s="10">
        <f t="shared" si="0"/>
        <v>339254.43513056112</v>
      </c>
      <c r="F65" s="14">
        <f>'F) Population'!K57</f>
        <v>49874.622736418511</v>
      </c>
      <c r="G65" s="10">
        <f>'G) Solidarité'!I54</f>
        <v>33980.445718337782</v>
      </c>
      <c r="H65" s="14">
        <f t="shared" si="1"/>
        <v>83855.068454756285</v>
      </c>
      <c r="I65" s="57">
        <f t="shared" si="2"/>
        <v>255399.36667580483</v>
      </c>
    </row>
    <row r="66" spans="1:9" x14ac:dyDescent="0.25">
      <c r="A66" s="49">
        <f>'A) Base RI'!A57</f>
        <v>5486</v>
      </c>
      <c r="B66" s="32" t="str">
        <f>'A) Base RI'!B57</f>
        <v>L'Isle</v>
      </c>
      <c r="C66" s="31">
        <f>'D) Ecrêtage'!C55</f>
        <v>35667.648026315794</v>
      </c>
      <c r="D66" s="14">
        <f>'A) Base RI'!AO57</f>
        <v>1011</v>
      </c>
      <c r="E66" s="10">
        <f t="shared" si="0"/>
        <v>713591.60933869425</v>
      </c>
      <c r="F66" s="14">
        <f>'F) Population'!K58</f>
        <v>129498.13883299798</v>
      </c>
      <c r="G66" s="10">
        <f>'G) Solidarité'!I55</f>
        <v>273873.5067211212</v>
      </c>
      <c r="H66" s="14">
        <f t="shared" si="1"/>
        <v>403371.6455541192</v>
      </c>
      <c r="I66" s="57">
        <f t="shared" si="2"/>
        <v>310219.96378457505</v>
      </c>
    </row>
    <row r="67" spans="1:9" x14ac:dyDescent="0.25">
      <c r="A67" s="49">
        <f>'A) Base RI'!A58</f>
        <v>5487</v>
      </c>
      <c r="B67" s="32" t="str">
        <f>'A) Base RI'!B58</f>
        <v>Lussery-Villars</v>
      </c>
      <c r="C67" s="31">
        <f>'D) Ecrêtage'!C56</f>
        <v>15504.095066666665</v>
      </c>
      <c r="D67" s="14">
        <f>'A) Base RI'!AO58</f>
        <v>459</v>
      </c>
      <c r="E67" s="10">
        <f t="shared" si="0"/>
        <v>310185.63774656504</v>
      </c>
      <c r="F67" s="14">
        <f>'F) Population'!K59</f>
        <v>57663.606639839032</v>
      </c>
      <c r="G67" s="10">
        <f>'G) Solidarité'!I56</f>
        <v>136439.91809613968</v>
      </c>
      <c r="H67" s="14">
        <f t="shared" si="1"/>
        <v>194103.52473597872</v>
      </c>
      <c r="I67" s="57">
        <f t="shared" si="2"/>
        <v>116082.11301058633</v>
      </c>
    </row>
    <row r="68" spans="1:9" x14ac:dyDescent="0.25">
      <c r="A68" s="49">
        <f>'A) Base RI'!A59</f>
        <v>5488</v>
      </c>
      <c r="B68" s="32" t="str">
        <f>'A) Base RI'!B59</f>
        <v>Mauraz</v>
      </c>
      <c r="C68" s="31">
        <f>'D) Ecrêtage'!C57</f>
        <v>1751.8621794871794</v>
      </c>
      <c r="D68" s="14">
        <f>'A) Base RI'!AO59</f>
        <v>57</v>
      </c>
      <c r="E68" s="10">
        <f t="shared" si="0"/>
        <v>35048.965131581077</v>
      </c>
      <c r="F68" s="14">
        <f>'F) Population'!K60</f>
        <v>7160.8400402414482</v>
      </c>
      <c r="G68" s="10">
        <f>'G) Solidarité'!I57</f>
        <v>22505.155516703901</v>
      </c>
      <c r="H68" s="14">
        <f t="shared" si="1"/>
        <v>29665.995556945349</v>
      </c>
      <c r="I68" s="57">
        <f t="shared" si="2"/>
        <v>5382.9695746357283</v>
      </c>
    </row>
    <row r="69" spans="1:9" x14ac:dyDescent="0.25">
      <c r="A69" s="49">
        <f>'A) Base RI'!A60</f>
        <v>5489</v>
      </c>
      <c r="B69" s="32" t="str">
        <f>'A) Base RI'!B60</f>
        <v>Mex</v>
      </c>
      <c r="C69" s="31">
        <f>'D) Ecrêtage'!C58</f>
        <v>62953.268196721314</v>
      </c>
      <c r="D69" s="14">
        <f>'A) Base RI'!AO60</f>
        <v>718</v>
      </c>
      <c r="E69" s="10">
        <f t="shared" si="0"/>
        <v>1259486.5782146447</v>
      </c>
      <c r="F69" s="14">
        <f>'F) Population'!K61</f>
        <v>90201.458752515086</v>
      </c>
      <c r="G69" s="10">
        <f>'G) Solidarité'!I58</f>
        <v>0</v>
      </c>
      <c r="H69" s="14">
        <f t="shared" si="1"/>
        <v>90201.458752515086</v>
      </c>
      <c r="I69" s="57">
        <f t="shared" si="2"/>
        <v>1169285.1194621297</v>
      </c>
    </row>
    <row r="70" spans="1:9" x14ac:dyDescent="0.25">
      <c r="A70" s="49">
        <f>'A) Base RI'!A61</f>
        <v>5490</v>
      </c>
      <c r="B70" s="32" t="str">
        <f>'A) Base RI'!B61</f>
        <v>Moiry</v>
      </c>
      <c r="C70" s="31">
        <f>'D) Ecrêtage'!C59</f>
        <v>8346.3239490445867</v>
      </c>
      <c r="D70" s="14">
        <f>'A) Base RI'!AO61</f>
        <v>310</v>
      </c>
      <c r="E70" s="10">
        <f t="shared" si="0"/>
        <v>166982.32343401338</v>
      </c>
      <c r="F70" s="14">
        <f>'F) Population'!K62</f>
        <v>38944.919517102615</v>
      </c>
      <c r="G70" s="10">
        <f>'G) Solidarité'!I59</f>
        <v>152794.26193600768</v>
      </c>
      <c r="H70" s="14">
        <f t="shared" si="1"/>
        <v>191739.1814531103</v>
      </c>
      <c r="I70" s="57">
        <f t="shared" si="2"/>
        <v>-24756.858019096922</v>
      </c>
    </row>
    <row r="71" spans="1:9" x14ac:dyDescent="0.25">
      <c r="A71" s="49">
        <f>'A) Base RI'!A62</f>
        <v>5491</v>
      </c>
      <c r="B71" s="32" t="str">
        <f>'A) Base RI'!B62</f>
        <v>Mont-la-Ville</v>
      </c>
      <c r="C71" s="31">
        <f>'D) Ecrêtage'!C60</f>
        <v>14105.600657894736</v>
      </c>
      <c r="D71" s="14">
        <f>'A) Base RI'!AO62</f>
        <v>478</v>
      </c>
      <c r="E71" s="10">
        <f t="shared" si="0"/>
        <v>282206.39237915445</v>
      </c>
      <c r="F71" s="14">
        <f>'F) Population'!K63</f>
        <v>60050.553319919512</v>
      </c>
      <c r="G71" s="10">
        <f>'G) Solidarité'!I60</f>
        <v>192562.28561780599</v>
      </c>
      <c r="H71" s="14">
        <f t="shared" si="1"/>
        <v>252612.83893772549</v>
      </c>
      <c r="I71" s="57">
        <f t="shared" si="2"/>
        <v>29593.553441428958</v>
      </c>
    </row>
    <row r="72" spans="1:9" x14ac:dyDescent="0.25">
      <c r="A72" s="49">
        <f>'A) Base RI'!A63</f>
        <v>5492</v>
      </c>
      <c r="B72" s="32" t="str">
        <f>'A) Base RI'!B63</f>
        <v>Montricher</v>
      </c>
      <c r="C72" s="31">
        <f>'D) Ecrêtage'!C61</f>
        <v>190092.85661458335</v>
      </c>
      <c r="D72" s="14">
        <f>'A) Base RI'!AO63</f>
        <v>964</v>
      </c>
      <c r="E72" s="10">
        <f t="shared" si="0"/>
        <v>3803129.0253651664</v>
      </c>
      <c r="F72" s="14">
        <f>'F) Population'!K64</f>
        <v>121106.13682092555</v>
      </c>
      <c r="G72" s="10">
        <f>'G) Solidarité'!I61</f>
        <v>0</v>
      </c>
      <c r="H72" s="14">
        <f t="shared" si="1"/>
        <v>121106.13682092555</v>
      </c>
      <c r="I72" s="57">
        <f t="shared" si="2"/>
        <v>3682022.888544241</v>
      </c>
    </row>
    <row r="73" spans="1:9" x14ac:dyDescent="0.25">
      <c r="A73" s="49">
        <f>'A) Base RI'!A64</f>
        <v>5493</v>
      </c>
      <c r="B73" s="32" t="str">
        <f>'A) Base RI'!B64</f>
        <v>Orny</v>
      </c>
      <c r="C73" s="31">
        <f>'D) Ecrêtage'!C62</f>
        <v>10669.457639620656</v>
      </c>
      <c r="D73" s="14">
        <f>'A) Base RI'!AO64</f>
        <v>416</v>
      </c>
      <c r="E73" s="10">
        <f t="shared" si="0"/>
        <v>213460.5411102674</v>
      </c>
      <c r="F73" s="14">
        <f>'F) Population'!K65</f>
        <v>52261.569416498991</v>
      </c>
      <c r="G73" s="10">
        <f>'G) Solidarité'!I62</f>
        <v>188513.95478504233</v>
      </c>
      <c r="H73" s="14">
        <f t="shared" si="1"/>
        <v>240775.52420154132</v>
      </c>
      <c r="I73" s="57">
        <f t="shared" si="2"/>
        <v>-27314.983091273927</v>
      </c>
    </row>
    <row r="74" spans="1:9" x14ac:dyDescent="0.25">
      <c r="A74" s="49">
        <f>'A) Base RI'!A65</f>
        <v>5494</v>
      </c>
      <c r="B74" s="32" t="str">
        <f>'A) Base RI'!B65</f>
        <v>Pampigny</v>
      </c>
      <c r="C74" s="31">
        <f>'D) Ecrêtage'!C63</f>
        <v>37008.943269841264</v>
      </c>
      <c r="D74" s="14">
        <f>'A) Base RI'!AO65</f>
        <v>1103</v>
      </c>
      <c r="E74" s="10">
        <f t="shared" si="0"/>
        <v>740426.48868704645</v>
      </c>
      <c r="F74" s="14">
        <f>'F) Population'!K66</f>
        <v>161860.11066398388</v>
      </c>
      <c r="G74" s="10">
        <f>'G) Solidarité'!I63</f>
        <v>333399.22087102581</v>
      </c>
      <c r="H74" s="14">
        <f t="shared" si="1"/>
        <v>495259.33153500967</v>
      </c>
      <c r="I74" s="57">
        <f t="shared" si="2"/>
        <v>245167.15715203679</v>
      </c>
    </row>
    <row r="75" spans="1:9" x14ac:dyDescent="0.25">
      <c r="A75" s="49">
        <f>'A) Base RI'!A66</f>
        <v>5495</v>
      </c>
      <c r="B75" s="32" t="str">
        <f>'A) Base RI'!B66</f>
        <v>Penthalaz</v>
      </c>
      <c r="C75" s="31">
        <f>'D) Ecrêtage'!C64</f>
        <v>95334.294459459459</v>
      </c>
      <c r="D75" s="14">
        <f>'A) Base RI'!AO66</f>
        <v>3257</v>
      </c>
      <c r="E75" s="10">
        <f t="shared" si="0"/>
        <v>1907323.7618107563</v>
      </c>
      <c r="F75" s="14">
        <f>'F) Population'!K67</f>
        <v>958296.27766599588</v>
      </c>
      <c r="G75" s="10">
        <f>'G) Solidarité'!I64</f>
        <v>1260814.4389275131</v>
      </c>
      <c r="H75" s="14">
        <f t="shared" si="1"/>
        <v>2219110.7165935091</v>
      </c>
      <c r="I75" s="57">
        <f t="shared" si="2"/>
        <v>-311786.95478275279</v>
      </c>
    </row>
    <row r="76" spans="1:9" x14ac:dyDescent="0.25">
      <c r="A76" s="49">
        <f>'A) Base RI'!A67</f>
        <v>5496</v>
      </c>
      <c r="B76" s="32" t="str">
        <f>'A) Base RI'!B67</f>
        <v>Penthaz</v>
      </c>
      <c r="C76" s="31">
        <f>'D) Ecrêtage'!C65</f>
        <v>59470.759859154932</v>
      </c>
      <c r="D76" s="14">
        <f>'A) Base RI'!AO67</f>
        <v>1760</v>
      </c>
      <c r="E76" s="10">
        <f t="shared" si="0"/>
        <v>1189813.1103340066</v>
      </c>
      <c r="F76" s="14">
        <f>'F) Population'!K68</f>
        <v>392966.80080482899</v>
      </c>
      <c r="G76" s="10">
        <f>'G) Solidarité'!I65</f>
        <v>468422.56053205475</v>
      </c>
      <c r="H76" s="14">
        <f t="shared" si="1"/>
        <v>861389.36133688374</v>
      </c>
      <c r="I76" s="57">
        <f t="shared" si="2"/>
        <v>328423.74899712286</v>
      </c>
    </row>
    <row r="77" spans="1:9" x14ac:dyDescent="0.25">
      <c r="A77" s="49">
        <f>'A) Base RI'!A68</f>
        <v>5497</v>
      </c>
      <c r="B77" s="32" t="str">
        <f>'A) Base RI'!B68</f>
        <v>Pompaples</v>
      </c>
      <c r="C77" s="31">
        <f>'D) Ecrêtage'!C66</f>
        <v>22300.858484848486</v>
      </c>
      <c r="D77" s="14">
        <f>'A) Base RI'!AO68</f>
        <v>851</v>
      </c>
      <c r="E77" s="10">
        <f t="shared" si="0"/>
        <v>446166.38260241563</v>
      </c>
      <c r="F77" s="14">
        <f>'F) Population'!K69</f>
        <v>106910.08551307846</v>
      </c>
      <c r="G77" s="10">
        <f>'G) Solidarité'!I66</f>
        <v>307039.74180714512</v>
      </c>
      <c r="H77" s="14">
        <f t="shared" si="1"/>
        <v>413949.82732022356</v>
      </c>
      <c r="I77" s="57">
        <f t="shared" si="2"/>
        <v>32216.555282192072</v>
      </c>
    </row>
    <row r="78" spans="1:9" x14ac:dyDescent="0.25">
      <c r="A78" s="49">
        <f>'A) Base RI'!A69</f>
        <v>5498</v>
      </c>
      <c r="B78" s="32" t="str">
        <f>'A) Base RI'!B69</f>
        <v>La Sarraz</v>
      </c>
      <c r="C78" s="31">
        <f>'D) Ecrêtage'!C67</f>
        <v>77649.398333333345</v>
      </c>
      <c r="D78" s="14">
        <f>'A) Base RI'!AO69</f>
        <v>2651</v>
      </c>
      <c r="E78" s="10">
        <f t="shared" si="0"/>
        <v>1553507.5113442547</v>
      </c>
      <c r="F78" s="14">
        <f>'F) Population'!K70</f>
        <v>706385.46277665987</v>
      </c>
      <c r="G78" s="10">
        <f>'G) Solidarité'!I67</f>
        <v>815417.96497964417</v>
      </c>
      <c r="H78" s="14">
        <f t="shared" si="1"/>
        <v>1521803.4277563039</v>
      </c>
      <c r="I78" s="57">
        <f t="shared" si="2"/>
        <v>31704.083587950794</v>
      </c>
    </row>
    <row r="79" spans="1:9" x14ac:dyDescent="0.25">
      <c r="A79" s="49">
        <f>'A) Base RI'!A70</f>
        <v>5499</v>
      </c>
      <c r="B79" s="32" t="str">
        <f>'A) Base RI'!B70</f>
        <v>Senarclens</v>
      </c>
      <c r="C79" s="31">
        <f>'D) Ecrêtage'!C68</f>
        <v>19517.373430656935</v>
      </c>
      <c r="D79" s="14">
        <f>'A) Base RI'!AO70</f>
        <v>477</v>
      </c>
      <c r="E79" s="10">
        <f t="shared" si="0"/>
        <v>390478.05748702621</v>
      </c>
      <c r="F79" s="14">
        <f>'F) Population'!K71</f>
        <v>59924.924547283699</v>
      </c>
      <c r="G79" s="10">
        <f>'G) Solidarité'!I68</f>
        <v>55013.369515203092</v>
      </c>
      <c r="H79" s="14">
        <f t="shared" si="1"/>
        <v>114938.29406248679</v>
      </c>
      <c r="I79" s="57">
        <f t="shared" si="2"/>
        <v>275539.76342453941</v>
      </c>
    </row>
    <row r="80" spans="1:9" x14ac:dyDescent="0.25">
      <c r="A80" s="49">
        <f>'A) Base RI'!A71</f>
        <v>5500</v>
      </c>
      <c r="B80" s="32" t="str">
        <f>'A) Base RI'!B71</f>
        <v>Sévery</v>
      </c>
      <c r="C80" s="31">
        <f>'D) Ecrêtage'!C69</f>
        <v>6999.0248888888891</v>
      </c>
      <c r="D80" s="14">
        <f>'A) Base RI'!AO71</f>
        <v>227</v>
      </c>
      <c r="E80" s="10">
        <f t="shared" si="0"/>
        <v>140027.32758209534</v>
      </c>
      <c r="F80" s="14">
        <f>'F) Population'!K72</f>
        <v>28517.731388329979</v>
      </c>
      <c r="G80" s="10">
        <f>'G) Solidarité'!I69</f>
        <v>82367.190308890393</v>
      </c>
      <c r="H80" s="14">
        <f t="shared" si="1"/>
        <v>110884.92169722037</v>
      </c>
      <c r="I80" s="57">
        <f t="shared" si="2"/>
        <v>29142.40588487497</v>
      </c>
    </row>
    <row r="81" spans="1:9" x14ac:dyDescent="0.25">
      <c r="A81" s="49">
        <f>'A) Base RI'!A72</f>
        <v>5501</v>
      </c>
      <c r="B81" s="32" t="str">
        <f>'A) Base RI'!B72</f>
        <v>Sullens</v>
      </c>
      <c r="C81" s="31">
        <f>'D) Ecrêtage'!C70</f>
        <v>40473.718571428566</v>
      </c>
      <c r="D81" s="14">
        <f>'A) Base RI'!AO72</f>
        <v>1035</v>
      </c>
      <c r="E81" s="10">
        <f t="shared" ref="E81:E144" si="3">C81*E$15</f>
        <v>809745.17719805974</v>
      </c>
      <c r="F81" s="14">
        <f>'F) Population'!K73</f>
        <v>137940.39235412475</v>
      </c>
      <c r="G81" s="10">
        <f>'G) Solidarité'!I70</f>
        <v>161036.62588276286</v>
      </c>
      <c r="H81" s="14">
        <f t="shared" ref="H81:H144" si="4">F81+G81</f>
        <v>298977.01823688764</v>
      </c>
      <c r="I81" s="57">
        <f t="shared" ref="I81:I144" si="5">E81-H81</f>
        <v>510768.1589611721</v>
      </c>
    </row>
    <row r="82" spans="1:9" x14ac:dyDescent="0.25">
      <c r="A82" s="49">
        <f>'A) Base RI'!A73</f>
        <v>5503</v>
      </c>
      <c r="B82" s="32" t="str">
        <f>'A) Base RI'!B73</f>
        <v>Vufflens-la-Ville</v>
      </c>
      <c r="C82" s="31">
        <f>'D) Ecrêtage'!C71</f>
        <v>87926.416417910455</v>
      </c>
      <c r="D82" s="14">
        <f>'A) Base RI'!AO73</f>
        <v>1295</v>
      </c>
      <c r="E82" s="10">
        <f t="shared" si="3"/>
        <v>1759116.6355782237</v>
      </c>
      <c r="F82" s="14">
        <f>'F) Population'!K74</f>
        <v>229398.13883299797</v>
      </c>
      <c r="G82" s="10">
        <f>'G) Solidarité'!I71</f>
        <v>0</v>
      </c>
      <c r="H82" s="14">
        <f t="shared" si="4"/>
        <v>229398.13883299797</v>
      </c>
      <c r="I82" s="57">
        <f t="shared" si="5"/>
        <v>1529718.4967452257</v>
      </c>
    </row>
    <row r="83" spans="1:9" x14ac:dyDescent="0.25">
      <c r="A83" s="49">
        <f>'A) Base RI'!A74</f>
        <v>5511</v>
      </c>
      <c r="B83" s="32" t="str">
        <f>'A) Base RI'!B74</f>
        <v>Assens</v>
      </c>
      <c r="C83" s="31">
        <f>'D) Ecrêtage'!C72</f>
        <v>50067.904428571426</v>
      </c>
      <c r="D83" s="14">
        <f>'A) Base RI'!AO74</f>
        <v>1074</v>
      </c>
      <c r="E83" s="10">
        <f t="shared" si="3"/>
        <v>1001693.0881183944</v>
      </c>
      <c r="F83" s="14">
        <f>'F) Population'!K75</f>
        <v>151659.05432595572</v>
      </c>
      <c r="G83" s="10">
        <f>'G) Solidarité'!I72</f>
        <v>10555.193074851843</v>
      </c>
      <c r="H83" s="14">
        <f t="shared" si="4"/>
        <v>162214.24740080757</v>
      </c>
      <c r="I83" s="57">
        <f t="shared" si="5"/>
        <v>839478.84071758681</v>
      </c>
    </row>
    <row r="84" spans="1:9" x14ac:dyDescent="0.25">
      <c r="A84" s="49">
        <f>'A) Base RI'!A75</f>
        <v>5512</v>
      </c>
      <c r="B84" s="32" t="str">
        <f>'A) Base RI'!B75</f>
        <v>Bercher</v>
      </c>
      <c r="C84" s="31">
        <f>'D) Ecrêtage'!C73</f>
        <v>40005.59860759494</v>
      </c>
      <c r="D84" s="14">
        <f>'A) Base RI'!AO75</f>
        <v>1280</v>
      </c>
      <c r="E84" s="10">
        <f t="shared" si="3"/>
        <v>800379.64577560243</v>
      </c>
      <c r="F84" s="14">
        <f>'F) Population'!K76</f>
        <v>224121.73038229375</v>
      </c>
      <c r="G84" s="10">
        <f>'G) Solidarité'!I73</f>
        <v>501974.57436781155</v>
      </c>
      <c r="H84" s="14">
        <f t="shared" si="4"/>
        <v>726096.30475010537</v>
      </c>
      <c r="I84" s="57">
        <f t="shared" si="5"/>
        <v>74283.341025497066</v>
      </c>
    </row>
    <row r="85" spans="1:9" x14ac:dyDescent="0.25">
      <c r="A85" s="49">
        <f>'A) Base RI'!A76</f>
        <v>5513</v>
      </c>
      <c r="B85" s="32" t="str">
        <f>'A) Base RI'!B76</f>
        <v>Bioley-Orjulaz</v>
      </c>
      <c r="C85" s="31">
        <f>'D) Ecrêtage'!C74</f>
        <v>22037.146176470589</v>
      </c>
      <c r="D85" s="14">
        <f>'A) Base RI'!AO76</f>
        <v>521</v>
      </c>
      <c r="E85" s="10">
        <f t="shared" si="3"/>
        <v>440890.37196109263</v>
      </c>
      <c r="F85" s="14">
        <f>'F) Population'!K77</f>
        <v>65452.590543259554</v>
      </c>
      <c r="G85" s="10">
        <f>'G) Solidarité'!I74</f>
        <v>46042.453207901308</v>
      </c>
      <c r="H85" s="14">
        <f t="shared" si="4"/>
        <v>111495.04375116086</v>
      </c>
      <c r="I85" s="57">
        <f t="shared" si="5"/>
        <v>329395.32820993179</v>
      </c>
    </row>
    <row r="86" spans="1:9" x14ac:dyDescent="0.25">
      <c r="A86" s="49">
        <f>'A) Base RI'!A77</f>
        <v>5514</v>
      </c>
      <c r="B86" s="32" t="str">
        <f>'A) Base RI'!B77</f>
        <v>Bottens</v>
      </c>
      <c r="C86" s="31">
        <f>'D) Ecrêtage'!C75</f>
        <v>40784.156621621616</v>
      </c>
      <c r="D86" s="14">
        <f>'A) Base RI'!AO77</f>
        <v>1299</v>
      </c>
      <c r="E86" s="10">
        <f t="shared" si="3"/>
        <v>815956.01531314326</v>
      </c>
      <c r="F86" s="14">
        <f>'F) Population'!K78</f>
        <v>230805.18108651909</v>
      </c>
      <c r="G86" s="10">
        <f>'G) Solidarité'!I75</f>
        <v>442976.96708628524</v>
      </c>
      <c r="H86" s="14">
        <f t="shared" si="4"/>
        <v>673782.14817280439</v>
      </c>
      <c r="I86" s="57">
        <f t="shared" si="5"/>
        <v>142173.86714033887</v>
      </c>
    </row>
    <row r="87" spans="1:9" x14ac:dyDescent="0.25">
      <c r="A87" s="49">
        <f>'A) Base RI'!A78</f>
        <v>5515</v>
      </c>
      <c r="B87" s="32" t="str">
        <f>'A) Base RI'!B78</f>
        <v>Bretigny-sur-Morrens</v>
      </c>
      <c r="C87" s="31">
        <f>'D) Ecrêtage'!C76</f>
        <v>28825.846790123462</v>
      </c>
      <c r="D87" s="14">
        <f>'A) Base RI'!AO78</f>
        <v>861</v>
      </c>
      <c r="E87" s="10">
        <f t="shared" si="3"/>
        <v>576709.80677891232</v>
      </c>
      <c r="F87" s="14">
        <f>'F) Population'!K79</f>
        <v>108166.37323943661</v>
      </c>
      <c r="G87" s="10">
        <f>'G) Solidarité'!I76</f>
        <v>305200.34805450903</v>
      </c>
      <c r="H87" s="14">
        <f t="shared" si="4"/>
        <v>413366.72129394562</v>
      </c>
      <c r="I87" s="57">
        <f t="shared" si="5"/>
        <v>163343.08548496669</v>
      </c>
    </row>
    <row r="88" spans="1:9" x14ac:dyDescent="0.25">
      <c r="A88" s="49">
        <f>'A) Base RI'!A79</f>
        <v>5516</v>
      </c>
      <c r="B88" s="32" t="str">
        <f>'A) Base RI'!B79</f>
        <v>Cugy</v>
      </c>
      <c r="C88" s="31">
        <f>'D) Ecrêtage'!C77</f>
        <v>111163.080491453</v>
      </c>
      <c r="D88" s="14">
        <f>'A) Base RI'!AO79</f>
        <v>2768</v>
      </c>
      <c r="E88" s="10">
        <f t="shared" si="3"/>
        <v>2224005.3913399698</v>
      </c>
      <c r="F88" s="14">
        <f>'F) Population'!K80</f>
        <v>747541.44869215286</v>
      </c>
      <c r="G88" s="10">
        <f>'G) Solidarité'!I77</f>
        <v>464393.12789124186</v>
      </c>
      <c r="H88" s="14">
        <f t="shared" si="4"/>
        <v>1211934.5765833948</v>
      </c>
      <c r="I88" s="57">
        <f t="shared" si="5"/>
        <v>1012070.814756575</v>
      </c>
    </row>
    <row r="89" spans="1:9" x14ac:dyDescent="0.25">
      <c r="A89" s="49">
        <f>'A) Base RI'!A80</f>
        <v>5518</v>
      </c>
      <c r="B89" s="32" t="str">
        <f>'A) Base RI'!B80</f>
        <v>Echallens</v>
      </c>
      <c r="C89" s="31">
        <f>'D) Ecrêtage'!C78</f>
        <v>187816.41499999998</v>
      </c>
      <c r="D89" s="14">
        <f>'A) Base RI'!AO80</f>
        <v>5725</v>
      </c>
      <c r="E89" s="10">
        <f t="shared" si="3"/>
        <v>3757584.9616209692</v>
      </c>
      <c r="F89" s="14">
        <f>'F) Population'!K81</f>
        <v>2271368.2092555333</v>
      </c>
      <c r="G89" s="10">
        <f>'G) Solidarité'!I78</f>
        <v>1777310.7683366323</v>
      </c>
      <c r="H89" s="14">
        <f t="shared" si="4"/>
        <v>4048678.9775921656</v>
      </c>
      <c r="I89" s="57">
        <f t="shared" si="5"/>
        <v>-291094.01597119635</v>
      </c>
    </row>
    <row r="90" spans="1:9" x14ac:dyDescent="0.25">
      <c r="A90" s="49">
        <f>'A) Base RI'!A81</f>
        <v>5520</v>
      </c>
      <c r="B90" s="32" t="str">
        <f>'A) Base RI'!B81</f>
        <v>Essertines-sur-Yverdon</v>
      </c>
      <c r="C90" s="31">
        <f>'D) Ecrêtage'!C79</f>
        <v>29858.34041095891</v>
      </c>
      <c r="D90" s="14">
        <f>'A) Base RI'!AO81</f>
        <v>1030</v>
      </c>
      <c r="E90" s="10">
        <f t="shared" si="3"/>
        <v>597366.58751142106</v>
      </c>
      <c r="F90" s="14">
        <f>'F) Population'!K82</f>
        <v>136181.58953722334</v>
      </c>
      <c r="G90" s="10">
        <f>'G) Solidarité'!I79</f>
        <v>394145.49095603102</v>
      </c>
      <c r="H90" s="14">
        <f t="shared" si="4"/>
        <v>530327.08049325435</v>
      </c>
      <c r="I90" s="57">
        <f t="shared" si="5"/>
        <v>67039.507018166711</v>
      </c>
    </row>
    <row r="91" spans="1:9" x14ac:dyDescent="0.25">
      <c r="A91" s="49">
        <f>'A) Base RI'!A82</f>
        <v>5521</v>
      </c>
      <c r="B91" s="32" t="str">
        <f>'A) Base RI'!B82</f>
        <v>Etagnières</v>
      </c>
      <c r="C91" s="31">
        <f>'D) Ecrêtage'!C80</f>
        <v>48278.723150684935</v>
      </c>
      <c r="D91" s="14">
        <f>'A) Base RI'!AO82</f>
        <v>1143</v>
      </c>
      <c r="E91" s="10">
        <f t="shared" si="3"/>
        <v>965897.49132031866</v>
      </c>
      <c r="F91" s="14">
        <f>'F) Population'!K83</f>
        <v>175930.53319919517</v>
      </c>
      <c r="G91" s="10">
        <f>'G) Solidarité'!I80</f>
        <v>117838.52627489343</v>
      </c>
      <c r="H91" s="14">
        <f t="shared" si="4"/>
        <v>293769.0594740886</v>
      </c>
      <c r="I91" s="57">
        <f t="shared" si="5"/>
        <v>672128.43184623006</v>
      </c>
    </row>
    <row r="92" spans="1:9" x14ac:dyDescent="0.25">
      <c r="A92" s="49">
        <f>'A) Base RI'!A83</f>
        <v>5522</v>
      </c>
      <c r="B92" s="32" t="str">
        <f>'A) Base RI'!B83</f>
        <v>Fey</v>
      </c>
      <c r="C92" s="31">
        <f>'D) Ecrêtage'!C81</f>
        <v>22727.539066666664</v>
      </c>
      <c r="D92" s="14">
        <f>'A) Base RI'!AO83</f>
        <v>751</v>
      </c>
      <c r="E92" s="10">
        <f t="shared" si="3"/>
        <v>454702.84911763301</v>
      </c>
      <c r="F92" s="14">
        <f>'F) Population'!K84</f>
        <v>94347.20824949698</v>
      </c>
      <c r="G92" s="10">
        <f>'G) Solidarité'!I81</f>
        <v>282029.5439965374</v>
      </c>
      <c r="H92" s="14">
        <f t="shared" si="4"/>
        <v>376376.75224603439</v>
      </c>
      <c r="I92" s="57">
        <f t="shared" si="5"/>
        <v>78326.096871598624</v>
      </c>
    </row>
    <row r="93" spans="1:9" x14ac:dyDescent="0.25">
      <c r="A93" s="49">
        <f>'A) Base RI'!A84</f>
        <v>5523</v>
      </c>
      <c r="B93" s="32" t="str">
        <f>'A) Base RI'!B84</f>
        <v>Froideville</v>
      </c>
      <c r="C93" s="31">
        <f>'D) Ecrêtage'!C82</f>
        <v>89231.727236842082</v>
      </c>
      <c r="D93" s="14">
        <f>'A) Base RI'!AO84</f>
        <v>2638</v>
      </c>
      <c r="E93" s="10">
        <f t="shared" si="3"/>
        <v>1785231.585666365</v>
      </c>
      <c r="F93" s="14">
        <f>'F) Population'!K85</f>
        <v>701812.57545271621</v>
      </c>
      <c r="G93" s="10">
        <f>'G) Solidarité'!I82</f>
        <v>802340.3294065271</v>
      </c>
      <c r="H93" s="14">
        <f t="shared" si="4"/>
        <v>1504152.9048592434</v>
      </c>
      <c r="I93" s="57">
        <f t="shared" si="5"/>
        <v>281078.68080712156</v>
      </c>
    </row>
    <row r="94" spans="1:9" x14ac:dyDescent="0.25">
      <c r="A94" s="49">
        <f>'A) Base RI'!A85</f>
        <v>5527</v>
      </c>
      <c r="B94" s="32" t="str">
        <f>'A) Base RI'!B85</f>
        <v>Morrens</v>
      </c>
      <c r="C94" s="31">
        <f>'D) Ecrêtage'!C83</f>
        <v>40137.160945945958</v>
      </c>
      <c r="D94" s="14">
        <f>'A) Base RI'!AO85</f>
        <v>1126</v>
      </c>
      <c r="E94" s="10">
        <f t="shared" si="3"/>
        <v>803011.77281361166</v>
      </c>
      <c r="F94" s="14">
        <f>'F) Population'!K86</f>
        <v>169950.60362173038</v>
      </c>
      <c r="G94" s="10">
        <f>'G) Solidarité'!I83</f>
        <v>280242.76797004236</v>
      </c>
      <c r="H94" s="14">
        <f t="shared" si="4"/>
        <v>450193.37159177277</v>
      </c>
      <c r="I94" s="57">
        <f t="shared" si="5"/>
        <v>352818.4012218389</v>
      </c>
    </row>
    <row r="95" spans="1:9" x14ac:dyDescent="0.25">
      <c r="A95" s="49">
        <f>'A) Base RI'!A86</f>
        <v>5529</v>
      </c>
      <c r="B95" s="32" t="str">
        <f>'A) Base RI'!B86</f>
        <v>Oulens-sous-Echallens</v>
      </c>
      <c r="C95" s="31">
        <f>'D) Ecrêtage'!C84</f>
        <v>21602.609436619721</v>
      </c>
      <c r="D95" s="14">
        <f>'A) Base RI'!AO86</f>
        <v>615</v>
      </c>
      <c r="E95" s="10">
        <f t="shared" si="3"/>
        <v>432196.72972042143</v>
      </c>
      <c r="F95" s="14">
        <f>'F) Population'!K87</f>
        <v>77261.695171026149</v>
      </c>
      <c r="G95" s="10">
        <f>'G) Solidarité'!I84</f>
        <v>147282.42221312728</v>
      </c>
      <c r="H95" s="14">
        <f t="shared" si="4"/>
        <v>224544.11738415342</v>
      </c>
      <c r="I95" s="57">
        <f t="shared" si="5"/>
        <v>207652.61233626801</v>
      </c>
    </row>
    <row r="96" spans="1:9" x14ac:dyDescent="0.25">
      <c r="A96" s="49">
        <f>'A) Base RI'!A87</f>
        <v>5530</v>
      </c>
      <c r="B96" s="32" t="str">
        <f>'A) Base RI'!B87</f>
        <v>Pailly</v>
      </c>
      <c r="C96" s="31">
        <f>'D) Ecrêtage'!C85</f>
        <v>17625.052150537631</v>
      </c>
      <c r="D96" s="14">
        <f>'A) Base RI'!AO87</f>
        <v>563</v>
      </c>
      <c r="E96" s="10">
        <f t="shared" si="3"/>
        <v>352618.97054443049</v>
      </c>
      <c r="F96" s="14">
        <f>'F) Population'!K88</f>
        <v>70728.998993963774</v>
      </c>
      <c r="G96" s="10">
        <f>'G) Solidarité'!I85</f>
        <v>211799.69131660945</v>
      </c>
      <c r="H96" s="14">
        <f t="shared" si="4"/>
        <v>282528.69031057321</v>
      </c>
      <c r="I96" s="57">
        <f t="shared" si="5"/>
        <v>70090.28023385728</v>
      </c>
    </row>
    <row r="97" spans="1:9" x14ac:dyDescent="0.25">
      <c r="A97" s="49">
        <f>'A) Base RI'!A88</f>
        <v>5531</v>
      </c>
      <c r="B97" s="32" t="str">
        <f>'A) Base RI'!B88</f>
        <v>Penthéréaz</v>
      </c>
      <c r="C97" s="31">
        <f>'D) Ecrêtage'!C86</f>
        <v>14653.782435897439</v>
      </c>
      <c r="D97" s="14">
        <f>'A) Base RI'!AO88</f>
        <v>421</v>
      </c>
      <c r="E97" s="10">
        <f t="shared" si="3"/>
        <v>293173.69577091391</v>
      </c>
      <c r="F97" s="14">
        <f>'F) Population'!K89</f>
        <v>52889.713279678064</v>
      </c>
      <c r="G97" s="10">
        <f>'G) Solidarité'!I86</f>
        <v>124919.39486732439</v>
      </c>
      <c r="H97" s="14">
        <f t="shared" si="4"/>
        <v>177809.10814700247</v>
      </c>
      <c r="I97" s="57">
        <f t="shared" si="5"/>
        <v>115364.58762391144</v>
      </c>
    </row>
    <row r="98" spans="1:9" x14ac:dyDescent="0.25">
      <c r="A98" s="49">
        <f>'A) Base RI'!A89</f>
        <v>5533</v>
      </c>
      <c r="B98" s="32" t="str">
        <f>'A) Base RI'!B89</f>
        <v>Poliez-Pittet</v>
      </c>
      <c r="C98" s="31">
        <f>'D) Ecrêtage'!C87</f>
        <v>22836.129452054793</v>
      </c>
      <c r="D98" s="14">
        <f>'A) Base RI'!AO89</f>
        <v>829</v>
      </c>
      <c r="E98" s="10">
        <f t="shared" si="3"/>
        <v>456875.38339325023</v>
      </c>
      <c r="F98" s="14">
        <f>'F) Population'!K90</f>
        <v>104146.25251509054</v>
      </c>
      <c r="G98" s="10">
        <f>'G) Solidarité'!I87</f>
        <v>342454.14952625852</v>
      </c>
      <c r="H98" s="14">
        <f t="shared" si="4"/>
        <v>446600.40204134909</v>
      </c>
      <c r="I98" s="57">
        <f t="shared" si="5"/>
        <v>10274.981351901137</v>
      </c>
    </row>
    <row r="99" spans="1:9" x14ac:dyDescent="0.25">
      <c r="A99" s="49">
        <f>'A) Base RI'!A90</f>
        <v>5534</v>
      </c>
      <c r="B99" s="32" t="str">
        <f>'A) Base RI'!B90</f>
        <v>Rueyres</v>
      </c>
      <c r="C99" s="31">
        <f>'D) Ecrêtage'!C88</f>
        <v>10463.952465753426</v>
      </c>
      <c r="D99" s="14">
        <f>'A) Base RI'!AO90</f>
        <v>265</v>
      </c>
      <c r="E99" s="10">
        <f t="shared" si="3"/>
        <v>209349.06261751262</v>
      </c>
      <c r="F99" s="14">
        <f>'F) Population'!K91</f>
        <v>33291.624748490947</v>
      </c>
      <c r="G99" s="10">
        <f>'G) Solidarité'!I88</f>
        <v>42707.94239068868</v>
      </c>
      <c r="H99" s="14">
        <f t="shared" si="4"/>
        <v>75999.56713917962</v>
      </c>
      <c r="I99" s="57">
        <f t="shared" si="5"/>
        <v>133349.495478333</v>
      </c>
    </row>
    <row r="100" spans="1:9" x14ac:dyDescent="0.25">
      <c r="A100" s="49">
        <f>'A) Base RI'!A91</f>
        <v>5535</v>
      </c>
      <c r="B100" s="32" t="str">
        <f>'A) Base RI'!B91</f>
        <v>Saint-Barthélemy</v>
      </c>
      <c r="C100" s="31">
        <f>'D) Ecrêtage'!C89</f>
        <v>22478.945584415589</v>
      </c>
      <c r="D100" s="14">
        <f>'A) Base RI'!AO91</f>
        <v>791</v>
      </c>
      <c r="E100" s="10">
        <f t="shared" si="3"/>
        <v>449729.31615746213</v>
      </c>
      <c r="F100" s="14">
        <f>'F) Population'!K92</f>
        <v>99372.359154929567</v>
      </c>
      <c r="G100" s="10">
        <f>'G) Solidarité'!I89</f>
        <v>347358.31637394975</v>
      </c>
      <c r="H100" s="14">
        <f t="shared" si="4"/>
        <v>446730.67552887934</v>
      </c>
      <c r="I100" s="57">
        <f t="shared" si="5"/>
        <v>2998.6406285827979</v>
      </c>
    </row>
    <row r="101" spans="1:9" x14ac:dyDescent="0.25">
      <c r="A101" s="49">
        <f>'A) Base RI'!A92</f>
        <v>5537</v>
      </c>
      <c r="B101" s="32" t="str">
        <f>'A) Base RI'!B92</f>
        <v>Villars-le-Terroir</v>
      </c>
      <c r="C101" s="31">
        <f>'D) Ecrêtage'!C90</f>
        <v>36268.70386986302</v>
      </c>
      <c r="D101" s="14">
        <f>'A) Base RI'!AO92</f>
        <v>1228</v>
      </c>
      <c r="E101" s="10">
        <f t="shared" si="3"/>
        <v>725616.74781664612</v>
      </c>
      <c r="F101" s="14">
        <f>'F) Population'!K93</f>
        <v>205830.18108651909</v>
      </c>
      <c r="G101" s="10">
        <f>'G) Solidarité'!I90</f>
        <v>455763.68915547908</v>
      </c>
      <c r="H101" s="14">
        <f t="shared" si="4"/>
        <v>661593.87024199823</v>
      </c>
      <c r="I101" s="57">
        <f t="shared" si="5"/>
        <v>64022.877574647893</v>
      </c>
    </row>
    <row r="102" spans="1:9" x14ac:dyDescent="0.25">
      <c r="A102" s="49">
        <f>'A) Base RI'!A93</f>
        <v>5539</v>
      </c>
      <c r="B102" s="32" t="str">
        <f>'A) Base RI'!B93</f>
        <v>Vuarrens</v>
      </c>
      <c r="C102" s="31">
        <f>'D) Ecrêtage'!C91</f>
        <v>30000.607399999997</v>
      </c>
      <c r="D102" s="14">
        <f>'A) Base RI'!AO93</f>
        <v>1054</v>
      </c>
      <c r="E102" s="10">
        <f t="shared" si="3"/>
        <v>600212.87918702292</v>
      </c>
      <c r="F102" s="14">
        <f>'F) Population'!K94</f>
        <v>144623.84305835009</v>
      </c>
      <c r="G102" s="10">
        <f>'G) Solidarité'!I91</f>
        <v>438058.98133112799</v>
      </c>
      <c r="H102" s="14">
        <f t="shared" si="4"/>
        <v>582682.82438947808</v>
      </c>
      <c r="I102" s="57">
        <f t="shared" si="5"/>
        <v>17530.054797544843</v>
      </c>
    </row>
    <row r="103" spans="1:9" x14ac:dyDescent="0.25">
      <c r="A103" s="49">
        <f>'A) Base RI'!A94</f>
        <v>5540</v>
      </c>
      <c r="B103" s="32" t="str">
        <f>'A) Base RI'!B94</f>
        <v>Montilliez</v>
      </c>
      <c r="C103" s="31">
        <f>'D) Ecrêtage'!C92</f>
        <v>64761.783243243241</v>
      </c>
      <c r="D103" s="14">
        <f>'A) Base RI'!AO94</f>
        <v>1819</v>
      </c>
      <c r="E103" s="10">
        <f t="shared" si="3"/>
        <v>1295668.9797458209</v>
      </c>
      <c r="F103" s="14">
        <f>'F) Population'!K95</f>
        <v>413720.67404426553</v>
      </c>
      <c r="G103" s="10">
        <f>'G) Solidarité'!I92</f>
        <v>454408.24901708681</v>
      </c>
      <c r="H103" s="14">
        <f t="shared" si="4"/>
        <v>868128.92306135234</v>
      </c>
      <c r="I103" s="57">
        <f t="shared" si="5"/>
        <v>427540.05668446852</v>
      </c>
    </row>
    <row r="104" spans="1:9" x14ac:dyDescent="0.25">
      <c r="A104" s="49">
        <f>'A) Base RI'!A95</f>
        <v>5541</v>
      </c>
      <c r="B104" s="32" t="str">
        <f>'A) Base RI'!B95</f>
        <v>Goumoëns</v>
      </c>
      <c r="C104" s="31">
        <f>'D) Ecrêtage'!C93</f>
        <v>37389.402987012982</v>
      </c>
      <c r="D104" s="14">
        <f>'A) Base RI'!AO95</f>
        <v>1140</v>
      </c>
      <c r="E104" s="10">
        <f t="shared" si="3"/>
        <v>748038.22864996188</v>
      </c>
      <c r="F104" s="14">
        <f>'F) Population'!K96</f>
        <v>174875.2515090543</v>
      </c>
      <c r="G104" s="10">
        <f>'G) Solidarité'!I93</f>
        <v>383418.16974685615</v>
      </c>
      <c r="H104" s="14">
        <f t="shared" si="4"/>
        <v>558293.42125591042</v>
      </c>
      <c r="I104" s="57">
        <f t="shared" si="5"/>
        <v>189744.80739405146</v>
      </c>
    </row>
    <row r="105" spans="1:9" x14ac:dyDescent="0.25">
      <c r="A105" s="49">
        <f>'A) Base RI'!A96</f>
        <v>5551</v>
      </c>
      <c r="B105" s="32" t="str">
        <f>'A) Base RI'!B96</f>
        <v>Bonvillars</v>
      </c>
      <c r="C105" s="31">
        <f>'D) Ecrêtage'!C94</f>
        <v>18282.205818181821</v>
      </c>
      <c r="D105" s="14">
        <f>'A) Base RI'!AO96</f>
        <v>490</v>
      </c>
      <c r="E105" s="10">
        <f t="shared" si="3"/>
        <v>365766.44084948272</v>
      </c>
      <c r="F105" s="14">
        <f>'F) Population'!K97</f>
        <v>61558.098591549293</v>
      </c>
      <c r="G105" s="10">
        <f>'G) Solidarité'!I94</f>
        <v>57597.417577361972</v>
      </c>
      <c r="H105" s="14">
        <f t="shared" si="4"/>
        <v>119155.51616891127</v>
      </c>
      <c r="I105" s="57">
        <f t="shared" si="5"/>
        <v>246610.92468057145</v>
      </c>
    </row>
    <row r="106" spans="1:9" x14ac:dyDescent="0.25">
      <c r="A106" s="49">
        <f>'A) Base RI'!A97</f>
        <v>5552</v>
      </c>
      <c r="B106" s="32" t="str">
        <f>'A) Base RI'!B97</f>
        <v>Bullet</v>
      </c>
      <c r="C106" s="31">
        <f>'D) Ecrêtage'!C95</f>
        <v>18372.474931506851</v>
      </c>
      <c r="D106" s="14">
        <f>'A) Base RI'!AO97</f>
        <v>657</v>
      </c>
      <c r="E106" s="10">
        <f t="shared" si="3"/>
        <v>367572.42709796369</v>
      </c>
      <c r="F106" s="14">
        <f>'F) Population'!K98</f>
        <v>82538.103621730377</v>
      </c>
      <c r="G106" s="10">
        <f>'G) Solidarité'!I95</f>
        <v>265613.21685273491</v>
      </c>
      <c r="H106" s="14">
        <f t="shared" si="4"/>
        <v>348151.32047446526</v>
      </c>
      <c r="I106" s="57">
        <f t="shared" si="5"/>
        <v>19421.106623498432</v>
      </c>
    </row>
    <row r="107" spans="1:9" x14ac:dyDescent="0.25">
      <c r="A107" s="49">
        <f>'A) Base RI'!A98</f>
        <v>5553</v>
      </c>
      <c r="B107" s="32" t="str">
        <f>'A) Base RI'!B98</f>
        <v>Champagne</v>
      </c>
      <c r="C107" s="31">
        <f>'D) Ecrêtage'!C96</f>
        <v>37695.100615384617</v>
      </c>
      <c r="D107" s="14">
        <f>'A) Base RI'!AO98</f>
        <v>1059</v>
      </c>
      <c r="E107" s="10">
        <f t="shared" si="3"/>
        <v>754154.22661090933</v>
      </c>
      <c r="F107" s="14">
        <f>'F) Population'!K99</f>
        <v>146382.6458752515</v>
      </c>
      <c r="G107" s="10">
        <f>'G) Solidarité'!I96</f>
        <v>204255.05463441322</v>
      </c>
      <c r="H107" s="14">
        <f t="shared" si="4"/>
        <v>350637.70050966472</v>
      </c>
      <c r="I107" s="57">
        <f t="shared" si="5"/>
        <v>403516.52610124461</v>
      </c>
    </row>
    <row r="108" spans="1:9" x14ac:dyDescent="0.25">
      <c r="A108" s="49">
        <f>'A) Base RI'!A99</f>
        <v>5554</v>
      </c>
      <c r="B108" s="32" t="str">
        <f>'A) Base RI'!B99</f>
        <v>Concise</v>
      </c>
      <c r="C108" s="31">
        <f>'D) Ecrêtage'!C97</f>
        <v>33287.826000000008</v>
      </c>
      <c r="D108" s="14">
        <f>'A) Base RI'!AO99</f>
        <v>1025</v>
      </c>
      <c r="E108" s="10">
        <f t="shared" si="3"/>
        <v>665979.24565142801</v>
      </c>
      <c r="F108" s="14">
        <f>'F) Population'!K100</f>
        <v>134422.78672032192</v>
      </c>
      <c r="G108" s="10">
        <f>'G) Solidarité'!I97</f>
        <v>334410.10510338383</v>
      </c>
      <c r="H108" s="14">
        <f t="shared" si="4"/>
        <v>468832.89182370575</v>
      </c>
      <c r="I108" s="57">
        <f t="shared" si="5"/>
        <v>197146.35382772225</v>
      </c>
    </row>
    <row r="109" spans="1:9" x14ac:dyDescent="0.25">
      <c r="A109" s="49">
        <f>'A) Base RI'!A100</f>
        <v>5555</v>
      </c>
      <c r="B109" s="32" t="str">
        <f>'A) Base RI'!B100</f>
        <v>Corcelles-près-Concise</v>
      </c>
      <c r="C109" s="31">
        <f>'D) Ecrêtage'!C98</f>
        <v>13538.992394366198</v>
      </c>
      <c r="D109" s="14">
        <f>'A) Base RI'!AO100</f>
        <v>401</v>
      </c>
      <c r="E109" s="10">
        <f t="shared" si="3"/>
        <v>270870.4359870308</v>
      </c>
      <c r="F109" s="14">
        <f>'F) Population'!K101</f>
        <v>50377.137826961771</v>
      </c>
      <c r="G109" s="10">
        <f>'G) Solidarité'!I98</f>
        <v>106942.97236741552</v>
      </c>
      <c r="H109" s="14">
        <f t="shared" si="4"/>
        <v>157320.11019437731</v>
      </c>
      <c r="I109" s="57">
        <f t="shared" si="5"/>
        <v>113550.32579265349</v>
      </c>
    </row>
    <row r="110" spans="1:9" x14ac:dyDescent="0.25">
      <c r="A110" s="49">
        <f>'A) Base RI'!A101</f>
        <v>5556</v>
      </c>
      <c r="B110" s="32" t="str">
        <f>'A) Base RI'!B101</f>
        <v>Fiez</v>
      </c>
      <c r="C110" s="31">
        <f>'D) Ecrêtage'!C99</f>
        <v>13049.601497584543</v>
      </c>
      <c r="D110" s="14">
        <f>'A) Base RI'!AO101</f>
        <v>445</v>
      </c>
      <c r="E110" s="10">
        <f t="shared" si="3"/>
        <v>261079.34358384041</v>
      </c>
      <c r="F110" s="14">
        <f>'F) Population'!K102</f>
        <v>55904.803822937625</v>
      </c>
      <c r="G110" s="10">
        <f>'G) Solidarité'!I99</f>
        <v>149315.12663726328</v>
      </c>
      <c r="H110" s="14">
        <f t="shared" si="4"/>
        <v>205219.93046020091</v>
      </c>
      <c r="I110" s="57">
        <f t="shared" si="5"/>
        <v>55859.413123639504</v>
      </c>
    </row>
    <row r="111" spans="1:9" x14ac:dyDescent="0.25">
      <c r="A111" s="49">
        <f>'A) Base RI'!A102</f>
        <v>5557</v>
      </c>
      <c r="B111" s="32" t="str">
        <f>'A) Base RI'!B102</f>
        <v>Fontaines-sur-Grandson</v>
      </c>
      <c r="C111" s="31">
        <f>'D) Ecrêtage'!C100</f>
        <v>6546.22</v>
      </c>
      <c r="D111" s="14">
        <f>'A) Base RI'!AO102</f>
        <v>215</v>
      </c>
      <c r="E111" s="10">
        <f t="shared" si="3"/>
        <v>130968.20013023049</v>
      </c>
      <c r="F111" s="14">
        <f>'F) Population'!K103</f>
        <v>27010.186116700199</v>
      </c>
      <c r="G111" s="10">
        <f>'G) Solidarité'!I100</f>
        <v>67591.261867944355</v>
      </c>
      <c r="H111" s="14">
        <f t="shared" si="4"/>
        <v>94601.447984644561</v>
      </c>
      <c r="I111" s="57">
        <f t="shared" si="5"/>
        <v>36366.752145585924</v>
      </c>
    </row>
    <row r="112" spans="1:9" x14ac:dyDescent="0.25">
      <c r="A112" s="49">
        <f>'A) Base RI'!A103</f>
        <v>5559</v>
      </c>
      <c r="B112" s="32" t="str">
        <f>'A) Base RI'!B103</f>
        <v>Giez</v>
      </c>
      <c r="C112" s="31">
        <f>'D) Ecrêtage'!C101</f>
        <v>20822.479090909092</v>
      </c>
      <c r="D112" s="14">
        <f>'A) Base RI'!AO103</f>
        <v>414</v>
      </c>
      <c r="E112" s="10">
        <f t="shared" si="3"/>
        <v>416588.90302888106</v>
      </c>
      <c r="F112" s="14">
        <f>'F) Population'!K104</f>
        <v>52010.311871227364</v>
      </c>
      <c r="G112" s="10">
        <f>'G) Solidarité'!I101</f>
        <v>0</v>
      </c>
      <c r="H112" s="14">
        <f t="shared" si="4"/>
        <v>52010.311871227364</v>
      </c>
      <c r="I112" s="57">
        <f t="shared" si="5"/>
        <v>364578.59115765372</v>
      </c>
    </row>
    <row r="113" spans="1:9" x14ac:dyDescent="0.25">
      <c r="A113" s="49">
        <f>'A) Base RI'!A104</f>
        <v>5560</v>
      </c>
      <c r="B113" s="32" t="str">
        <f>'A) Base RI'!B104</f>
        <v>Grandevent</v>
      </c>
      <c r="C113" s="31">
        <f>'D) Ecrêtage'!C102</f>
        <v>7406.141029411765</v>
      </c>
      <c r="D113" s="14">
        <f>'A) Base RI'!AO104</f>
        <v>222</v>
      </c>
      <c r="E113" s="10">
        <f t="shared" si="3"/>
        <v>148172.37436760624</v>
      </c>
      <c r="F113" s="14">
        <f>'F) Population'!K105</f>
        <v>27889.587525150902</v>
      </c>
      <c r="G113" s="10">
        <f>'G) Solidarité'!I102</f>
        <v>55941.996082934493</v>
      </c>
      <c r="H113" s="14">
        <f t="shared" si="4"/>
        <v>83831.583608085391</v>
      </c>
      <c r="I113" s="57">
        <f t="shared" si="5"/>
        <v>64340.790759520853</v>
      </c>
    </row>
    <row r="114" spans="1:9" x14ac:dyDescent="0.25">
      <c r="A114" s="49">
        <f>'A) Base RI'!A105</f>
        <v>5561</v>
      </c>
      <c r="B114" s="32" t="str">
        <f>'A) Base RI'!B105</f>
        <v>Grandson</v>
      </c>
      <c r="C114" s="31">
        <f>'D) Ecrêtage'!C103</f>
        <v>113542.57695652173</v>
      </c>
      <c r="D114" s="14">
        <f>'A) Base RI'!AO105</f>
        <v>3340</v>
      </c>
      <c r="E114" s="10">
        <f t="shared" si="3"/>
        <v>2271611.2416239958</v>
      </c>
      <c r="F114" s="14">
        <f>'F) Population'!K106</f>
        <v>1000005.0301810864</v>
      </c>
      <c r="G114" s="10">
        <f>'G) Solidarité'!I103</f>
        <v>826681.98336897115</v>
      </c>
      <c r="H114" s="14">
        <f t="shared" si="4"/>
        <v>1826687.0135500575</v>
      </c>
      <c r="I114" s="57">
        <f t="shared" si="5"/>
        <v>444924.22807393828</v>
      </c>
    </row>
    <row r="115" spans="1:9" x14ac:dyDescent="0.25">
      <c r="A115" s="49">
        <f>'A) Base RI'!A106</f>
        <v>5562</v>
      </c>
      <c r="B115" s="32" t="str">
        <f>'A) Base RI'!B106</f>
        <v>Mauborget</v>
      </c>
      <c r="C115" s="31">
        <f>'D) Ecrêtage'!C104</f>
        <v>5487.2855</v>
      </c>
      <c r="D115" s="14">
        <f>'A) Base RI'!AO106</f>
        <v>120</v>
      </c>
      <c r="E115" s="10">
        <f t="shared" si="3"/>
        <v>109782.42490104394</v>
      </c>
      <c r="F115" s="14">
        <f>'F) Population'!K107</f>
        <v>15075.452716297787</v>
      </c>
      <c r="G115" s="10">
        <f>'G) Solidarité'!I104</f>
        <v>3253.211434409121</v>
      </c>
      <c r="H115" s="14">
        <f t="shared" si="4"/>
        <v>18328.664150706907</v>
      </c>
      <c r="I115" s="57">
        <f t="shared" si="5"/>
        <v>91453.760750337038</v>
      </c>
    </row>
    <row r="116" spans="1:9" x14ac:dyDescent="0.25">
      <c r="A116" s="49">
        <f>'A) Base RI'!A107</f>
        <v>5563</v>
      </c>
      <c r="B116" s="32" t="str">
        <f>'A) Base RI'!B107</f>
        <v>Mutrux</v>
      </c>
      <c r="C116" s="31">
        <f>'D) Ecrêtage'!C105</f>
        <v>4022.9622499999991</v>
      </c>
      <c r="D116" s="14">
        <f>'A) Base RI'!AO107</f>
        <v>153</v>
      </c>
      <c r="E116" s="10">
        <f t="shared" si="3"/>
        <v>80486.162254608338</v>
      </c>
      <c r="F116" s="14">
        <f>'F) Population'!K108</f>
        <v>19221.202213279677</v>
      </c>
      <c r="G116" s="10">
        <f>'G) Solidarité'!I105</f>
        <v>80762.45545136086</v>
      </c>
      <c r="H116" s="14">
        <f t="shared" si="4"/>
        <v>99983.657664640545</v>
      </c>
      <c r="I116" s="57">
        <f t="shared" si="5"/>
        <v>-19497.495410032207</v>
      </c>
    </row>
    <row r="117" spans="1:9" x14ac:dyDescent="0.25">
      <c r="A117" s="49">
        <f>'A) Base RI'!A108</f>
        <v>5564</v>
      </c>
      <c r="B117" s="32" t="str">
        <f>'A) Base RI'!B108</f>
        <v>Novalles</v>
      </c>
      <c r="C117" s="31">
        <f>'D) Ecrêtage'!C106</f>
        <v>2263.2775657894736</v>
      </c>
      <c r="D117" s="14">
        <f>'A) Base RI'!AO108</f>
        <v>100</v>
      </c>
      <c r="E117" s="10">
        <f t="shared" si="3"/>
        <v>45280.69468893142</v>
      </c>
      <c r="F117" s="14">
        <f>'F) Population'!K109</f>
        <v>12562.877263581488</v>
      </c>
      <c r="G117" s="10">
        <f>'G) Solidarité'!I106</f>
        <v>56012.063133608855</v>
      </c>
      <c r="H117" s="14">
        <f t="shared" si="4"/>
        <v>68574.940397190338</v>
      </c>
      <c r="I117" s="57">
        <f t="shared" si="5"/>
        <v>-23294.245708258917</v>
      </c>
    </row>
    <row r="118" spans="1:9" x14ac:dyDescent="0.25">
      <c r="A118" s="49">
        <f>'A) Base RI'!A109</f>
        <v>5565</v>
      </c>
      <c r="B118" s="32" t="str">
        <f>'A) Base RI'!B109</f>
        <v>Onnens</v>
      </c>
      <c r="C118" s="31">
        <f>'D) Ecrêtage'!C107</f>
        <v>18486.800307692305</v>
      </c>
      <c r="D118" s="14">
        <f>'A) Base RI'!AO109</f>
        <v>497</v>
      </c>
      <c r="E118" s="10">
        <f t="shared" si="3"/>
        <v>369859.69956180092</v>
      </c>
      <c r="F118" s="14">
        <f>'F) Population'!K110</f>
        <v>62437.5</v>
      </c>
      <c r="G118" s="10">
        <f>'G) Solidarité'!I107</f>
        <v>82541.706338429445</v>
      </c>
      <c r="H118" s="14">
        <f t="shared" si="4"/>
        <v>144979.20633842945</v>
      </c>
      <c r="I118" s="57">
        <f t="shared" si="5"/>
        <v>224880.49322337148</v>
      </c>
    </row>
    <row r="119" spans="1:9" x14ac:dyDescent="0.25">
      <c r="A119" s="49">
        <f>'A) Base RI'!A110</f>
        <v>5566</v>
      </c>
      <c r="B119" s="32" t="str">
        <f>'A) Base RI'!B110</f>
        <v>Provence</v>
      </c>
      <c r="C119" s="31">
        <f>'D) Ecrêtage'!C108</f>
        <v>8488.3012345678999</v>
      </c>
      <c r="D119" s="14">
        <f>'A) Base RI'!AO110</f>
        <v>379</v>
      </c>
      <c r="E119" s="10">
        <f t="shared" si="3"/>
        <v>169822.81910088132</v>
      </c>
      <c r="F119" s="14">
        <f>'F) Population'!K111</f>
        <v>47613.304828973844</v>
      </c>
      <c r="G119" s="10">
        <f>'G) Solidarité'!I108</f>
        <v>243462.42236517838</v>
      </c>
      <c r="H119" s="14">
        <f t="shared" si="4"/>
        <v>291075.72719415225</v>
      </c>
      <c r="I119" s="57">
        <f t="shared" si="5"/>
        <v>-121252.90809327093</v>
      </c>
    </row>
    <row r="120" spans="1:9" x14ac:dyDescent="0.25">
      <c r="A120" s="49">
        <f>'A) Base RI'!A111</f>
        <v>5568</v>
      </c>
      <c r="B120" s="32" t="str">
        <f>'A) Base RI'!B111</f>
        <v>Sainte-Croix</v>
      </c>
      <c r="C120" s="31">
        <f>'D) Ecrêtage'!C109</f>
        <v>109300.43271428571</v>
      </c>
      <c r="D120" s="14">
        <f>'A) Base RI'!AO111</f>
        <v>4888</v>
      </c>
      <c r="E120" s="10">
        <f t="shared" si="3"/>
        <v>2186739.9729989767</v>
      </c>
      <c r="F120" s="14">
        <f>'F) Population'!K112</f>
        <v>1777898.3903420521</v>
      </c>
      <c r="G120" s="10">
        <f>'G) Solidarité'!I109</f>
        <v>2348414.5787679511</v>
      </c>
      <c r="H120" s="14">
        <f t="shared" si="4"/>
        <v>4126312.9691100032</v>
      </c>
      <c r="I120" s="57">
        <f t="shared" si="5"/>
        <v>-1939572.9961110265</v>
      </c>
    </row>
    <row r="121" spans="1:9" x14ac:dyDescent="0.25">
      <c r="A121" s="49">
        <f>'A) Base RI'!A112</f>
        <v>5571</v>
      </c>
      <c r="B121" s="32" t="str">
        <f>'A) Base RI'!B112</f>
        <v>Tévenon</v>
      </c>
      <c r="C121" s="31">
        <f>'D) Ecrêtage'!C110</f>
        <v>24815.960251141551</v>
      </c>
      <c r="D121" s="14">
        <f>'A) Base RI'!AO112</f>
        <v>896</v>
      </c>
      <c r="E121" s="10">
        <f t="shared" si="3"/>
        <v>496485.24623299419</v>
      </c>
      <c r="F121" s="14">
        <f>'F) Population'!K113</f>
        <v>112563.38028169013</v>
      </c>
      <c r="G121" s="10">
        <f>'G) Solidarité'!I110</f>
        <v>367299.61720205197</v>
      </c>
      <c r="H121" s="14">
        <f t="shared" si="4"/>
        <v>479862.99748374207</v>
      </c>
      <c r="I121" s="57">
        <f t="shared" si="5"/>
        <v>16622.248749252118</v>
      </c>
    </row>
    <row r="122" spans="1:9" x14ac:dyDescent="0.25">
      <c r="A122" s="49">
        <f>'A) Base RI'!A113</f>
        <v>5581</v>
      </c>
      <c r="B122" s="32" t="str">
        <f>'A) Base RI'!B113</f>
        <v>Belmont-sur-Lausanne</v>
      </c>
      <c r="C122" s="31">
        <f>'D) Ecrêtage'!C111</f>
        <v>187774.68592592591</v>
      </c>
      <c r="D122" s="14">
        <f>'A) Base RI'!AO113</f>
        <v>3773</v>
      </c>
      <c r="E122" s="10">
        <f t="shared" si="3"/>
        <v>3756750.1009342549</v>
      </c>
      <c r="F122" s="14">
        <f>'F) Population'!K114</f>
        <v>1217594.0643863177</v>
      </c>
      <c r="G122" s="10">
        <f>'G) Solidarité'!I111</f>
        <v>0</v>
      </c>
      <c r="H122" s="14">
        <f t="shared" si="4"/>
        <v>1217594.0643863177</v>
      </c>
      <c r="I122" s="57">
        <f t="shared" si="5"/>
        <v>2539156.0365479374</v>
      </c>
    </row>
    <row r="123" spans="1:9" x14ac:dyDescent="0.25">
      <c r="A123" s="49">
        <f>'A) Base RI'!A114</f>
        <v>5582</v>
      </c>
      <c r="B123" s="32" t="str">
        <f>'A) Base RI'!B114</f>
        <v>Cheseaux-sur-Lausanne</v>
      </c>
      <c r="C123" s="31">
        <f>'D) Ecrêtage'!C112</f>
        <v>167195.61731543625</v>
      </c>
      <c r="D123" s="14">
        <f>'A) Base RI'!AO114</f>
        <v>4339</v>
      </c>
      <c r="E123" s="10">
        <f t="shared" si="3"/>
        <v>3345031.0361499437</v>
      </c>
      <c r="F123" s="14">
        <f>'F) Population'!K115</f>
        <v>1502017.6056338027</v>
      </c>
      <c r="G123" s="10">
        <f>'G) Solidarité'!I112</f>
        <v>819224.17770586582</v>
      </c>
      <c r="H123" s="14">
        <f t="shared" si="4"/>
        <v>2321241.7833396685</v>
      </c>
      <c r="I123" s="57">
        <f t="shared" si="5"/>
        <v>1023789.2528102752</v>
      </c>
    </row>
    <row r="124" spans="1:9" x14ac:dyDescent="0.25">
      <c r="A124" s="49">
        <f>'A) Base RI'!A115</f>
        <v>5583</v>
      </c>
      <c r="B124" s="32" t="str">
        <f>'A) Base RI'!B115</f>
        <v>Crissier</v>
      </c>
      <c r="C124" s="31">
        <f>'D) Ecrêtage'!C113</f>
        <v>313349.85476923082</v>
      </c>
      <c r="D124" s="14">
        <f>'A) Base RI'!AO115</f>
        <v>7944</v>
      </c>
      <c r="E124" s="10">
        <f t="shared" si="3"/>
        <v>6269093.6892122906</v>
      </c>
      <c r="F124" s="14">
        <f>'F) Population'!K116</f>
        <v>3609465.3923541247</v>
      </c>
      <c r="G124" s="10">
        <f>'G) Solidarité'!I113</f>
        <v>1020590.1575879346</v>
      </c>
      <c r="H124" s="14">
        <f t="shared" si="4"/>
        <v>4630055.5499420594</v>
      </c>
      <c r="I124" s="57">
        <f t="shared" si="5"/>
        <v>1639038.1392702311</v>
      </c>
    </row>
    <row r="125" spans="1:9" x14ac:dyDescent="0.25">
      <c r="A125" s="49">
        <f>'A) Base RI'!A116</f>
        <v>5584</v>
      </c>
      <c r="B125" s="32" t="str">
        <f>'A) Base RI'!B116</f>
        <v>Epalinges</v>
      </c>
      <c r="C125" s="31">
        <f>'D) Ecrêtage'!C114</f>
        <v>475091.38424242428</v>
      </c>
      <c r="D125" s="14">
        <f>'A) Base RI'!AO116</f>
        <v>9701</v>
      </c>
      <c r="E125" s="10">
        <f t="shared" si="3"/>
        <v>9505006.4757386781</v>
      </c>
      <c r="F125" s="14">
        <f>'F) Population'!K117</f>
        <v>4845099.7484909464</v>
      </c>
      <c r="G125" s="10">
        <f>'G) Solidarité'!I114</f>
        <v>0</v>
      </c>
      <c r="H125" s="14">
        <f t="shared" si="4"/>
        <v>4845099.7484909464</v>
      </c>
      <c r="I125" s="57">
        <f t="shared" si="5"/>
        <v>4659906.7272477318</v>
      </c>
    </row>
    <row r="126" spans="1:9" x14ac:dyDescent="0.25">
      <c r="A126" s="49">
        <f>'A) Base RI'!A117</f>
        <v>5585</v>
      </c>
      <c r="B126" s="32" t="str">
        <f>'A) Base RI'!B117</f>
        <v>Jouxtens-Mézery</v>
      </c>
      <c r="C126" s="31">
        <f>'D) Ecrêtage'!C115</f>
        <v>229695.06966101698</v>
      </c>
      <c r="D126" s="14">
        <f>'A) Base RI'!AO117</f>
        <v>1423</v>
      </c>
      <c r="E126" s="10">
        <f t="shared" si="3"/>
        <v>4595438.2609034386</v>
      </c>
      <c r="F126" s="14">
        <f>'F) Population'!K118</f>
        <v>274423.49094567401</v>
      </c>
      <c r="G126" s="10">
        <f>'G) Solidarité'!I115</f>
        <v>0</v>
      </c>
      <c r="H126" s="14">
        <f t="shared" si="4"/>
        <v>274423.49094567401</v>
      </c>
      <c r="I126" s="57">
        <f t="shared" si="5"/>
        <v>4321014.7699577641</v>
      </c>
    </row>
    <row r="127" spans="1:9" x14ac:dyDescent="0.25">
      <c r="A127" s="49">
        <f>'A) Base RI'!A118</f>
        <v>5586</v>
      </c>
      <c r="B127" s="32" t="str">
        <f>'A) Base RI'!B118</f>
        <v>Lausanne</v>
      </c>
      <c r="C127" s="31">
        <f>'D) Ecrêtage'!C116</f>
        <v>6038274.9810970454</v>
      </c>
      <c r="D127" s="14">
        <f>'A) Base RI'!AO118</f>
        <v>139726</v>
      </c>
      <c r="E127" s="10">
        <f t="shared" si="3"/>
        <v>120805901.14076239</v>
      </c>
      <c r="F127" s="14">
        <f>'F) Population'!K119</f>
        <v>141445234.10462776</v>
      </c>
      <c r="G127" s="10">
        <f>'G) Solidarité'!I116</f>
        <v>13498826.897795804</v>
      </c>
      <c r="H127" s="14">
        <f t="shared" si="4"/>
        <v>154944061.00242355</v>
      </c>
      <c r="I127" s="57">
        <f t="shared" si="5"/>
        <v>-34138159.861661166</v>
      </c>
    </row>
    <row r="128" spans="1:9" x14ac:dyDescent="0.25">
      <c r="A128" s="49">
        <f>'A) Base RI'!A119</f>
        <v>5587</v>
      </c>
      <c r="B128" s="32" t="str">
        <f>'A) Base RI'!B119</f>
        <v>Le Mont-sur-Lausanne</v>
      </c>
      <c r="C128" s="31">
        <f>'D) Ecrêtage'!C117</f>
        <v>437426.32075555553</v>
      </c>
      <c r="D128" s="14">
        <f>'A) Base RI'!AO119</f>
        <v>8991</v>
      </c>
      <c r="E128" s="10">
        <f t="shared" si="3"/>
        <v>8751453.1926736329</v>
      </c>
      <c r="F128" s="14">
        <f>'F) Population'!K120</f>
        <v>4240825.352112676</v>
      </c>
      <c r="G128" s="10">
        <f>'G) Solidarité'!I117</f>
        <v>0</v>
      </c>
      <c r="H128" s="14">
        <f t="shared" si="4"/>
        <v>4240825.352112676</v>
      </c>
      <c r="I128" s="57">
        <f t="shared" si="5"/>
        <v>4510627.8405609569</v>
      </c>
    </row>
    <row r="129" spans="1:9" x14ac:dyDescent="0.25">
      <c r="A129" s="49">
        <f>'A) Base RI'!A120</f>
        <v>5588</v>
      </c>
      <c r="B129" s="32" t="str">
        <f>'A) Base RI'!B120</f>
        <v>Paudex</v>
      </c>
      <c r="C129" s="31">
        <f>'D) Ecrêtage'!C118</f>
        <v>134588.09264705883</v>
      </c>
      <c r="D129" s="14">
        <f>'A) Base RI'!AO120</f>
        <v>1532</v>
      </c>
      <c r="E129" s="10">
        <f t="shared" si="3"/>
        <v>2692662.3689619359</v>
      </c>
      <c r="F129" s="14">
        <f>'F) Population'!K121</f>
        <v>312765.39235412469</v>
      </c>
      <c r="G129" s="10">
        <f>'G) Solidarité'!I118</f>
        <v>0</v>
      </c>
      <c r="H129" s="14">
        <f t="shared" si="4"/>
        <v>312765.39235412469</v>
      </c>
      <c r="I129" s="57">
        <f t="shared" si="5"/>
        <v>2379896.9766078112</v>
      </c>
    </row>
    <row r="130" spans="1:9" x14ac:dyDescent="0.25">
      <c r="A130" s="49">
        <f>'A) Base RI'!A121</f>
        <v>5589</v>
      </c>
      <c r="B130" s="32" t="str">
        <f>'A) Base RI'!B121</f>
        <v>Prilly</v>
      </c>
      <c r="C130" s="31">
        <f>'D) Ecrêtage'!C119</f>
        <v>418113.86360020924</v>
      </c>
      <c r="D130" s="14">
        <f>'A) Base RI'!AO121</f>
        <v>12423</v>
      </c>
      <c r="E130" s="10">
        <f t="shared" si="3"/>
        <v>8365074.831767966</v>
      </c>
      <c r="F130" s="14">
        <f>'F) Population'!K122</f>
        <v>7234207.2434607651</v>
      </c>
      <c r="G130" s="10">
        <f>'G) Solidarité'!I119</f>
        <v>3578860.168137514</v>
      </c>
      <c r="H130" s="14">
        <f t="shared" si="4"/>
        <v>10813067.41159828</v>
      </c>
      <c r="I130" s="57">
        <f t="shared" si="5"/>
        <v>-2447992.579830314</v>
      </c>
    </row>
    <row r="131" spans="1:9" x14ac:dyDescent="0.25">
      <c r="A131" s="49">
        <f>'A) Base RI'!A122</f>
        <v>5590</v>
      </c>
      <c r="B131" s="32" t="str">
        <f>'A) Base RI'!B122</f>
        <v>Pully</v>
      </c>
      <c r="C131" s="31">
        <f>'D) Ecrêtage'!C120</f>
        <v>1533094.7704683845</v>
      </c>
      <c r="D131" s="14">
        <f>'A) Base RI'!AO122</f>
        <v>18495</v>
      </c>
      <c r="E131" s="10">
        <f t="shared" si="3"/>
        <v>30672153.199451461</v>
      </c>
      <c r="F131" s="14">
        <f>'F) Population'!K123</f>
        <v>13512379.527162978</v>
      </c>
      <c r="G131" s="10">
        <f>'G) Solidarité'!I120</f>
        <v>0</v>
      </c>
      <c r="H131" s="14">
        <f t="shared" si="4"/>
        <v>13512379.527162978</v>
      </c>
      <c r="I131" s="57">
        <f t="shared" si="5"/>
        <v>17159773.672288485</v>
      </c>
    </row>
    <row r="132" spans="1:9" x14ac:dyDescent="0.25">
      <c r="A132" s="49">
        <f>'A) Base RI'!A123</f>
        <v>5591</v>
      </c>
      <c r="B132" s="32" t="str">
        <f>'A) Base RI'!B123</f>
        <v>Renens</v>
      </c>
      <c r="C132" s="31">
        <f>'D) Ecrêtage'!C121</f>
        <v>563128.30316651508</v>
      </c>
      <c r="D132" s="14">
        <f>'A) Base RI'!AO123</f>
        <v>20928</v>
      </c>
      <c r="E132" s="10">
        <f t="shared" si="3"/>
        <v>11266333.90080218</v>
      </c>
      <c r="F132" s="14">
        <f>'F) Population'!K124</f>
        <v>16079879.879275654</v>
      </c>
      <c r="G132" s="10">
        <f>'G) Solidarité'!I121</f>
        <v>10323126.730573136</v>
      </c>
      <c r="H132" s="14">
        <f t="shared" si="4"/>
        <v>26403006.60984879</v>
      </c>
      <c r="I132" s="57">
        <f t="shared" si="5"/>
        <v>-15136672.70904661</v>
      </c>
    </row>
    <row r="133" spans="1:9" x14ac:dyDescent="0.25">
      <c r="A133" s="49">
        <f>'A) Base RI'!A124</f>
        <v>5592</v>
      </c>
      <c r="B133" s="32" t="str">
        <f>'A) Base RI'!B124</f>
        <v>Romanel-sur-Lausanne</v>
      </c>
      <c r="C133" s="31">
        <f>'D) Ecrêtage'!C122</f>
        <v>113674.73902777777</v>
      </c>
      <c r="D133" s="14">
        <f>'A) Base RI'!AO124</f>
        <v>3294</v>
      </c>
      <c r="E133" s="10">
        <f t="shared" si="3"/>
        <v>2274255.3673328608</v>
      </c>
      <c r="F133" s="14">
        <f>'F) Population'!K125</f>
        <v>976889.33601609652</v>
      </c>
      <c r="G133" s="10">
        <f>'G) Solidarité'!I122</f>
        <v>852923.26576697873</v>
      </c>
      <c r="H133" s="14">
        <f t="shared" si="4"/>
        <v>1829812.6017830754</v>
      </c>
      <c r="I133" s="57">
        <f t="shared" si="5"/>
        <v>444442.76554978546</v>
      </c>
    </row>
    <row r="134" spans="1:9" x14ac:dyDescent="0.25">
      <c r="A134" s="49">
        <f>'A) Base RI'!A125</f>
        <v>5601</v>
      </c>
      <c r="B134" s="32" t="str">
        <f>'A) Base RI'!B125</f>
        <v>Chexbres</v>
      </c>
      <c r="C134" s="31">
        <f>'D) Ecrêtage'!C123</f>
        <v>103470.98536231882</v>
      </c>
      <c r="D134" s="14">
        <f>'A) Base RI'!AO125</f>
        <v>2235</v>
      </c>
      <c r="E134" s="10">
        <f t="shared" si="3"/>
        <v>2070112.0216864573</v>
      </c>
      <c r="F134" s="14">
        <f>'F) Population'!K126</f>
        <v>560053.0684104627</v>
      </c>
      <c r="G134" s="10">
        <f>'G) Solidarité'!I123</f>
        <v>34926.249005537567</v>
      </c>
      <c r="H134" s="14">
        <f t="shared" si="4"/>
        <v>594979.3174160003</v>
      </c>
      <c r="I134" s="57">
        <f t="shared" si="5"/>
        <v>1475132.7042704569</v>
      </c>
    </row>
    <row r="135" spans="1:9" x14ac:dyDescent="0.25">
      <c r="A135" s="49">
        <f>'A) Base RI'!A126</f>
        <v>5604</v>
      </c>
      <c r="B135" s="32" t="str">
        <f>'A) Base RI'!B126</f>
        <v>Forel (Lavaux)</v>
      </c>
      <c r="C135" s="31">
        <f>'D) Ecrêtage'!C124</f>
        <v>73971.129714285707</v>
      </c>
      <c r="D135" s="14">
        <f>'A) Base RI'!AO126</f>
        <v>2064</v>
      </c>
      <c r="E135" s="10">
        <f t="shared" si="3"/>
        <v>1479917.5280207219</v>
      </c>
      <c r="F135" s="14">
        <f>'F) Population'!K127</f>
        <v>499902.01207243453</v>
      </c>
      <c r="G135" s="10">
        <f>'G) Solidarité'!I124</f>
        <v>451935.88709415129</v>
      </c>
      <c r="H135" s="14">
        <f t="shared" si="4"/>
        <v>951837.89916658588</v>
      </c>
      <c r="I135" s="57">
        <f t="shared" si="5"/>
        <v>528079.62885413598</v>
      </c>
    </row>
    <row r="136" spans="1:9" x14ac:dyDescent="0.25">
      <c r="A136" s="49">
        <f>'A) Base RI'!A127</f>
        <v>5606</v>
      </c>
      <c r="B136" s="32" t="str">
        <f>'A) Base RI'!B127</f>
        <v>Lutry</v>
      </c>
      <c r="C136" s="31">
        <f>'D) Ecrêtage'!C125</f>
        <v>806998.35454311455</v>
      </c>
      <c r="D136" s="14">
        <f>'A) Base RI'!AO127</f>
        <v>10357</v>
      </c>
      <c r="E136" s="10">
        <f t="shared" si="3"/>
        <v>16145366.639460532</v>
      </c>
      <c r="F136" s="14">
        <f>'F) Population'!K128</f>
        <v>5405504.5774647892</v>
      </c>
      <c r="G136" s="10">
        <f>'G) Solidarité'!I125</f>
        <v>0</v>
      </c>
      <c r="H136" s="14">
        <f t="shared" si="4"/>
        <v>5405504.5774647892</v>
      </c>
      <c r="I136" s="57">
        <f t="shared" si="5"/>
        <v>10739862.061995743</v>
      </c>
    </row>
    <row r="137" spans="1:9" x14ac:dyDescent="0.25">
      <c r="A137" s="49">
        <f>'A) Base RI'!A128</f>
        <v>5607</v>
      </c>
      <c r="B137" s="32" t="str">
        <f>'A) Base RI'!B128</f>
        <v>Puidoux</v>
      </c>
      <c r="C137" s="31">
        <f>'D) Ecrêtage'!C126</f>
        <v>100918.13995031056</v>
      </c>
      <c r="D137" s="14">
        <f>'A) Base RI'!AO128</f>
        <v>2881</v>
      </c>
      <c r="E137" s="10">
        <f t="shared" si="3"/>
        <v>2019038.0326024611</v>
      </c>
      <c r="F137" s="14">
        <f>'F) Population'!K129</f>
        <v>787290.39235412469</v>
      </c>
      <c r="G137" s="10">
        <f>'G) Solidarité'!I126</f>
        <v>676094.45618908189</v>
      </c>
      <c r="H137" s="14">
        <f t="shared" si="4"/>
        <v>1463384.8485432067</v>
      </c>
      <c r="I137" s="57">
        <f t="shared" si="5"/>
        <v>555653.18405925436</v>
      </c>
    </row>
    <row r="138" spans="1:9" x14ac:dyDescent="0.25">
      <c r="A138" s="49">
        <f>'A) Base RI'!A129</f>
        <v>5609</v>
      </c>
      <c r="B138" s="32" t="str">
        <f>'A) Base RI'!B129</f>
        <v>Rivaz</v>
      </c>
      <c r="C138" s="31">
        <f>'D) Ecrêtage'!C127</f>
        <v>13641.583779527558</v>
      </c>
      <c r="D138" s="14">
        <f>'A) Base RI'!AO129</f>
        <v>342</v>
      </c>
      <c r="E138" s="10">
        <f t="shared" si="3"/>
        <v>272922.95011937746</v>
      </c>
      <c r="F138" s="14">
        <f>'F) Population'!K130</f>
        <v>42965.040241448689</v>
      </c>
      <c r="G138" s="10">
        <f>'G) Solidarité'!I127</f>
        <v>39515.397417413587</v>
      </c>
      <c r="H138" s="14">
        <f t="shared" si="4"/>
        <v>82480.437658862269</v>
      </c>
      <c r="I138" s="57">
        <f t="shared" si="5"/>
        <v>190442.51246051519</v>
      </c>
    </row>
    <row r="139" spans="1:9" x14ac:dyDescent="0.25">
      <c r="A139" s="49">
        <f>'A) Base RI'!A130</f>
        <v>5610</v>
      </c>
      <c r="B139" s="32" t="str">
        <f>'A) Base RI'!B130</f>
        <v>St-Saphorin (Lavaux)</v>
      </c>
      <c r="C139" s="31">
        <f>'D) Ecrêtage'!C128</f>
        <v>22278.713000000003</v>
      </c>
      <c r="D139" s="14">
        <f>'A) Base RI'!AO130</f>
        <v>384</v>
      </c>
      <c r="E139" s="10">
        <f t="shared" si="3"/>
        <v>445723.32473213063</v>
      </c>
      <c r="F139" s="14">
        <f>'F) Population'!K131</f>
        <v>48241.448692152917</v>
      </c>
      <c r="G139" s="10">
        <f>'G) Solidarité'!I128</f>
        <v>0</v>
      </c>
      <c r="H139" s="14">
        <f t="shared" si="4"/>
        <v>48241.448692152917</v>
      </c>
      <c r="I139" s="57">
        <f t="shared" si="5"/>
        <v>397481.87603997771</v>
      </c>
    </row>
    <row r="140" spans="1:9" x14ac:dyDescent="0.25">
      <c r="A140" s="49">
        <f>'A) Base RI'!A131</f>
        <v>5611</v>
      </c>
      <c r="B140" s="32" t="str">
        <f>'A) Base RI'!B131</f>
        <v>Savigny</v>
      </c>
      <c r="C140" s="31">
        <f>'D) Ecrêtage'!C129</f>
        <v>134929.74355072467</v>
      </c>
      <c r="D140" s="14">
        <f>'A) Base RI'!AO131</f>
        <v>3359</v>
      </c>
      <c r="E140" s="10">
        <f t="shared" si="3"/>
        <v>2699497.6729886844</v>
      </c>
      <c r="F140" s="14">
        <f>'F) Population'!K132</f>
        <v>1009552.8169014084</v>
      </c>
      <c r="G140" s="10">
        <f>'G) Solidarité'!I129</f>
        <v>440395.72986342252</v>
      </c>
      <c r="H140" s="14">
        <f t="shared" si="4"/>
        <v>1449948.5467648308</v>
      </c>
      <c r="I140" s="57">
        <f t="shared" si="5"/>
        <v>1249549.1262238536</v>
      </c>
    </row>
    <row r="141" spans="1:9" x14ac:dyDescent="0.25">
      <c r="A141" s="49">
        <f>'A) Base RI'!A132</f>
        <v>5613</v>
      </c>
      <c r="B141" s="32" t="str">
        <f>'A) Base RI'!B132</f>
        <v>Bourg-en-Lavaux</v>
      </c>
      <c r="C141" s="31">
        <f>'D) Ecrêtage'!C130</f>
        <v>333126.87406250008</v>
      </c>
      <c r="D141" s="14">
        <f>'A) Base RI'!AO132</f>
        <v>5345</v>
      </c>
      <c r="E141" s="10">
        <f t="shared" si="3"/>
        <v>6664766.4012171291</v>
      </c>
      <c r="F141" s="14">
        <f>'F) Population'!K133</f>
        <v>2042221.3279678067</v>
      </c>
      <c r="G141" s="10">
        <f>'G) Solidarité'!I130</f>
        <v>0</v>
      </c>
      <c r="H141" s="14">
        <f t="shared" si="4"/>
        <v>2042221.3279678067</v>
      </c>
      <c r="I141" s="57">
        <f t="shared" si="5"/>
        <v>4622545.0732493224</v>
      </c>
    </row>
    <row r="142" spans="1:9" x14ac:dyDescent="0.25">
      <c r="A142" s="49">
        <f>'A) Base RI'!A133</f>
        <v>5621</v>
      </c>
      <c r="B142" s="32" t="str">
        <f>'A) Base RI'!B133</f>
        <v>Aclens</v>
      </c>
      <c r="C142" s="31">
        <f>'D) Ecrêtage'!C131</f>
        <v>27514.906070381232</v>
      </c>
      <c r="D142" s="14">
        <f>'A) Base RI'!AO133</f>
        <v>539</v>
      </c>
      <c r="E142" s="10">
        <f t="shared" si="3"/>
        <v>550482.22100543254</v>
      </c>
      <c r="F142" s="14">
        <f>'F) Population'!K134</f>
        <v>67713.908450704228</v>
      </c>
      <c r="G142" s="10">
        <f>'G) Solidarité'!I131</f>
        <v>0</v>
      </c>
      <c r="H142" s="14">
        <f t="shared" si="4"/>
        <v>67713.908450704228</v>
      </c>
      <c r="I142" s="57">
        <f t="shared" si="5"/>
        <v>482768.3125547283</v>
      </c>
    </row>
    <row r="143" spans="1:9" x14ac:dyDescent="0.25">
      <c r="A143" s="49">
        <f>'A) Base RI'!A134</f>
        <v>5622</v>
      </c>
      <c r="B143" s="32" t="str">
        <f>'A) Base RI'!B134</f>
        <v>Bremblens</v>
      </c>
      <c r="C143" s="31">
        <f>'D) Ecrêtage'!C132</f>
        <v>27505.151666666668</v>
      </c>
      <c r="D143" s="14">
        <f>'A) Base RI'!AO134</f>
        <v>577</v>
      </c>
      <c r="E143" s="10">
        <f t="shared" si="3"/>
        <v>550287.06766536145</v>
      </c>
      <c r="F143" s="14">
        <f>'F) Population'!K135</f>
        <v>72487.801810865189</v>
      </c>
      <c r="G143" s="10">
        <f>'G) Solidarité'!I132</f>
        <v>0</v>
      </c>
      <c r="H143" s="14">
        <f t="shared" si="4"/>
        <v>72487.801810865189</v>
      </c>
      <c r="I143" s="57">
        <f t="shared" si="5"/>
        <v>477799.26585449628</v>
      </c>
    </row>
    <row r="144" spans="1:9" x14ac:dyDescent="0.25">
      <c r="A144" s="49">
        <f>'A) Base RI'!A135</f>
        <v>5623</v>
      </c>
      <c r="B144" s="32" t="str">
        <f>'A) Base RI'!B135</f>
        <v>Buchillon</v>
      </c>
      <c r="C144" s="31">
        <f>'D) Ecrêtage'!C133</f>
        <v>89779.897358490547</v>
      </c>
      <c r="D144" s="14">
        <f>'A) Base RI'!AO135</f>
        <v>686</v>
      </c>
      <c r="E144" s="10">
        <f t="shared" si="3"/>
        <v>1796198.6558530482</v>
      </c>
      <c r="F144" s="14">
        <f>'F) Population'!K136</f>
        <v>86181.338028169004</v>
      </c>
      <c r="G144" s="10">
        <f>'G) Solidarité'!I133</f>
        <v>0</v>
      </c>
      <c r="H144" s="14">
        <f t="shared" si="4"/>
        <v>86181.338028169004</v>
      </c>
      <c r="I144" s="57">
        <f t="shared" si="5"/>
        <v>1710017.3178248792</v>
      </c>
    </row>
    <row r="145" spans="1:9" x14ac:dyDescent="0.25">
      <c r="A145" s="49">
        <f>'A) Base RI'!A136</f>
        <v>5624</v>
      </c>
      <c r="B145" s="32" t="str">
        <f>'A) Base RI'!B136</f>
        <v>Bussigny</v>
      </c>
      <c r="C145" s="31">
        <f>'D) Ecrêtage'!C134</f>
        <v>397950.93625000003</v>
      </c>
      <c r="D145" s="14">
        <f>'A) Base RI'!AO136</f>
        <v>8962</v>
      </c>
      <c r="E145" s="10">
        <f t="shared" ref="E145:E208" si="6">C145*E$15</f>
        <v>7961681.3765505282</v>
      </c>
      <c r="F145" s="14">
        <f>'F) Population'!K137</f>
        <v>4223337.8269617707</v>
      </c>
      <c r="G145" s="10">
        <f>'G) Solidarité'!I134</f>
        <v>395402.87429892336</v>
      </c>
      <c r="H145" s="14">
        <f t="shared" ref="H145:H208" si="7">F145+G145</f>
        <v>4618740.7012606943</v>
      </c>
      <c r="I145" s="57">
        <f t="shared" ref="I145:I208" si="8">E145-H145</f>
        <v>3342940.6752898339</v>
      </c>
    </row>
    <row r="146" spans="1:9" x14ac:dyDescent="0.25">
      <c r="A146" s="49">
        <f>'A) Base RI'!A137</f>
        <v>5625</v>
      </c>
      <c r="B146" s="32" t="str">
        <f>'A) Base RI'!B137</f>
        <v>Bussy-Chardonney</v>
      </c>
      <c r="C146" s="31">
        <f>'D) Ecrêtage'!C135</f>
        <v>16807.989913419911</v>
      </c>
      <c r="D146" s="14">
        <f>'A) Base RI'!AO137</f>
        <v>384</v>
      </c>
      <c r="E146" s="10">
        <f t="shared" si="6"/>
        <v>336272.25891700468</v>
      </c>
      <c r="F146" s="14">
        <f>'F) Population'!K138</f>
        <v>48241.448692152917</v>
      </c>
      <c r="G146" s="10">
        <f>'G) Solidarité'!I135</f>
        <v>30234.037640131857</v>
      </c>
      <c r="H146" s="14">
        <f t="shared" si="7"/>
        <v>78475.486332284781</v>
      </c>
      <c r="I146" s="57">
        <f t="shared" si="8"/>
        <v>257796.7725847199</v>
      </c>
    </row>
    <row r="147" spans="1:9" x14ac:dyDescent="0.25">
      <c r="A147" s="49">
        <f>'A) Base RI'!A138</f>
        <v>5627</v>
      </c>
      <c r="B147" s="32" t="str">
        <f>'A) Base RI'!B138</f>
        <v>Chavannes-près-Renens</v>
      </c>
      <c r="C147" s="31">
        <f>'D) Ecrêtage'!C136</f>
        <v>211976.34008438818</v>
      </c>
      <c r="D147" s="14">
        <f>'A) Base RI'!AO138</f>
        <v>7887</v>
      </c>
      <c r="E147" s="10">
        <f t="shared" si="6"/>
        <v>4240945.1150505105</v>
      </c>
      <c r="F147" s="14">
        <f>'F) Population'!K139</f>
        <v>3575093.3601609655</v>
      </c>
      <c r="G147" s="10">
        <f>'G) Solidarité'!I136</f>
        <v>3946210.5115795569</v>
      </c>
      <c r="H147" s="14">
        <f t="shared" si="7"/>
        <v>7521303.8717405219</v>
      </c>
      <c r="I147" s="57">
        <f t="shared" si="8"/>
        <v>-3280358.7566900114</v>
      </c>
    </row>
    <row r="148" spans="1:9" x14ac:dyDescent="0.25">
      <c r="A148" s="49">
        <f>'A) Base RI'!A139</f>
        <v>5628</v>
      </c>
      <c r="B148" s="32" t="str">
        <f>'A) Base RI'!B139</f>
        <v>Chigny</v>
      </c>
      <c r="C148" s="31">
        <f>'D) Ecrêtage'!C137</f>
        <v>22390.960806451614</v>
      </c>
      <c r="D148" s="14">
        <f>'A) Base RI'!AO139</f>
        <v>382</v>
      </c>
      <c r="E148" s="10">
        <f t="shared" si="6"/>
        <v>447969.03190047113</v>
      </c>
      <c r="F148" s="14">
        <f>'F) Population'!K140</f>
        <v>47990.191146881283</v>
      </c>
      <c r="G148" s="10">
        <f>'G) Solidarité'!I137</f>
        <v>0</v>
      </c>
      <c r="H148" s="14">
        <f t="shared" si="7"/>
        <v>47990.191146881283</v>
      </c>
      <c r="I148" s="57">
        <f t="shared" si="8"/>
        <v>399978.84075358987</v>
      </c>
    </row>
    <row r="149" spans="1:9" x14ac:dyDescent="0.25">
      <c r="A149" s="49">
        <f>'A) Base RI'!A140</f>
        <v>5629</v>
      </c>
      <c r="B149" s="32" t="str">
        <f>'A) Base RI'!B140</f>
        <v>Clarmont</v>
      </c>
      <c r="C149" s="31">
        <f>'D) Ecrêtage'!C138</f>
        <v>6767.1243999999997</v>
      </c>
      <c r="D149" s="14">
        <f>'A) Base RI'!AO140</f>
        <v>191</v>
      </c>
      <c r="E149" s="10">
        <f t="shared" si="6"/>
        <v>135387.76618038592</v>
      </c>
      <c r="F149" s="14">
        <f>'F) Population'!K141</f>
        <v>23995.095573440642</v>
      </c>
      <c r="G149" s="10">
        <f>'G) Solidarité'!I138</f>
        <v>49748.27554338835</v>
      </c>
      <c r="H149" s="14">
        <f t="shared" si="7"/>
        <v>73743.371116828988</v>
      </c>
      <c r="I149" s="57">
        <f t="shared" si="8"/>
        <v>61644.395063556934</v>
      </c>
    </row>
    <row r="150" spans="1:9" x14ac:dyDescent="0.25">
      <c r="A150" s="49">
        <f>'A) Base RI'!A141</f>
        <v>5631</v>
      </c>
      <c r="B150" s="32" t="str">
        <f>'A) Base RI'!B141</f>
        <v>Denens</v>
      </c>
      <c r="C150" s="31">
        <f>'D) Ecrêtage'!C139</f>
        <v>51475.873428571431</v>
      </c>
      <c r="D150" s="14">
        <f>'A) Base RI'!AO141</f>
        <v>742</v>
      </c>
      <c r="E150" s="10">
        <f t="shared" si="6"/>
        <v>1029861.8887039478</v>
      </c>
      <c r="F150" s="14">
        <f>'F) Population'!K142</f>
        <v>93216.549295774646</v>
      </c>
      <c r="G150" s="10">
        <f>'G) Solidarité'!I139</f>
        <v>0</v>
      </c>
      <c r="H150" s="14">
        <f t="shared" si="7"/>
        <v>93216.549295774646</v>
      </c>
      <c r="I150" s="57">
        <f t="shared" si="8"/>
        <v>936645.33940817311</v>
      </c>
    </row>
    <row r="151" spans="1:9" x14ac:dyDescent="0.25">
      <c r="A151" s="49">
        <f>'A) Base RI'!A142</f>
        <v>5632</v>
      </c>
      <c r="B151" s="32" t="str">
        <f>'A) Base RI'!B142</f>
        <v>Denges</v>
      </c>
      <c r="C151" s="31">
        <f>'D) Ecrêtage'!C140</f>
        <v>72992.009193548365</v>
      </c>
      <c r="D151" s="14">
        <f>'A) Base RI'!AO142</f>
        <v>1609</v>
      </c>
      <c r="E151" s="10">
        <f t="shared" si="6"/>
        <v>1460328.5664044693</v>
      </c>
      <c r="F151" s="14">
        <f>'F) Population'!K143</f>
        <v>339850.95573440642</v>
      </c>
      <c r="G151" s="10">
        <f>'G) Solidarité'!I140</f>
        <v>43098.046310115831</v>
      </c>
      <c r="H151" s="14">
        <f t="shared" si="7"/>
        <v>382949.00204452226</v>
      </c>
      <c r="I151" s="57">
        <f t="shared" si="8"/>
        <v>1077379.5643599471</v>
      </c>
    </row>
    <row r="152" spans="1:9" x14ac:dyDescent="0.25">
      <c r="A152" s="49">
        <f>'A) Base RI'!A143</f>
        <v>5633</v>
      </c>
      <c r="B152" s="32" t="str">
        <f>'A) Base RI'!B143</f>
        <v>Echandens</v>
      </c>
      <c r="C152" s="31">
        <f>'D) Ecrêtage'!C141</f>
        <v>160902.30048387093</v>
      </c>
      <c r="D152" s="14">
        <f>'A) Base RI'!AO143</f>
        <v>2739</v>
      </c>
      <c r="E152" s="10">
        <f t="shared" si="6"/>
        <v>3219122.591539253</v>
      </c>
      <c r="F152" s="14">
        <f>'F) Population'!K144</f>
        <v>737340.39235412469</v>
      </c>
      <c r="G152" s="10">
        <f>'G) Solidarité'!I141</f>
        <v>0</v>
      </c>
      <c r="H152" s="14">
        <f t="shared" si="7"/>
        <v>737340.39235412469</v>
      </c>
      <c r="I152" s="57">
        <f t="shared" si="8"/>
        <v>2481782.1991851283</v>
      </c>
    </row>
    <row r="153" spans="1:9" x14ac:dyDescent="0.25">
      <c r="A153" s="49">
        <f>'A) Base RI'!A144</f>
        <v>5634</v>
      </c>
      <c r="B153" s="32" t="str">
        <f>'A) Base RI'!B144</f>
        <v>Echichens</v>
      </c>
      <c r="C153" s="31">
        <f>'D) Ecrêtage'!C142</f>
        <v>173253.00779411764</v>
      </c>
      <c r="D153" s="14">
        <f>'A) Base RI'!AO144</f>
        <v>3077</v>
      </c>
      <c r="E153" s="10">
        <f t="shared" si="6"/>
        <v>3466219.3751423541</v>
      </c>
      <c r="F153" s="14">
        <f>'F) Population'!K145</f>
        <v>867843.56136820919</v>
      </c>
      <c r="G153" s="10">
        <f>'G) Solidarité'!I142</f>
        <v>0</v>
      </c>
      <c r="H153" s="14">
        <f t="shared" si="7"/>
        <v>867843.56136820919</v>
      </c>
      <c r="I153" s="57">
        <f t="shared" si="8"/>
        <v>2598375.8137741447</v>
      </c>
    </row>
    <row r="154" spans="1:9" x14ac:dyDescent="0.25">
      <c r="A154" s="49">
        <f>'A) Base RI'!A145</f>
        <v>5635</v>
      </c>
      <c r="B154" s="32" t="str">
        <f>'A) Base RI'!B145</f>
        <v>Ecublens</v>
      </c>
      <c r="C154" s="31">
        <f>'D) Ecrêtage'!C143</f>
        <v>489428.14554687496</v>
      </c>
      <c r="D154" s="14">
        <f>'A) Base RI'!AO145</f>
        <v>13089</v>
      </c>
      <c r="E154" s="10">
        <f t="shared" si="6"/>
        <v>9791837.6277226694</v>
      </c>
      <c r="F154" s="14">
        <f>'F) Population'!K146</f>
        <v>7903557.3440643866</v>
      </c>
      <c r="G154" s="10">
        <f>'G) Solidarité'!I143</f>
        <v>2065938.4972121874</v>
      </c>
      <c r="H154" s="14">
        <f t="shared" si="7"/>
        <v>9969495.8412765749</v>
      </c>
      <c r="I154" s="57">
        <f t="shared" si="8"/>
        <v>-177658.21355390549</v>
      </c>
    </row>
    <row r="155" spans="1:9" x14ac:dyDescent="0.25">
      <c r="A155" s="49">
        <f>'A) Base RI'!A146</f>
        <v>5636</v>
      </c>
      <c r="B155" s="32" t="str">
        <f>'A) Base RI'!B146</f>
        <v>Etoy</v>
      </c>
      <c r="C155" s="31">
        <f>'D) Ecrêtage'!C144</f>
        <v>176252.1018032787</v>
      </c>
      <c r="D155" s="14">
        <f>'A) Base RI'!AO146</f>
        <v>2933</v>
      </c>
      <c r="E155" s="10">
        <f t="shared" si="6"/>
        <v>3526221.3219759744</v>
      </c>
      <c r="F155" s="14">
        <f>'F) Population'!K147</f>
        <v>805581.94164989935</v>
      </c>
      <c r="G155" s="10">
        <f>'G) Solidarité'!I144</f>
        <v>0</v>
      </c>
      <c r="H155" s="14">
        <f t="shared" si="7"/>
        <v>805581.94164989935</v>
      </c>
      <c r="I155" s="57">
        <f t="shared" si="8"/>
        <v>2720639.380326075</v>
      </c>
    </row>
    <row r="156" spans="1:9" x14ac:dyDescent="0.25">
      <c r="A156" s="49">
        <f>'A) Base RI'!A147</f>
        <v>5637</v>
      </c>
      <c r="B156" s="32" t="str">
        <f>'A) Base RI'!B147</f>
        <v>Lavigny</v>
      </c>
      <c r="C156" s="31">
        <f>'D) Ecrêtage'!C145</f>
        <v>37192.899776286358</v>
      </c>
      <c r="D156" s="14">
        <f>'A) Base RI'!AO147</f>
        <v>992</v>
      </c>
      <c r="E156" s="10">
        <f t="shared" si="6"/>
        <v>744106.84965129138</v>
      </c>
      <c r="F156" s="14">
        <f>'F) Population'!K148</f>
        <v>124623.74245472836</v>
      </c>
      <c r="G156" s="10">
        <f>'G) Solidarité'!I145</f>
        <v>209974.43822407356</v>
      </c>
      <c r="H156" s="14">
        <f t="shared" si="7"/>
        <v>334598.1806788019</v>
      </c>
      <c r="I156" s="57">
        <f t="shared" si="8"/>
        <v>409508.66897248948</v>
      </c>
    </row>
    <row r="157" spans="1:9" x14ac:dyDescent="0.25">
      <c r="A157" s="49">
        <f>'A) Base RI'!A148</f>
        <v>5638</v>
      </c>
      <c r="B157" s="32" t="str">
        <f>'A) Base RI'!B148</f>
        <v>Lonay</v>
      </c>
      <c r="C157" s="31">
        <f>'D) Ecrêtage'!C146</f>
        <v>157137.98454545456</v>
      </c>
      <c r="D157" s="14">
        <f>'A) Base RI'!AO148</f>
        <v>2676</v>
      </c>
      <c r="E157" s="10">
        <f t="shared" si="6"/>
        <v>3143811.0860939836</v>
      </c>
      <c r="F157" s="14">
        <f>'F) Population'!K149</f>
        <v>715179.47686116688</v>
      </c>
      <c r="G157" s="10">
        <f>'G) Solidarité'!I146</f>
        <v>0</v>
      </c>
      <c r="H157" s="14">
        <f t="shared" si="7"/>
        <v>715179.47686116688</v>
      </c>
      <c r="I157" s="57">
        <f t="shared" si="8"/>
        <v>2428631.6092328168</v>
      </c>
    </row>
    <row r="158" spans="1:9" x14ac:dyDescent="0.25">
      <c r="A158" s="49">
        <f>'A) Base RI'!A149</f>
        <v>5639</v>
      </c>
      <c r="B158" s="32" t="str">
        <f>'A) Base RI'!B149</f>
        <v>Lully</v>
      </c>
      <c r="C158" s="31">
        <f>'D) Ecrêtage'!C147</f>
        <v>47176.43180327869</v>
      </c>
      <c r="D158" s="14">
        <f>'A) Base RI'!AO149</f>
        <v>818</v>
      </c>
      <c r="E158" s="10">
        <f t="shared" si="6"/>
        <v>943844.28904649918</v>
      </c>
      <c r="F158" s="14">
        <f>'F) Population'!K150</f>
        <v>102764.33601609657</v>
      </c>
      <c r="G158" s="10">
        <f>'G) Solidarité'!I147</f>
        <v>0</v>
      </c>
      <c r="H158" s="14">
        <f t="shared" si="7"/>
        <v>102764.33601609657</v>
      </c>
      <c r="I158" s="57">
        <f t="shared" si="8"/>
        <v>841079.95303040266</v>
      </c>
    </row>
    <row r="159" spans="1:9" x14ac:dyDescent="0.25">
      <c r="A159" s="49">
        <f>'A) Base RI'!A150</f>
        <v>5640</v>
      </c>
      <c r="B159" s="32" t="str">
        <f>'A) Base RI'!B150</f>
        <v>Lussy-sur-Morges</v>
      </c>
      <c r="C159" s="31">
        <f>'D) Ecrêtage'!C148</f>
        <v>61400.456666666665</v>
      </c>
      <c r="D159" s="14">
        <f>'A) Base RI'!AO150</f>
        <v>696</v>
      </c>
      <c r="E159" s="10">
        <f t="shared" si="6"/>
        <v>1228419.9579005204</v>
      </c>
      <c r="F159" s="14">
        <f>'F) Population'!K151</f>
        <v>87437.625754527166</v>
      </c>
      <c r="G159" s="10">
        <f>'G) Solidarité'!I148</f>
        <v>0</v>
      </c>
      <c r="H159" s="14">
        <f t="shared" si="7"/>
        <v>87437.625754527166</v>
      </c>
      <c r="I159" s="57">
        <f t="shared" si="8"/>
        <v>1140982.3321459931</v>
      </c>
    </row>
    <row r="160" spans="1:9" x14ac:dyDescent="0.25">
      <c r="A160" s="49">
        <f>'A) Base RI'!A151</f>
        <v>5642</v>
      </c>
      <c r="B160" s="32" t="str">
        <f>'A) Base RI'!B151</f>
        <v>Morges</v>
      </c>
      <c r="C160" s="31">
        <f>'D) Ecrêtage'!C149</f>
        <v>842114.79489051085</v>
      </c>
      <c r="D160" s="14">
        <f>'A) Base RI'!AO151</f>
        <v>15862</v>
      </c>
      <c r="E160" s="10">
        <f t="shared" si="6"/>
        <v>16847930.407143116</v>
      </c>
      <c r="F160" s="14">
        <f>'F) Population'!K152</f>
        <v>10733822.837022133</v>
      </c>
      <c r="G160" s="10">
        <f>'G) Solidarité'!I149</f>
        <v>0</v>
      </c>
      <c r="H160" s="14">
        <f t="shared" si="7"/>
        <v>10733822.837022133</v>
      </c>
      <c r="I160" s="57">
        <f t="shared" si="8"/>
        <v>6114107.5701209828</v>
      </c>
    </row>
    <row r="161" spans="1:9" x14ac:dyDescent="0.25">
      <c r="A161" s="49">
        <f>'A) Base RI'!A152</f>
        <v>5643</v>
      </c>
      <c r="B161" s="32" t="str">
        <f>'A) Base RI'!B152</f>
        <v>Préverenges</v>
      </c>
      <c r="C161" s="31">
        <f>'D) Ecrêtage'!C150</f>
        <v>259364.760625</v>
      </c>
      <c r="D161" s="14">
        <f>'A) Base RI'!AO152</f>
        <v>5243</v>
      </c>
      <c r="E161" s="10">
        <f t="shared" si="6"/>
        <v>5189030.5972399833</v>
      </c>
      <c r="F161" s="14">
        <f>'F) Population'!K153</f>
        <v>1980713.480885312</v>
      </c>
      <c r="G161" s="10">
        <f>'G) Solidarité'!I150</f>
        <v>0</v>
      </c>
      <c r="H161" s="14">
        <f t="shared" si="7"/>
        <v>1980713.480885312</v>
      </c>
      <c r="I161" s="57">
        <f t="shared" si="8"/>
        <v>3208317.1163546713</v>
      </c>
    </row>
    <row r="162" spans="1:9" x14ac:dyDescent="0.25">
      <c r="A162" s="49">
        <f>'A) Base RI'!A153</f>
        <v>5644</v>
      </c>
      <c r="B162" s="32" t="str">
        <f>'A) Base RI'!B153</f>
        <v>Reverolle</v>
      </c>
      <c r="C162" s="31">
        <f>'D) Ecrêtage'!C151</f>
        <v>16859.730657894735</v>
      </c>
      <c r="D162" s="14">
        <f>'A) Base RI'!AO153</f>
        <v>413</v>
      </c>
      <c r="E162" s="10">
        <f t="shared" si="6"/>
        <v>337307.41999886045</v>
      </c>
      <c r="F162" s="14">
        <f>'F) Population'!K154</f>
        <v>51884.683098591544</v>
      </c>
      <c r="G162" s="10">
        <f>'G) Solidarité'!I151</f>
        <v>59524.507504592628</v>
      </c>
      <c r="H162" s="14">
        <f t="shared" si="7"/>
        <v>111409.19060318416</v>
      </c>
      <c r="I162" s="57">
        <f t="shared" si="8"/>
        <v>225898.22939567629</v>
      </c>
    </row>
    <row r="163" spans="1:9" x14ac:dyDescent="0.25">
      <c r="A163" s="49">
        <f>'A) Base RI'!A154</f>
        <v>5645</v>
      </c>
      <c r="B163" s="32" t="str">
        <f>'A) Base RI'!B154</f>
        <v>Romanel-sur-Morges</v>
      </c>
      <c r="C163" s="31">
        <f>'D) Ecrêtage'!C152</f>
        <v>29743.552142857145</v>
      </c>
      <c r="D163" s="14">
        <f>'A) Base RI'!AO154</f>
        <v>470</v>
      </c>
      <c r="E163" s="10">
        <f t="shared" si="6"/>
        <v>595070.05411209224</v>
      </c>
      <c r="F163" s="14">
        <f>'F) Population'!K155</f>
        <v>59045.523138832992</v>
      </c>
      <c r="G163" s="10">
        <f>'G) Solidarité'!I152</f>
        <v>0</v>
      </c>
      <c r="H163" s="14">
        <f t="shared" si="7"/>
        <v>59045.523138832992</v>
      </c>
      <c r="I163" s="57">
        <f t="shared" si="8"/>
        <v>536024.53097325924</v>
      </c>
    </row>
    <row r="164" spans="1:9" x14ac:dyDescent="0.25">
      <c r="A164" s="49">
        <f>'A) Base RI'!A155</f>
        <v>5646</v>
      </c>
      <c r="B164" s="32" t="str">
        <f>'A) Base RI'!B155</f>
        <v>Saint-Prex</v>
      </c>
      <c r="C164" s="31">
        <f>'D) Ecrêtage'!C153</f>
        <v>419083.43709090899</v>
      </c>
      <c r="D164" s="14">
        <f>'A) Base RI'!AO155</f>
        <v>5774</v>
      </c>
      <c r="E164" s="10">
        <f t="shared" si="6"/>
        <v>8384472.7889052043</v>
      </c>
      <c r="F164" s="14">
        <f>'F) Population'!K156</f>
        <v>2300916.0965794767</v>
      </c>
      <c r="G164" s="10">
        <f>'G) Solidarité'!I153</f>
        <v>0</v>
      </c>
      <c r="H164" s="14">
        <f t="shared" si="7"/>
        <v>2300916.0965794767</v>
      </c>
      <c r="I164" s="57">
        <f t="shared" si="8"/>
        <v>6083556.692325728</v>
      </c>
    </row>
    <row r="165" spans="1:9" x14ac:dyDescent="0.25">
      <c r="A165" s="49">
        <f>'A) Base RI'!A156</f>
        <v>5648</v>
      </c>
      <c r="B165" s="32" t="str">
        <f>'A) Base RI'!B156</f>
        <v>Saint-Sulpice</v>
      </c>
      <c r="C165" s="31">
        <f>'D) Ecrêtage'!C154</f>
        <v>383471.67436363641</v>
      </c>
      <c r="D165" s="14">
        <f>'A) Base RI'!AO156</f>
        <v>4717</v>
      </c>
      <c r="E165" s="10">
        <f t="shared" si="6"/>
        <v>7671999.2594705503</v>
      </c>
      <c r="F165" s="14">
        <f>'F) Population'!K157</f>
        <v>1691968.3098591547</v>
      </c>
      <c r="G165" s="10">
        <f>'G) Solidarité'!I154</f>
        <v>0</v>
      </c>
      <c r="H165" s="14">
        <f t="shared" si="7"/>
        <v>1691968.3098591547</v>
      </c>
      <c r="I165" s="57">
        <f t="shared" si="8"/>
        <v>5980030.9496113956</v>
      </c>
    </row>
    <row r="166" spans="1:9" x14ac:dyDescent="0.25">
      <c r="A166" s="49">
        <f>'A) Base RI'!A157</f>
        <v>5649</v>
      </c>
      <c r="B166" s="32" t="str">
        <f>'A) Base RI'!B157</f>
        <v>Tolochenaz</v>
      </c>
      <c r="C166" s="31">
        <f>'D) Ecrêtage'!C155</f>
        <v>109794.23076923077</v>
      </c>
      <c r="D166" s="14">
        <f>'A) Base RI'!AO157</f>
        <v>1907</v>
      </c>
      <c r="E166" s="10">
        <f t="shared" si="6"/>
        <v>2196619.2380533079</v>
      </c>
      <c r="F166" s="14">
        <f>'F) Population'!K158</f>
        <v>444675.60362173035</v>
      </c>
      <c r="G166" s="10">
        <f>'G) Solidarité'!I155</f>
        <v>0</v>
      </c>
      <c r="H166" s="14">
        <f t="shared" si="7"/>
        <v>444675.60362173035</v>
      </c>
      <c r="I166" s="57">
        <f t="shared" si="8"/>
        <v>1751943.6344315775</v>
      </c>
    </row>
    <row r="167" spans="1:9" x14ac:dyDescent="0.25">
      <c r="A167" s="49">
        <f>'A) Base RI'!A158</f>
        <v>5650</v>
      </c>
      <c r="B167" s="32" t="str">
        <f>'A) Base RI'!B158</f>
        <v>Vaux-sur-Morges</v>
      </c>
      <c r="C167" s="31">
        <f>'D) Ecrêtage'!C156</f>
        <v>162834.69392857142</v>
      </c>
      <c r="D167" s="14">
        <f>'A) Base RI'!AO158</f>
        <v>196</v>
      </c>
      <c r="E167" s="10">
        <f t="shared" si="6"/>
        <v>3257783.3898924827</v>
      </c>
      <c r="F167" s="14">
        <f>'F) Population'!K159</f>
        <v>24623.239436619719</v>
      </c>
      <c r="G167" s="10">
        <f>'G) Solidarité'!I156</f>
        <v>0</v>
      </c>
      <c r="H167" s="14">
        <f t="shared" si="7"/>
        <v>24623.239436619719</v>
      </c>
      <c r="I167" s="57">
        <f t="shared" si="8"/>
        <v>3233160.1504558627</v>
      </c>
    </row>
    <row r="168" spans="1:9" x14ac:dyDescent="0.25">
      <c r="A168" s="49">
        <f>'A) Base RI'!A159</f>
        <v>5651</v>
      </c>
      <c r="B168" s="32" t="str">
        <f>'A) Base RI'!B159</f>
        <v>Villars-Sainte-Croix</v>
      </c>
      <c r="C168" s="31">
        <f>'D) Ecrêtage'!C157</f>
        <v>58682.807419354831</v>
      </c>
      <c r="D168" s="14">
        <f>'A) Base RI'!AO159</f>
        <v>973</v>
      </c>
      <c r="E168" s="10">
        <f t="shared" si="6"/>
        <v>1174048.7894237954</v>
      </c>
      <c r="F168" s="14">
        <f>'F) Population'!K160</f>
        <v>122236.79577464788</v>
      </c>
      <c r="G168" s="10">
        <f>'G) Solidarité'!I157</f>
        <v>0</v>
      </c>
      <c r="H168" s="14">
        <f t="shared" si="7"/>
        <v>122236.79577464788</v>
      </c>
      <c r="I168" s="57">
        <f t="shared" si="8"/>
        <v>1051811.9936491475</v>
      </c>
    </row>
    <row r="169" spans="1:9" x14ac:dyDescent="0.25">
      <c r="A169" s="49">
        <f>'A) Base RI'!A160</f>
        <v>5652</v>
      </c>
      <c r="B169" s="32" t="str">
        <f>'A) Base RI'!B160</f>
        <v>Villars-sous-Yens</v>
      </c>
      <c r="C169" s="31">
        <f>'D) Ecrêtage'!C158</f>
        <v>32935.200285087711</v>
      </c>
      <c r="D169" s="14">
        <f>'A) Base RI'!AO160</f>
        <v>603</v>
      </c>
      <c r="E169" s="10">
        <f t="shared" si="6"/>
        <v>658924.37196834071</v>
      </c>
      <c r="F169" s="14">
        <f>'F) Population'!K161</f>
        <v>75754.149899396376</v>
      </c>
      <c r="G169" s="10">
        <f>'G) Solidarité'!I158</f>
        <v>0</v>
      </c>
      <c r="H169" s="14">
        <f t="shared" si="7"/>
        <v>75754.149899396376</v>
      </c>
      <c r="I169" s="57">
        <f t="shared" si="8"/>
        <v>583170.22206894436</v>
      </c>
    </row>
    <row r="170" spans="1:9" x14ac:dyDescent="0.25">
      <c r="A170" s="49">
        <f>'A) Base RI'!A161</f>
        <v>5653</v>
      </c>
      <c r="B170" s="32" t="str">
        <f>'A) Base RI'!B161</f>
        <v>Vufflens-le-Château</v>
      </c>
      <c r="C170" s="31">
        <f>'D) Ecrêtage'!C159</f>
        <v>71866.827999999994</v>
      </c>
      <c r="D170" s="14">
        <f>'A) Base RI'!AO161</f>
        <v>883</v>
      </c>
      <c r="E170" s="10">
        <f t="shared" si="6"/>
        <v>1437817.414054042</v>
      </c>
      <c r="F170" s="14">
        <f>'F) Population'!K162</f>
        <v>110930.20623742454</v>
      </c>
      <c r="G170" s="10">
        <f>'G) Solidarité'!I159</f>
        <v>0</v>
      </c>
      <c r="H170" s="14">
        <f t="shared" si="7"/>
        <v>110930.20623742454</v>
      </c>
      <c r="I170" s="57">
        <f t="shared" si="8"/>
        <v>1326887.2078166173</v>
      </c>
    </row>
    <row r="171" spans="1:9" x14ac:dyDescent="0.25">
      <c r="A171" s="49">
        <f>'A) Base RI'!A162</f>
        <v>5654</v>
      </c>
      <c r="B171" s="32" t="str">
        <f>'A) Base RI'!B162</f>
        <v>Vullierens</v>
      </c>
      <c r="C171" s="31">
        <f>'D) Ecrêtage'!C160</f>
        <v>18067.402499999997</v>
      </c>
      <c r="D171" s="14">
        <f>'A) Base RI'!AO162</f>
        <v>513</v>
      </c>
      <c r="E171" s="10">
        <f t="shared" si="6"/>
        <v>361468.93725744414</v>
      </c>
      <c r="F171" s="14">
        <f>'F) Population'!K163</f>
        <v>64447.560362173033</v>
      </c>
      <c r="G171" s="10">
        <f>'G) Solidarité'!I160</f>
        <v>139677.83166633453</v>
      </c>
      <c r="H171" s="14">
        <f t="shared" si="7"/>
        <v>204125.39202850757</v>
      </c>
      <c r="I171" s="57">
        <f t="shared" si="8"/>
        <v>157343.54522893656</v>
      </c>
    </row>
    <row r="172" spans="1:9" x14ac:dyDescent="0.25">
      <c r="A172" s="49">
        <f>'A) Base RI'!A163</f>
        <v>5655</v>
      </c>
      <c r="B172" s="32" t="str">
        <f>'A) Base RI'!B163</f>
        <v>Yens</v>
      </c>
      <c r="C172" s="31">
        <f>'D) Ecrêtage'!C161</f>
        <v>77231.578767123297</v>
      </c>
      <c r="D172" s="14">
        <f>'A) Base RI'!AO163</f>
        <v>1477</v>
      </c>
      <c r="E172" s="10">
        <f t="shared" si="6"/>
        <v>1545148.3244294056</v>
      </c>
      <c r="F172" s="14">
        <f>'F) Population'!K164</f>
        <v>293418.56136820919</v>
      </c>
      <c r="G172" s="10">
        <f>'G) Solidarité'!I161</f>
        <v>0</v>
      </c>
      <c r="H172" s="14">
        <f t="shared" si="7"/>
        <v>293418.56136820919</v>
      </c>
      <c r="I172" s="57">
        <f t="shared" si="8"/>
        <v>1251729.7630611965</v>
      </c>
    </row>
    <row r="173" spans="1:9" x14ac:dyDescent="0.25">
      <c r="A173" s="49">
        <f>'A) Base RI'!A164</f>
        <v>5661</v>
      </c>
      <c r="B173" s="32" t="str">
        <f>'A) Base RI'!B164</f>
        <v>Boulens</v>
      </c>
      <c r="C173" s="31">
        <f>'D) Ecrêtage'!C162</f>
        <v>10067.366438356165</v>
      </c>
      <c r="D173" s="14">
        <f>'A) Base RI'!AO164</f>
        <v>361</v>
      </c>
      <c r="E173" s="10">
        <f t="shared" si="6"/>
        <v>201414.68855049109</v>
      </c>
      <c r="F173" s="14">
        <f>'F) Population'!K165</f>
        <v>45351.986921529169</v>
      </c>
      <c r="G173" s="10">
        <f>'G) Solidarité'!I162</f>
        <v>146530.38708499048</v>
      </c>
      <c r="H173" s="14">
        <f t="shared" si="7"/>
        <v>191882.37400651965</v>
      </c>
      <c r="I173" s="57">
        <f t="shared" si="8"/>
        <v>9532.3145439714426</v>
      </c>
    </row>
    <row r="174" spans="1:9" x14ac:dyDescent="0.25">
      <c r="A174" s="49">
        <f>'A) Base RI'!A165</f>
        <v>5663</v>
      </c>
      <c r="B174" s="32" t="str">
        <f>'A) Base RI'!B165</f>
        <v>Bussy-sur-Moudon</v>
      </c>
      <c r="C174" s="31">
        <f>'D) Ecrêtage'!C163</f>
        <v>6357.5273750000006</v>
      </c>
      <c r="D174" s="14">
        <f>'A) Base RI'!AO165</f>
        <v>218</v>
      </c>
      <c r="E174" s="10">
        <f t="shared" si="6"/>
        <v>127193.08510597245</v>
      </c>
      <c r="F174" s="14">
        <f>'F) Population'!K166</f>
        <v>27387.072434607646</v>
      </c>
      <c r="G174" s="10">
        <f>'G) Solidarité'!I163</f>
        <v>99223.89668439173</v>
      </c>
      <c r="H174" s="14">
        <f t="shared" si="7"/>
        <v>126610.96911899938</v>
      </c>
      <c r="I174" s="57">
        <f t="shared" si="8"/>
        <v>582.11598697307636</v>
      </c>
    </row>
    <row r="175" spans="1:9" x14ac:dyDescent="0.25">
      <c r="A175" s="49">
        <f>'A) Base RI'!A166</f>
        <v>5665</v>
      </c>
      <c r="B175" s="32" t="str">
        <f>'A) Base RI'!B166</f>
        <v>Chavannes-sur-Moudon</v>
      </c>
      <c r="C175" s="31">
        <f>'D) Ecrêtage'!C164</f>
        <v>4734.8986301369869</v>
      </c>
      <c r="D175" s="14">
        <f>'A) Base RI'!AO166</f>
        <v>210</v>
      </c>
      <c r="E175" s="10">
        <f t="shared" si="6"/>
        <v>94729.653355392133</v>
      </c>
      <c r="F175" s="14">
        <f>'F) Population'!K167</f>
        <v>26382.042253521126</v>
      </c>
      <c r="G175" s="10">
        <f>'G) Solidarité'!I164</f>
        <v>108901.86544370765</v>
      </c>
      <c r="H175" s="14">
        <f t="shared" si="7"/>
        <v>135283.90769722877</v>
      </c>
      <c r="I175" s="57">
        <f t="shared" si="8"/>
        <v>-40554.25434183664</v>
      </c>
    </row>
    <row r="176" spans="1:9" x14ac:dyDescent="0.25">
      <c r="A176" s="49">
        <f>'A) Base RI'!A167</f>
        <v>5669</v>
      </c>
      <c r="B176" s="32" t="str">
        <f>'A) Base RI'!B167</f>
        <v>Curtilles</v>
      </c>
      <c r="C176" s="31">
        <f>'D) Ecrêtage'!C165</f>
        <v>10002.199066666666</v>
      </c>
      <c r="D176" s="14">
        <f>'A) Base RI'!AO167</f>
        <v>310</v>
      </c>
      <c r="E176" s="10">
        <f t="shared" si="6"/>
        <v>200110.90508806676</v>
      </c>
      <c r="F176" s="14">
        <f>'F) Population'!K168</f>
        <v>38944.919517102615</v>
      </c>
      <c r="G176" s="10">
        <f>'G) Solidarité'!I165</f>
        <v>102593.86721681502</v>
      </c>
      <c r="H176" s="14">
        <f t="shared" si="7"/>
        <v>141538.78673391763</v>
      </c>
      <c r="I176" s="57">
        <f t="shared" si="8"/>
        <v>58572.118354149134</v>
      </c>
    </row>
    <row r="177" spans="1:9" x14ac:dyDescent="0.25">
      <c r="A177" s="49">
        <f>'A) Base RI'!A168</f>
        <v>5671</v>
      </c>
      <c r="B177" s="32" t="str">
        <f>'A) Base RI'!B168</f>
        <v>Dompierre</v>
      </c>
      <c r="C177" s="31">
        <f>'D) Ecrêtage'!C166</f>
        <v>6571.3844999999983</v>
      </c>
      <c r="D177" s="14">
        <f>'A) Base RI'!AO168</f>
        <v>232</v>
      </c>
      <c r="E177" s="10">
        <f t="shared" si="6"/>
        <v>131471.65850348666</v>
      </c>
      <c r="F177" s="14">
        <f>'F) Population'!K169</f>
        <v>29145.875251509053</v>
      </c>
      <c r="G177" s="10">
        <f>'G) Solidarité'!I166</f>
        <v>110522.83893809526</v>
      </c>
      <c r="H177" s="14">
        <f t="shared" si="7"/>
        <v>139668.7141896043</v>
      </c>
      <c r="I177" s="57">
        <f t="shared" si="8"/>
        <v>-8197.0556861176447</v>
      </c>
    </row>
    <row r="178" spans="1:9" x14ac:dyDescent="0.25">
      <c r="A178" s="49">
        <f>'A) Base RI'!A169</f>
        <v>5673</v>
      </c>
      <c r="B178" s="32" t="str">
        <f>'A) Base RI'!B169</f>
        <v>Hermenches</v>
      </c>
      <c r="C178" s="31">
        <f>'D) Ecrêtage'!C167</f>
        <v>9909.6989333333331</v>
      </c>
      <c r="D178" s="14">
        <f>'A) Base RI'!AO169</f>
        <v>367</v>
      </c>
      <c r="E178" s="10">
        <f t="shared" si="6"/>
        <v>198260.28351187884</v>
      </c>
      <c r="F178" s="14">
        <f>'F) Population'!K170</f>
        <v>46105.759557344063</v>
      </c>
      <c r="G178" s="10">
        <f>'G) Solidarité'!I167</f>
        <v>164478.25064152706</v>
      </c>
      <c r="H178" s="14">
        <f t="shared" si="7"/>
        <v>210584.01019887114</v>
      </c>
      <c r="I178" s="57">
        <f t="shared" si="8"/>
        <v>-12323.726686992304</v>
      </c>
    </row>
    <row r="179" spans="1:9" x14ac:dyDescent="0.25">
      <c r="A179" s="49">
        <f>'A) Base RI'!A170</f>
        <v>5674</v>
      </c>
      <c r="B179" s="32" t="str">
        <f>'A) Base RI'!B170</f>
        <v>Lovatens</v>
      </c>
      <c r="C179" s="31">
        <f>'D) Ecrêtage'!C168</f>
        <v>3215.0507999999995</v>
      </c>
      <c r="D179" s="14">
        <f>'A) Base RI'!AO170</f>
        <v>136</v>
      </c>
      <c r="E179" s="10">
        <f t="shared" si="6"/>
        <v>64322.527596575972</v>
      </c>
      <c r="F179" s="14">
        <f>'F) Population'!K171</f>
        <v>17085.513078470824</v>
      </c>
      <c r="G179" s="10">
        <f>'G) Solidarité'!I168</f>
        <v>71133.876791208299</v>
      </c>
      <c r="H179" s="14">
        <f t="shared" si="7"/>
        <v>88219.389869679115</v>
      </c>
      <c r="I179" s="57">
        <f t="shared" si="8"/>
        <v>-23896.862273103143</v>
      </c>
    </row>
    <row r="180" spans="1:9" x14ac:dyDescent="0.25">
      <c r="A180" s="49">
        <f>'A) Base RI'!A171</f>
        <v>5675</v>
      </c>
      <c r="B180" s="32" t="str">
        <f>'A) Base RI'!B171</f>
        <v>Lucens</v>
      </c>
      <c r="C180" s="31">
        <f>'D) Ecrêtage'!C169</f>
        <v>97758.400909090895</v>
      </c>
      <c r="D180" s="14">
        <f>'A) Base RI'!AO171</f>
        <v>4220</v>
      </c>
      <c r="E180" s="10">
        <f t="shared" si="6"/>
        <v>1955822.1102671651</v>
      </c>
      <c r="F180" s="14">
        <f>'F) Population'!K172</f>
        <v>1442218.3098591547</v>
      </c>
      <c r="G180" s="10">
        <f>'G) Solidarité'!I169</f>
        <v>1905963.0200763526</v>
      </c>
      <c r="H180" s="14">
        <f t="shared" si="7"/>
        <v>3348181.3299355074</v>
      </c>
      <c r="I180" s="57">
        <f t="shared" si="8"/>
        <v>-1392359.2196683423</v>
      </c>
    </row>
    <row r="181" spans="1:9" x14ac:dyDescent="0.25">
      <c r="A181" s="49">
        <f>'A) Base RI'!A172</f>
        <v>5678</v>
      </c>
      <c r="B181" s="32" t="str">
        <f>'A) Base RI'!B172</f>
        <v>Moudon</v>
      </c>
      <c r="C181" s="31">
        <f>'D) Ecrêtage'!C170</f>
        <v>126080.27293333331</v>
      </c>
      <c r="D181" s="14">
        <f>'A) Base RI'!AO172</f>
        <v>6080</v>
      </c>
      <c r="E181" s="10">
        <f t="shared" si="6"/>
        <v>2522449.04968163</v>
      </c>
      <c r="F181" s="14">
        <f>'F) Population'!K173</f>
        <v>2485439.6378269615</v>
      </c>
      <c r="G181" s="10">
        <f>'G) Solidarité'!I170</f>
        <v>3573229.8045238461</v>
      </c>
      <c r="H181" s="14">
        <f t="shared" si="7"/>
        <v>6058669.4423508076</v>
      </c>
      <c r="I181" s="57">
        <f t="shared" si="8"/>
        <v>-3536220.3926691776</v>
      </c>
    </row>
    <row r="182" spans="1:9" x14ac:dyDescent="0.25">
      <c r="A182" s="49">
        <f>'A) Base RI'!A173</f>
        <v>5680</v>
      </c>
      <c r="B182" s="32" t="str">
        <f>'A) Base RI'!B173</f>
        <v>Ogens</v>
      </c>
      <c r="C182" s="31">
        <f>'D) Ecrêtage'!C171</f>
        <v>6313.5037606837595</v>
      </c>
      <c r="D182" s="14">
        <f>'A) Base RI'!AO173</f>
        <v>296</v>
      </c>
      <c r="E182" s="10">
        <f t="shared" si="6"/>
        <v>126312.31826186615</v>
      </c>
      <c r="F182" s="14">
        <f>'F) Population'!K174</f>
        <v>37186.116700201208</v>
      </c>
      <c r="G182" s="10">
        <f>'G) Solidarité'!I171</f>
        <v>183930.12905051693</v>
      </c>
      <c r="H182" s="14">
        <f t="shared" si="7"/>
        <v>221116.24575071814</v>
      </c>
      <c r="I182" s="57">
        <f t="shared" si="8"/>
        <v>-94803.927488851987</v>
      </c>
    </row>
    <row r="183" spans="1:9" x14ac:dyDescent="0.25">
      <c r="A183" s="49">
        <f>'A) Base RI'!A174</f>
        <v>5683</v>
      </c>
      <c r="B183" s="32" t="str">
        <f>'A) Base RI'!B174</f>
        <v>Prévonloup</v>
      </c>
      <c r="C183" s="31">
        <f>'D) Ecrêtage'!C172</f>
        <v>4589.3872972972958</v>
      </c>
      <c r="D183" s="14">
        <f>'A) Base RI'!AO174</f>
        <v>194</v>
      </c>
      <c r="E183" s="10">
        <f t="shared" si="6"/>
        <v>91818.45309622497</v>
      </c>
      <c r="F183" s="14">
        <f>'F) Population'!K175</f>
        <v>24371.981891348089</v>
      </c>
      <c r="G183" s="10">
        <f>'G) Solidarité'!I172</f>
        <v>98712.905918363031</v>
      </c>
      <c r="H183" s="14">
        <f t="shared" si="7"/>
        <v>123084.88780971112</v>
      </c>
      <c r="I183" s="57">
        <f t="shared" si="8"/>
        <v>-31266.434713486145</v>
      </c>
    </row>
    <row r="184" spans="1:9" x14ac:dyDescent="0.25">
      <c r="A184" s="49">
        <f>'A) Base RI'!A175</f>
        <v>5684</v>
      </c>
      <c r="B184" s="32" t="str">
        <f>'A) Base RI'!B175</f>
        <v>Rossenges</v>
      </c>
      <c r="C184" s="31">
        <f>'D) Ecrêtage'!C173</f>
        <v>3098.721</v>
      </c>
      <c r="D184" s="14">
        <f>'A) Base RI'!AO175</f>
        <v>84</v>
      </c>
      <c r="E184" s="10">
        <f t="shared" si="6"/>
        <v>61995.153245040332</v>
      </c>
      <c r="F184" s="14">
        <f>'F) Population'!K176</f>
        <v>10552.816901408451</v>
      </c>
      <c r="G184" s="10">
        <f>'G) Solidarité'!I173</f>
        <v>19148.23401617018</v>
      </c>
      <c r="H184" s="14">
        <f t="shared" si="7"/>
        <v>29701.050917578628</v>
      </c>
      <c r="I184" s="57">
        <f t="shared" si="8"/>
        <v>32294.102327461704</v>
      </c>
    </row>
    <row r="185" spans="1:9" x14ac:dyDescent="0.25">
      <c r="A185" s="49">
        <f>'A) Base RI'!A176</f>
        <v>5688</v>
      </c>
      <c r="B185" s="32" t="str">
        <f>'A) Base RI'!B176</f>
        <v>Syens</v>
      </c>
      <c r="C185" s="31">
        <f>'D) Ecrêtage'!C174</f>
        <v>2742.3284391534398</v>
      </c>
      <c r="D185" s="14">
        <f>'A) Base RI'!AO176</f>
        <v>155</v>
      </c>
      <c r="E185" s="10">
        <f t="shared" si="6"/>
        <v>54864.917439662939</v>
      </c>
      <c r="F185" s="14">
        <f>'F) Population'!K177</f>
        <v>19472.459758551307</v>
      </c>
      <c r="G185" s="10">
        <f>'G) Solidarité'!I174</f>
        <v>103235.78843931621</v>
      </c>
      <c r="H185" s="14">
        <f t="shared" si="7"/>
        <v>122708.24819786752</v>
      </c>
      <c r="I185" s="57">
        <f t="shared" si="8"/>
        <v>-67843.330758204582</v>
      </c>
    </row>
    <row r="186" spans="1:9" x14ac:dyDescent="0.25">
      <c r="A186" s="49">
        <f>'A) Base RI'!A177</f>
        <v>5690</v>
      </c>
      <c r="B186" s="32" t="str">
        <f>'A) Base RI'!B177</f>
        <v>Villars-le-Comte</v>
      </c>
      <c r="C186" s="31">
        <f>'D) Ecrêtage'!C175</f>
        <v>3018.1645000000003</v>
      </c>
      <c r="D186" s="14">
        <f>'A) Base RI'!AO177</f>
        <v>122</v>
      </c>
      <c r="E186" s="10">
        <f t="shared" si="6"/>
        <v>60383.484249224297</v>
      </c>
      <c r="F186" s="14">
        <f>'F) Population'!K178</f>
        <v>15326.710261569417</v>
      </c>
      <c r="G186" s="10">
        <f>'G) Solidarité'!I175</f>
        <v>52985.504539570589</v>
      </c>
      <c r="H186" s="14">
        <f t="shared" si="7"/>
        <v>68312.214801140013</v>
      </c>
      <c r="I186" s="57">
        <f t="shared" si="8"/>
        <v>-7928.7305519157162</v>
      </c>
    </row>
    <row r="187" spans="1:9" x14ac:dyDescent="0.25">
      <c r="A187" s="49">
        <f>'A) Base RI'!A178</f>
        <v>5692</v>
      </c>
      <c r="B187" s="32" t="str">
        <f>'A) Base RI'!B178</f>
        <v>Vucherens</v>
      </c>
      <c r="C187" s="31">
        <f>'D) Ecrêtage'!C176</f>
        <v>16002.190506329114</v>
      </c>
      <c r="D187" s="14">
        <f>'A) Base RI'!AO178</f>
        <v>580</v>
      </c>
      <c r="E187" s="10">
        <f t="shared" si="6"/>
        <v>320150.87924863293</v>
      </c>
      <c r="F187" s="14">
        <f>'F) Population'!K179</f>
        <v>72864.688128772628</v>
      </c>
      <c r="G187" s="10">
        <f>'G) Solidarité'!I176</f>
        <v>279976.0453715967</v>
      </c>
      <c r="H187" s="14">
        <f t="shared" si="7"/>
        <v>352840.73350036936</v>
      </c>
      <c r="I187" s="57">
        <f t="shared" si="8"/>
        <v>-32689.854251736426</v>
      </c>
    </row>
    <row r="188" spans="1:9" x14ac:dyDescent="0.25">
      <c r="A188" s="49">
        <f>'A) Base RI'!A179</f>
        <v>5693</v>
      </c>
      <c r="B188" s="32" t="str">
        <f>'A) Base RI'!B179</f>
        <v>Montanaire</v>
      </c>
      <c r="C188" s="31">
        <f>'D) Ecrêtage'!C177</f>
        <v>70807.212499999965</v>
      </c>
      <c r="D188" s="14">
        <f>'A) Base RI'!AO179</f>
        <v>2717</v>
      </c>
      <c r="E188" s="10">
        <f t="shared" si="6"/>
        <v>1416618.0142683492</v>
      </c>
      <c r="F188" s="14">
        <f>'F) Population'!K180</f>
        <v>729601.65995975852</v>
      </c>
      <c r="G188" s="10">
        <f>'G) Solidarité'!I177</f>
        <v>1174694.1892663173</v>
      </c>
      <c r="H188" s="14">
        <f t="shared" si="7"/>
        <v>1904295.8492260757</v>
      </c>
      <c r="I188" s="57">
        <f t="shared" si="8"/>
        <v>-487677.83495772653</v>
      </c>
    </row>
    <row r="189" spans="1:9" x14ac:dyDescent="0.25">
      <c r="A189" s="49">
        <f>'A) Base RI'!A180</f>
        <v>5701</v>
      </c>
      <c r="B189" s="32" t="str">
        <f>'A) Base RI'!B180</f>
        <v>Arnex-sur-Nyon</v>
      </c>
      <c r="C189" s="31">
        <f>'D) Ecrêtage'!C178</f>
        <v>12068.134285714286</v>
      </c>
      <c r="D189" s="14">
        <f>'A) Base RI'!AO180</f>
        <v>229</v>
      </c>
      <c r="E189" s="10">
        <f t="shared" si="6"/>
        <v>241443.43244344441</v>
      </c>
      <c r="F189" s="14">
        <f>'F) Population'!K181</f>
        <v>28768.988933601609</v>
      </c>
      <c r="G189" s="10">
        <f>'G) Solidarité'!I178</f>
        <v>0</v>
      </c>
      <c r="H189" s="14">
        <f t="shared" si="7"/>
        <v>28768.988933601609</v>
      </c>
      <c r="I189" s="57">
        <f t="shared" si="8"/>
        <v>212674.44350984279</v>
      </c>
    </row>
    <row r="190" spans="1:9" x14ac:dyDescent="0.25">
      <c r="A190" s="49">
        <f>'A) Base RI'!A181</f>
        <v>5702</v>
      </c>
      <c r="B190" s="32" t="str">
        <f>'A) Base RI'!B181</f>
        <v>Arzier-Le Muids</v>
      </c>
      <c r="C190" s="31">
        <f>'D) Ecrêtage'!C179</f>
        <v>173952.76901041667</v>
      </c>
      <c r="D190" s="14">
        <f>'A) Base RI'!AO181</f>
        <v>2801</v>
      </c>
      <c r="E190" s="10">
        <f t="shared" si="6"/>
        <v>3480219.2815035251</v>
      </c>
      <c r="F190" s="14">
        <f>'F) Population'!K182</f>
        <v>759149.54728370218</v>
      </c>
      <c r="G190" s="10">
        <f>'G) Solidarité'!I179</f>
        <v>0</v>
      </c>
      <c r="H190" s="14">
        <f t="shared" si="7"/>
        <v>759149.54728370218</v>
      </c>
      <c r="I190" s="57">
        <f t="shared" si="8"/>
        <v>2721069.734219823</v>
      </c>
    </row>
    <row r="191" spans="1:9" x14ac:dyDescent="0.25">
      <c r="A191" s="49">
        <f>'A) Base RI'!A182</f>
        <v>5703</v>
      </c>
      <c r="B191" s="32" t="str">
        <f>'A) Base RI'!B182</f>
        <v>Bassins</v>
      </c>
      <c r="C191" s="31">
        <f>'D) Ecrêtage'!C180</f>
        <v>58992.28158301158</v>
      </c>
      <c r="D191" s="14">
        <f>'A) Base RI'!AO182</f>
        <v>1395</v>
      </c>
      <c r="E191" s="10">
        <f t="shared" si="6"/>
        <v>1180240.3433588804</v>
      </c>
      <c r="F191" s="14">
        <f>'F) Population'!K183</f>
        <v>264574.19517102616</v>
      </c>
      <c r="G191" s="10">
        <f>'G) Solidarité'!I180</f>
        <v>146280.52428497182</v>
      </c>
      <c r="H191" s="14">
        <f t="shared" si="7"/>
        <v>410854.71945599798</v>
      </c>
      <c r="I191" s="57">
        <f t="shared" si="8"/>
        <v>769385.62390288245</v>
      </c>
    </row>
    <row r="192" spans="1:9" x14ac:dyDescent="0.25">
      <c r="A192" s="49">
        <f>'A) Base RI'!A183</f>
        <v>5704</v>
      </c>
      <c r="B192" s="32" t="str">
        <f>'A) Base RI'!B183</f>
        <v>Begnins</v>
      </c>
      <c r="C192" s="31">
        <f>'D) Ecrêtage'!C181</f>
        <v>129564.85270833333</v>
      </c>
      <c r="D192" s="14">
        <f>'A) Base RI'!AO183</f>
        <v>1931</v>
      </c>
      <c r="E192" s="10">
        <f t="shared" si="6"/>
        <v>2592163.96017073</v>
      </c>
      <c r="F192" s="14">
        <f>'F) Population'!K184</f>
        <v>453117.85714285716</v>
      </c>
      <c r="G192" s="10">
        <f>'G) Solidarité'!I181</f>
        <v>0</v>
      </c>
      <c r="H192" s="14">
        <f t="shared" si="7"/>
        <v>453117.85714285716</v>
      </c>
      <c r="I192" s="57">
        <f t="shared" si="8"/>
        <v>2139046.1030278727</v>
      </c>
    </row>
    <row r="193" spans="1:9" x14ac:dyDescent="0.25">
      <c r="A193" s="49">
        <f>'A) Base RI'!A184</f>
        <v>5705</v>
      </c>
      <c r="B193" s="32" t="str">
        <f>'A) Base RI'!B184</f>
        <v>Bogis-Bossey</v>
      </c>
      <c r="C193" s="31">
        <f>'D) Ecrêtage'!C182</f>
        <v>47436.61605263158</v>
      </c>
      <c r="D193" s="14">
        <f>'A) Base RI'!AO184</f>
        <v>825</v>
      </c>
      <c r="E193" s="10">
        <f t="shared" si="6"/>
        <v>949049.71490141738</v>
      </c>
      <c r="F193" s="14">
        <f>'F) Population'!K185</f>
        <v>103643.73742454727</v>
      </c>
      <c r="G193" s="10">
        <f>'G) Solidarité'!I182</f>
        <v>0</v>
      </c>
      <c r="H193" s="14">
        <f t="shared" si="7"/>
        <v>103643.73742454727</v>
      </c>
      <c r="I193" s="57">
        <f t="shared" si="8"/>
        <v>845405.97747687006</v>
      </c>
    </row>
    <row r="194" spans="1:9" x14ac:dyDescent="0.25">
      <c r="A194" s="49">
        <f>'A) Base RI'!A185</f>
        <v>5706</v>
      </c>
      <c r="B194" s="32" t="str">
        <f>'A) Base RI'!B185</f>
        <v>Borex</v>
      </c>
      <c r="C194" s="31">
        <f>'D) Ecrêtage'!C183</f>
        <v>76683.378793103446</v>
      </c>
      <c r="D194" s="14">
        <f>'A) Base RI'!AO185</f>
        <v>1132</v>
      </c>
      <c r="E194" s="10">
        <f t="shared" si="6"/>
        <v>1534180.6569955554</v>
      </c>
      <c r="F194" s="14">
        <f>'F) Population'!K186</f>
        <v>172061.16700201205</v>
      </c>
      <c r="G194" s="10">
        <f>'G) Solidarité'!I183</f>
        <v>0</v>
      </c>
      <c r="H194" s="14">
        <f t="shared" si="7"/>
        <v>172061.16700201205</v>
      </c>
      <c r="I194" s="57">
        <f t="shared" si="8"/>
        <v>1362119.4899935434</v>
      </c>
    </row>
    <row r="195" spans="1:9" x14ac:dyDescent="0.25">
      <c r="A195" s="49">
        <f>'A) Base RI'!A186</f>
        <v>5707</v>
      </c>
      <c r="B195" s="32" t="str">
        <f>'A) Base RI'!B186</f>
        <v>Chavannes-de-Bogis</v>
      </c>
      <c r="C195" s="31">
        <f>'D) Ecrêtage'!C184</f>
        <v>81307.638983050841</v>
      </c>
      <c r="D195" s="14">
        <f>'A) Base RI'!AO186</f>
        <v>1357</v>
      </c>
      <c r="E195" s="10">
        <f t="shared" si="6"/>
        <v>1626696.8012759627</v>
      </c>
      <c r="F195" s="14">
        <f>'F) Population'!K187</f>
        <v>251207.29376257543</v>
      </c>
      <c r="G195" s="10">
        <f>'G) Solidarité'!I184</f>
        <v>0</v>
      </c>
      <c r="H195" s="14">
        <f t="shared" si="7"/>
        <v>251207.29376257543</v>
      </c>
      <c r="I195" s="57">
        <f t="shared" si="8"/>
        <v>1375489.5075133874</v>
      </c>
    </row>
    <row r="196" spans="1:9" x14ac:dyDescent="0.25">
      <c r="A196" s="49">
        <f>'A) Base RI'!A187</f>
        <v>5708</v>
      </c>
      <c r="B196" s="32" t="str">
        <f>'A) Base RI'!B187</f>
        <v>Chavannes-des-Bois</v>
      </c>
      <c r="C196" s="31">
        <f>'D) Ecrêtage'!C185</f>
        <v>64704.48911764707</v>
      </c>
      <c r="D196" s="14">
        <f>'A) Base RI'!AO187</f>
        <v>960</v>
      </c>
      <c r="E196" s="10">
        <f t="shared" si="6"/>
        <v>1294522.7138843976</v>
      </c>
      <c r="F196" s="14">
        <f>'F) Population'!K188</f>
        <v>120603.62173038229</v>
      </c>
      <c r="G196" s="10">
        <f>'G) Solidarité'!I185</f>
        <v>0</v>
      </c>
      <c r="H196" s="14">
        <f t="shared" si="7"/>
        <v>120603.62173038229</v>
      </c>
      <c r="I196" s="57">
        <f t="shared" si="8"/>
        <v>1173919.0921540153</v>
      </c>
    </row>
    <row r="197" spans="1:9" x14ac:dyDescent="0.25">
      <c r="A197" s="49">
        <f>'A) Base RI'!A188</f>
        <v>5709</v>
      </c>
      <c r="B197" s="32" t="str">
        <f>'A) Base RI'!B188</f>
        <v>Chéserex</v>
      </c>
      <c r="C197" s="31">
        <f>'D) Ecrêtage'!C186</f>
        <v>99426.699824561394</v>
      </c>
      <c r="D197" s="14">
        <f>'A) Base RI'!AO188</f>
        <v>1238</v>
      </c>
      <c r="E197" s="10">
        <f t="shared" si="6"/>
        <v>1989199.251004627</v>
      </c>
      <c r="F197" s="14">
        <f>'F) Population'!K189</f>
        <v>209347.78672032192</v>
      </c>
      <c r="G197" s="10">
        <f>'G) Solidarité'!I186</f>
        <v>0</v>
      </c>
      <c r="H197" s="14">
        <f t="shared" si="7"/>
        <v>209347.78672032192</v>
      </c>
      <c r="I197" s="57">
        <f t="shared" si="8"/>
        <v>1779851.464284305</v>
      </c>
    </row>
    <row r="198" spans="1:9" x14ac:dyDescent="0.25">
      <c r="A198" s="49">
        <f>'A) Base RI'!A189</f>
        <v>5710</v>
      </c>
      <c r="B198" s="32" t="str">
        <f>'A) Base RI'!B189</f>
        <v>Coinsins</v>
      </c>
      <c r="C198" s="31">
        <f>'D) Ecrêtage'!C187</f>
        <v>112110.92803921571</v>
      </c>
      <c r="D198" s="14">
        <f>'A) Base RI'!AO189</f>
        <v>494</v>
      </c>
      <c r="E198" s="10">
        <f t="shared" si="6"/>
        <v>2242968.6842522663</v>
      </c>
      <c r="F198" s="14">
        <f>'F) Population'!K190</f>
        <v>62060.613682092553</v>
      </c>
      <c r="G198" s="10">
        <f>'G) Solidarité'!I187</f>
        <v>0</v>
      </c>
      <c r="H198" s="14">
        <f t="shared" si="7"/>
        <v>62060.613682092553</v>
      </c>
      <c r="I198" s="57">
        <f t="shared" si="8"/>
        <v>2180908.0705701737</v>
      </c>
    </row>
    <row r="199" spans="1:9" x14ac:dyDescent="0.25">
      <c r="A199" s="49">
        <f>'A) Base RI'!A190</f>
        <v>5711</v>
      </c>
      <c r="B199" s="32" t="str">
        <f>'A) Base RI'!B190</f>
        <v>Commugny</v>
      </c>
      <c r="C199" s="31">
        <f>'D) Ecrêtage'!C188</f>
        <v>257487.27623481784</v>
      </c>
      <c r="D199" s="14">
        <f>'A) Base RI'!AO190</f>
        <v>2935</v>
      </c>
      <c r="E199" s="10">
        <f t="shared" si="6"/>
        <v>5151468.3473683381</v>
      </c>
      <c r="F199" s="14">
        <f>'F) Population'!K191</f>
        <v>806285.46277665987</v>
      </c>
      <c r="G199" s="10">
        <f>'G) Solidarité'!I188</f>
        <v>0</v>
      </c>
      <c r="H199" s="14">
        <f t="shared" si="7"/>
        <v>806285.46277665987</v>
      </c>
      <c r="I199" s="57">
        <f t="shared" si="8"/>
        <v>4345182.8845916782</v>
      </c>
    </row>
    <row r="200" spans="1:9" x14ac:dyDescent="0.25">
      <c r="A200" s="49">
        <f>'A) Base RI'!A191</f>
        <v>5712</v>
      </c>
      <c r="B200" s="32" t="str">
        <f>'A) Base RI'!B191</f>
        <v>Coppet</v>
      </c>
      <c r="C200" s="31">
        <f>'D) Ecrêtage'!C189</f>
        <v>389043.84018867929</v>
      </c>
      <c r="D200" s="14">
        <f>'A) Base RI'!AO191</f>
        <v>3211</v>
      </c>
      <c r="E200" s="10">
        <f t="shared" si="6"/>
        <v>7783479.8587985672</v>
      </c>
      <c r="F200" s="14">
        <f>'F) Population'!K192</f>
        <v>935180.58350100601</v>
      </c>
      <c r="G200" s="10">
        <f>'G) Solidarité'!I189</f>
        <v>0</v>
      </c>
      <c r="H200" s="14">
        <f t="shared" si="7"/>
        <v>935180.58350100601</v>
      </c>
      <c r="I200" s="57">
        <f t="shared" si="8"/>
        <v>6848299.2752975617</v>
      </c>
    </row>
    <row r="201" spans="1:9" x14ac:dyDescent="0.25">
      <c r="A201" s="49">
        <f>'A) Base RI'!A192</f>
        <v>5713</v>
      </c>
      <c r="B201" s="32" t="str">
        <f>'A) Base RI'!B192</f>
        <v>Crans-près-Céligny</v>
      </c>
      <c r="C201" s="31">
        <f>'D) Ecrêtage'!C190</f>
        <v>285689.07035714283</v>
      </c>
      <c r="D201" s="14">
        <f>'A) Base RI'!AO192</f>
        <v>2286</v>
      </c>
      <c r="E201" s="10">
        <f t="shared" si="6"/>
        <v>5715692.9253147282</v>
      </c>
      <c r="F201" s="14">
        <f>'F) Population'!K193</f>
        <v>577992.85714285716</v>
      </c>
      <c r="G201" s="10">
        <f>'G) Solidarité'!I190</f>
        <v>0</v>
      </c>
      <c r="H201" s="14">
        <f t="shared" si="7"/>
        <v>577992.85714285716</v>
      </c>
      <c r="I201" s="57">
        <f t="shared" si="8"/>
        <v>5137700.0681718709</v>
      </c>
    </row>
    <row r="202" spans="1:9" x14ac:dyDescent="0.25">
      <c r="A202" s="49">
        <f>'A) Base RI'!A193</f>
        <v>5714</v>
      </c>
      <c r="B202" s="32" t="str">
        <f>'A) Base RI'!B193</f>
        <v>Crassier</v>
      </c>
      <c r="C202" s="31">
        <f>'D) Ecrêtage'!C191</f>
        <v>69757.357205882377</v>
      </c>
      <c r="D202" s="14">
        <f>'A) Base RI'!AO193</f>
        <v>1169</v>
      </c>
      <c r="E202" s="10">
        <f t="shared" si="6"/>
        <v>1395613.8839049067</v>
      </c>
      <c r="F202" s="14">
        <f>'F) Population'!K194</f>
        <v>185076.3078470825</v>
      </c>
      <c r="G202" s="10">
        <f>'G) Solidarité'!I191</f>
        <v>0</v>
      </c>
      <c r="H202" s="14">
        <f t="shared" si="7"/>
        <v>185076.3078470825</v>
      </c>
      <c r="I202" s="57">
        <f t="shared" si="8"/>
        <v>1210537.5760578243</v>
      </c>
    </row>
    <row r="203" spans="1:9" x14ac:dyDescent="0.25">
      <c r="A203" s="49">
        <f>'A) Base RI'!A194</f>
        <v>5715</v>
      </c>
      <c r="B203" s="32" t="str">
        <f>'A) Base RI'!B194</f>
        <v>Duillier</v>
      </c>
      <c r="C203" s="31">
        <f>'D) Ecrêtage'!C192</f>
        <v>70129.929393939397</v>
      </c>
      <c r="D203" s="14">
        <f>'A) Base RI'!AO194</f>
        <v>1090</v>
      </c>
      <c r="E203" s="10">
        <f t="shared" si="6"/>
        <v>1403067.8205108275</v>
      </c>
      <c r="F203" s="14">
        <f>'F) Population'!K195</f>
        <v>157287.22334004022</v>
      </c>
      <c r="G203" s="10">
        <f>'G) Solidarité'!I192</f>
        <v>0</v>
      </c>
      <c r="H203" s="14">
        <f t="shared" si="7"/>
        <v>157287.22334004022</v>
      </c>
      <c r="I203" s="57">
        <f t="shared" si="8"/>
        <v>1245780.5971707872</v>
      </c>
    </row>
    <row r="204" spans="1:9" x14ac:dyDescent="0.25">
      <c r="A204" s="49">
        <f>'A) Base RI'!A195</f>
        <v>5716</v>
      </c>
      <c r="B204" s="32" t="str">
        <f>'A) Base RI'!B195</f>
        <v>Eysins</v>
      </c>
      <c r="C204" s="31">
        <f>'D) Ecrêtage'!C193</f>
        <v>206146.61786885248</v>
      </c>
      <c r="D204" s="14">
        <f>'A) Base RI'!AO195</f>
        <v>1737</v>
      </c>
      <c r="E204" s="10">
        <f t="shared" si="6"/>
        <v>4124311.6646275283</v>
      </c>
      <c r="F204" s="14">
        <f>'F) Population'!K196</f>
        <v>384876.3078470825</v>
      </c>
      <c r="G204" s="10">
        <f>'G) Solidarité'!I193</f>
        <v>0</v>
      </c>
      <c r="H204" s="14">
        <f t="shared" si="7"/>
        <v>384876.3078470825</v>
      </c>
      <c r="I204" s="57">
        <f t="shared" si="8"/>
        <v>3739435.3567804457</v>
      </c>
    </row>
    <row r="205" spans="1:9" x14ac:dyDescent="0.25">
      <c r="A205" s="49">
        <f>'A) Base RI'!A196</f>
        <v>5717</v>
      </c>
      <c r="B205" s="32" t="str">
        <f>'A) Base RI'!B196</f>
        <v>Founex</v>
      </c>
      <c r="C205" s="31">
        <f>'D) Ecrêtage'!C194</f>
        <v>344775.19280701759</v>
      </c>
      <c r="D205" s="14">
        <f>'A) Base RI'!AO196</f>
        <v>3772</v>
      </c>
      <c r="E205" s="10">
        <f t="shared" si="6"/>
        <v>6897810.7138911132</v>
      </c>
      <c r="F205" s="14">
        <f>'F) Population'!K197</f>
        <v>1217091.5492957747</v>
      </c>
      <c r="G205" s="10">
        <f>'G) Solidarité'!I194</f>
        <v>0</v>
      </c>
      <c r="H205" s="14">
        <f t="shared" si="7"/>
        <v>1217091.5492957747</v>
      </c>
      <c r="I205" s="57">
        <f t="shared" si="8"/>
        <v>5680719.1645953385</v>
      </c>
    </row>
    <row r="206" spans="1:9" x14ac:dyDescent="0.25">
      <c r="A206" s="49">
        <f>'A) Base RI'!A197</f>
        <v>5718</v>
      </c>
      <c r="B206" s="32" t="str">
        <f>'A) Base RI'!B197</f>
        <v>Genolier</v>
      </c>
      <c r="C206" s="31">
        <f>'D) Ecrêtage'!C195</f>
        <v>171473.77890909091</v>
      </c>
      <c r="D206" s="14">
        <f>'A) Base RI'!AO197</f>
        <v>2000</v>
      </c>
      <c r="E206" s="10">
        <f t="shared" si="6"/>
        <v>3430622.8927919795</v>
      </c>
      <c r="F206" s="14">
        <f>'F) Population'!K198</f>
        <v>477389.33601609652</v>
      </c>
      <c r="G206" s="10">
        <f>'G) Solidarité'!I195</f>
        <v>0</v>
      </c>
      <c r="H206" s="14">
        <f t="shared" si="7"/>
        <v>477389.33601609652</v>
      </c>
      <c r="I206" s="57">
        <f t="shared" si="8"/>
        <v>2953233.5567758828</v>
      </c>
    </row>
    <row r="207" spans="1:9" x14ac:dyDescent="0.25">
      <c r="A207" s="49">
        <f>'A) Base RI'!A198</f>
        <v>5719</v>
      </c>
      <c r="B207" s="32" t="str">
        <f>'A) Base RI'!B198</f>
        <v>Gingins</v>
      </c>
      <c r="C207" s="31">
        <f>'D) Ecrêtage'!C196</f>
        <v>142317.67801169588</v>
      </c>
      <c r="D207" s="14">
        <f>'A) Base RI'!AO198</f>
        <v>1239</v>
      </c>
      <c r="E207" s="10">
        <f t="shared" si="6"/>
        <v>2847305.7941690763</v>
      </c>
      <c r="F207" s="14">
        <f>'F) Population'!K199</f>
        <v>209699.54728370218</v>
      </c>
      <c r="G207" s="10">
        <f>'G) Solidarité'!I196</f>
        <v>0</v>
      </c>
      <c r="H207" s="14">
        <f t="shared" si="7"/>
        <v>209699.54728370218</v>
      </c>
      <c r="I207" s="57">
        <f t="shared" si="8"/>
        <v>2637606.2468853742</v>
      </c>
    </row>
    <row r="208" spans="1:9" x14ac:dyDescent="0.25">
      <c r="A208" s="49">
        <f>'A) Base RI'!A199</f>
        <v>5720</v>
      </c>
      <c r="B208" s="32" t="str">
        <f>'A) Base RI'!B199</f>
        <v>Givrins</v>
      </c>
      <c r="C208" s="31">
        <f>'D) Ecrêtage'!C197</f>
        <v>82564.367429519058</v>
      </c>
      <c r="D208" s="14">
        <f>'A) Base RI'!AO199</f>
        <v>1032</v>
      </c>
      <c r="E208" s="10">
        <f t="shared" si="6"/>
        <v>1651839.7788548407</v>
      </c>
      <c r="F208" s="14">
        <f>'F) Population'!K200</f>
        <v>136885.11066398388</v>
      </c>
      <c r="G208" s="10">
        <f>'G) Solidarité'!I197</f>
        <v>0</v>
      </c>
      <c r="H208" s="14">
        <f t="shared" si="7"/>
        <v>136885.11066398388</v>
      </c>
      <c r="I208" s="57">
        <f t="shared" si="8"/>
        <v>1514954.6681908567</v>
      </c>
    </row>
    <row r="209" spans="1:9" x14ac:dyDescent="0.25">
      <c r="A209" s="49">
        <f>'A) Base RI'!A200</f>
        <v>5721</v>
      </c>
      <c r="B209" s="32" t="str">
        <f>'A) Base RI'!B200</f>
        <v>Gland</v>
      </c>
      <c r="C209" s="31">
        <f>'D) Ecrêtage'!C198</f>
        <v>655037.95408000017</v>
      </c>
      <c r="D209" s="14">
        <f>'A) Base RI'!AO200</f>
        <v>13194</v>
      </c>
      <c r="E209" s="10">
        <f t="shared" ref="E209:E272" si="9">C209*E$15</f>
        <v>13105141.87773191</v>
      </c>
      <c r="F209" s="14">
        <f>'F) Population'!K201</f>
        <v>8009085.5130784716</v>
      </c>
      <c r="G209" s="10">
        <f>'G) Solidarité'!I198</f>
        <v>0</v>
      </c>
      <c r="H209" s="14">
        <f t="shared" ref="H209:H272" si="10">F209+G209</f>
        <v>8009085.5130784716</v>
      </c>
      <c r="I209" s="57">
        <f t="shared" ref="I209:I272" si="11">E209-H209</f>
        <v>5096056.3646534383</v>
      </c>
    </row>
    <row r="210" spans="1:9" x14ac:dyDescent="0.25">
      <c r="A210" s="49">
        <f>'A) Base RI'!A201</f>
        <v>5722</v>
      </c>
      <c r="B210" s="32" t="str">
        <f>'A) Base RI'!B201</f>
        <v>Grens</v>
      </c>
      <c r="C210" s="31">
        <f>'D) Ecrêtage'!C199</f>
        <v>20306.92935483871</v>
      </c>
      <c r="D210" s="14">
        <f>'A) Base RI'!AO201</f>
        <v>383</v>
      </c>
      <c r="E210" s="10">
        <f t="shared" si="9"/>
        <v>406274.45881363115</v>
      </c>
      <c r="F210" s="14">
        <f>'F) Population'!K202</f>
        <v>48115.819919517104</v>
      </c>
      <c r="G210" s="10">
        <f>'G) Solidarité'!I199</f>
        <v>0</v>
      </c>
      <c r="H210" s="14">
        <f t="shared" si="10"/>
        <v>48115.819919517104</v>
      </c>
      <c r="I210" s="57">
        <f t="shared" si="11"/>
        <v>358158.63889411406</v>
      </c>
    </row>
    <row r="211" spans="1:9" x14ac:dyDescent="0.25">
      <c r="A211" s="49">
        <f>'A) Base RI'!A202</f>
        <v>5723</v>
      </c>
      <c r="B211" s="32" t="str">
        <f>'A) Base RI'!B202</f>
        <v>Mies</v>
      </c>
      <c r="C211" s="31">
        <f>'D) Ecrêtage'!C200</f>
        <v>571754.57660377375</v>
      </c>
      <c r="D211" s="14">
        <f>'A) Base RI'!AO202</f>
        <v>2116</v>
      </c>
      <c r="E211" s="10">
        <f t="shared" si="9"/>
        <v>11438917.087115655</v>
      </c>
      <c r="F211" s="14">
        <f>'F) Population'!K203</f>
        <v>518193.56136820919</v>
      </c>
      <c r="G211" s="10">
        <f>'G) Solidarité'!I200</f>
        <v>0</v>
      </c>
      <c r="H211" s="14">
        <f t="shared" si="10"/>
        <v>518193.56136820919</v>
      </c>
      <c r="I211" s="57">
        <f t="shared" si="11"/>
        <v>10920723.525747446</v>
      </c>
    </row>
    <row r="212" spans="1:9" x14ac:dyDescent="0.25">
      <c r="A212" s="49">
        <f>'A) Base RI'!A203</f>
        <v>5724</v>
      </c>
      <c r="B212" s="32" t="str">
        <f>'A) Base RI'!B203</f>
        <v>Nyon</v>
      </c>
      <c r="C212" s="31">
        <f>'D) Ecrêtage'!C201</f>
        <v>1403046.442824716</v>
      </c>
      <c r="D212" s="14">
        <f>'A) Base RI'!AO203</f>
        <v>21416</v>
      </c>
      <c r="E212" s="10">
        <f t="shared" si="9"/>
        <v>28070316.505689602</v>
      </c>
      <c r="F212" s="14">
        <f>'F) Population'!K204</f>
        <v>16594857.344064387</v>
      </c>
      <c r="G212" s="10">
        <f>'G) Solidarité'!I201</f>
        <v>0</v>
      </c>
      <c r="H212" s="14">
        <f t="shared" si="10"/>
        <v>16594857.344064387</v>
      </c>
      <c r="I212" s="57">
        <f t="shared" si="11"/>
        <v>11475459.161625216</v>
      </c>
    </row>
    <row r="213" spans="1:9" x14ac:dyDescent="0.25">
      <c r="A213" s="49">
        <f>'A) Base RI'!A204</f>
        <v>5725</v>
      </c>
      <c r="B213" s="32" t="str">
        <f>'A) Base RI'!B204</f>
        <v>Prangins</v>
      </c>
      <c r="C213" s="31">
        <f>'D) Ecrêtage'!C202</f>
        <v>339116.20058673463</v>
      </c>
      <c r="D213" s="14">
        <f>'A) Base RI'!AO204</f>
        <v>4088</v>
      </c>
      <c r="E213" s="10">
        <f t="shared" si="9"/>
        <v>6784593.0057112109</v>
      </c>
      <c r="F213" s="14">
        <f>'F) Population'!K205</f>
        <v>1375886.3179074447</v>
      </c>
      <c r="G213" s="10">
        <f>'G) Solidarité'!I202</f>
        <v>0</v>
      </c>
      <c r="H213" s="14">
        <f t="shared" si="10"/>
        <v>1375886.3179074447</v>
      </c>
      <c r="I213" s="57">
        <f t="shared" si="11"/>
        <v>5408706.6878037658</v>
      </c>
    </row>
    <row r="214" spans="1:9" x14ac:dyDescent="0.25">
      <c r="A214" s="49">
        <f>'A) Base RI'!A205</f>
        <v>5726</v>
      </c>
      <c r="B214" s="32" t="str">
        <f>'A) Base RI'!B205</f>
        <v>La Rippe</v>
      </c>
      <c r="C214" s="31">
        <f>'D) Ecrêtage'!C203</f>
        <v>61326.535692307698</v>
      </c>
      <c r="D214" s="14">
        <f>'A) Base RI'!AO205</f>
        <v>1136</v>
      </c>
      <c r="E214" s="10">
        <f t="shared" si="9"/>
        <v>1226941.0438151907</v>
      </c>
      <c r="F214" s="14">
        <f>'F) Population'!K206</f>
        <v>173468.20925553318</v>
      </c>
      <c r="G214" s="10">
        <f>'G) Solidarité'!I203</f>
        <v>0</v>
      </c>
      <c r="H214" s="14">
        <f t="shared" si="10"/>
        <v>173468.20925553318</v>
      </c>
      <c r="I214" s="57">
        <f t="shared" si="11"/>
        <v>1053472.8345596576</v>
      </c>
    </row>
    <row r="215" spans="1:9" x14ac:dyDescent="0.25">
      <c r="A215" s="49">
        <f>'A) Base RI'!A206</f>
        <v>5727</v>
      </c>
      <c r="B215" s="32" t="str">
        <f>'A) Base RI'!B206</f>
        <v>Saint-Cergue</v>
      </c>
      <c r="C215" s="31">
        <f>'D) Ecrêtage'!C204</f>
        <v>96125.190858585862</v>
      </c>
      <c r="D215" s="14">
        <f>'A) Base RI'!AO206</f>
        <v>2603</v>
      </c>
      <c r="E215" s="10">
        <f t="shared" si="9"/>
        <v>1923146.9816052432</v>
      </c>
      <c r="F215" s="14">
        <f>'F) Population'!K207</f>
        <v>689500.95573440637</v>
      </c>
      <c r="G215" s="10">
        <f>'G) Solidarité'!I204</f>
        <v>457749.08817298332</v>
      </c>
      <c r="H215" s="14">
        <f t="shared" si="10"/>
        <v>1147250.0439073897</v>
      </c>
      <c r="I215" s="57">
        <f t="shared" si="11"/>
        <v>775896.93769785343</v>
      </c>
    </row>
    <row r="216" spans="1:9" x14ac:dyDescent="0.25">
      <c r="A216" s="49">
        <f>'A) Base RI'!A207</f>
        <v>5728</v>
      </c>
      <c r="B216" s="32" t="str">
        <f>'A) Base RI'!B207</f>
        <v>Signy-Avenex</v>
      </c>
      <c r="C216" s="31">
        <f>'D) Ecrêtage'!C205</f>
        <v>43125.38</v>
      </c>
      <c r="D216" s="14">
        <f>'A) Base RI'!AO207</f>
        <v>586</v>
      </c>
      <c r="E216" s="10">
        <f t="shared" si="9"/>
        <v>862796.14778180979</v>
      </c>
      <c r="F216" s="14">
        <f>'F) Population'!K208</f>
        <v>73618.460764587522</v>
      </c>
      <c r="G216" s="10">
        <f>'G) Solidarité'!I205</f>
        <v>0</v>
      </c>
      <c r="H216" s="14">
        <f t="shared" si="10"/>
        <v>73618.460764587522</v>
      </c>
      <c r="I216" s="57">
        <f t="shared" si="11"/>
        <v>789177.68701722228</v>
      </c>
    </row>
    <row r="217" spans="1:9" x14ac:dyDescent="0.25">
      <c r="A217" s="49">
        <f>'A) Base RI'!A208</f>
        <v>5729</v>
      </c>
      <c r="B217" s="32" t="str">
        <f>'A) Base RI'!B208</f>
        <v>Tannay</v>
      </c>
      <c r="C217" s="31">
        <f>'D) Ecrêtage'!C206</f>
        <v>176892.2019125683</v>
      </c>
      <c r="D217" s="14">
        <f>'A) Base RI'!AO208</f>
        <v>1600</v>
      </c>
      <c r="E217" s="10">
        <f t="shared" si="9"/>
        <v>3539027.6070102113</v>
      </c>
      <c r="F217" s="14">
        <f>'F) Population'!K209</f>
        <v>336685.11066398385</v>
      </c>
      <c r="G217" s="10">
        <f>'G) Solidarité'!I206</f>
        <v>0</v>
      </c>
      <c r="H217" s="14">
        <f t="shared" si="10"/>
        <v>336685.11066398385</v>
      </c>
      <c r="I217" s="57">
        <f t="shared" si="11"/>
        <v>3202342.4963462274</v>
      </c>
    </row>
    <row r="218" spans="1:9" x14ac:dyDescent="0.25">
      <c r="A218" s="49">
        <f>'A) Base RI'!A209</f>
        <v>5730</v>
      </c>
      <c r="B218" s="32" t="str">
        <f>'A) Base RI'!B209</f>
        <v>Trélex</v>
      </c>
      <c r="C218" s="31">
        <f>'D) Ecrêtage'!C207</f>
        <v>134482.25955165693</v>
      </c>
      <c r="D218" s="14">
        <f>'A) Base RI'!AO209</f>
        <v>1434</v>
      </c>
      <c r="E218" s="10">
        <f t="shared" si="9"/>
        <v>2690544.9989348059</v>
      </c>
      <c r="F218" s="14">
        <f>'F) Population'!K210</f>
        <v>278292.85714285716</v>
      </c>
      <c r="G218" s="10">
        <f>'G) Solidarité'!I207</f>
        <v>0</v>
      </c>
      <c r="H218" s="14">
        <f t="shared" si="10"/>
        <v>278292.85714285716</v>
      </c>
      <c r="I218" s="57">
        <f t="shared" si="11"/>
        <v>2412252.1417919486</v>
      </c>
    </row>
    <row r="219" spans="1:9" x14ac:dyDescent="0.25">
      <c r="A219" s="49">
        <f>'A) Base RI'!A210</f>
        <v>5731</v>
      </c>
      <c r="B219" s="32" t="str">
        <f>'A) Base RI'!B210</f>
        <v>Le Vaud</v>
      </c>
      <c r="C219" s="31">
        <f>'D) Ecrêtage'!C208</f>
        <v>61944.089333333322</v>
      </c>
      <c r="D219" s="14">
        <f>'A) Base RI'!AO210</f>
        <v>1362</v>
      </c>
      <c r="E219" s="10">
        <f t="shared" si="9"/>
        <v>1239296.2486278913</v>
      </c>
      <c r="F219" s="14">
        <f>'F) Population'!K211</f>
        <v>252966.09657947684</v>
      </c>
      <c r="G219" s="10">
        <f>'G) Solidarité'!I208</f>
        <v>49883.86905624107</v>
      </c>
      <c r="H219" s="14">
        <f t="shared" si="10"/>
        <v>302849.9656357179</v>
      </c>
      <c r="I219" s="57">
        <f t="shared" si="11"/>
        <v>936446.28299217345</v>
      </c>
    </row>
    <row r="220" spans="1:9" x14ac:dyDescent="0.25">
      <c r="A220" s="49">
        <f>'A) Base RI'!A211</f>
        <v>5732</v>
      </c>
      <c r="B220" s="32" t="str">
        <f>'A) Base RI'!B211</f>
        <v>Vich</v>
      </c>
      <c r="C220" s="31">
        <f>'D) Ecrêtage'!C209</f>
        <v>63992.408333333333</v>
      </c>
      <c r="D220" s="14">
        <f>'A) Base RI'!AO211</f>
        <v>1083</v>
      </c>
      <c r="E220" s="10">
        <f t="shared" si="9"/>
        <v>1280276.3337338844</v>
      </c>
      <c r="F220" s="14">
        <f>'F) Population'!K212</f>
        <v>154824.89939637826</v>
      </c>
      <c r="G220" s="10">
        <f>'G) Solidarité'!I209</f>
        <v>0</v>
      </c>
      <c r="H220" s="14">
        <f t="shared" si="10"/>
        <v>154824.89939637826</v>
      </c>
      <c r="I220" s="57">
        <f t="shared" si="11"/>
        <v>1125451.4343375061</v>
      </c>
    </row>
    <row r="221" spans="1:9" x14ac:dyDescent="0.25">
      <c r="A221" s="49">
        <f>'A) Base RI'!A212</f>
        <v>5741</v>
      </c>
      <c r="B221" s="32" t="str">
        <f>'A) Base RI'!B212</f>
        <v>L'Abergement</v>
      </c>
      <c r="C221" s="31">
        <f>'D) Ecrêtage'!C210</f>
        <v>7144.356296296296</v>
      </c>
      <c r="D221" s="14">
        <f>'A) Base RI'!AO212</f>
        <v>244</v>
      </c>
      <c r="E221" s="10">
        <f t="shared" si="9"/>
        <v>142934.928128753</v>
      </c>
      <c r="F221" s="14">
        <f>'F) Population'!K213</f>
        <v>30653.420523138833</v>
      </c>
      <c r="G221" s="10">
        <f>'G) Solidarité'!I210</f>
        <v>113108.99315879545</v>
      </c>
      <c r="H221" s="14">
        <f t="shared" si="10"/>
        <v>143762.4136819343</v>
      </c>
      <c r="I221" s="57">
        <f t="shared" si="11"/>
        <v>-827.48555318129365</v>
      </c>
    </row>
    <row r="222" spans="1:9" x14ac:dyDescent="0.25">
      <c r="A222" s="49">
        <f>'A) Base RI'!A213</f>
        <v>5742</v>
      </c>
      <c r="B222" s="32" t="str">
        <f>'A) Base RI'!B213</f>
        <v>Agiez</v>
      </c>
      <c r="C222" s="31">
        <f>'D) Ecrêtage'!C211</f>
        <v>9023.5640789473691</v>
      </c>
      <c r="D222" s="14">
        <f>'A) Base RI'!AO213</f>
        <v>354</v>
      </c>
      <c r="E222" s="10">
        <f t="shared" si="9"/>
        <v>180531.65738083015</v>
      </c>
      <c r="F222" s="14">
        <f>'F) Population'!K214</f>
        <v>44472.585513078469</v>
      </c>
      <c r="G222" s="10">
        <f>'G) Solidarité'!I211</f>
        <v>175148.71551403098</v>
      </c>
      <c r="H222" s="14">
        <f t="shared" si="10"/>
        <v>219621.30102710944</v>
      </c>
      <c r="I222" s="57">
        <f t="shared" si="11"/>
        <v>-39089.643646279292</v>
      </c>
    </row>
    <row r="223" spans="1:9" x14ac:dyDescent="0.25">
      <c r="A223" s="49">
        <f>'A) Base RI'!A214</f>
        <v>5743</v>
      </c>
      <c r="B223" s="32" t="str">
        <f>'A) Base RI'!B214</f>
        <v>Arnex-sur-Orbe</v>
      </c>
      <c r="C223" s="31">
        <f>'D) Ecrêtage'!C212</f>
        <v>19009.64441780822</v>
      </c>
      <c r="D223" s="14">
        <f>'A) Base RI'!AO214</f>
        <v>633</v>
      </c>
      <c r="E223" s="10">
        <f t="shared" si="9"/>
        <v>380320.08006391866</v>
      </c>
      <c r="F223" s="14">
        <f>'F) Population'!K215</f>
        <v>79523.013078470816</v>
      </c>
      <c r="G223" s="10">
        <f>'G) Solidarité'!I212</f>
        <v>228305.46991467266</v>
      </c>
      <c r="H223" s="14">
        <f t="shared" si="10"/>
        <v>307828.48299314349</v>
      </c>
      <c r="I223" s="57">
        <f t="shared" si="11"/>
        <v>72491.597070775169</v>
      </c>
    </row>
    <row r="224" spans="1:9" x14ac:dyDescent="0.25">
      <c r="A224" s="49">
        <f>'A) Base RI'!A215</f>
        <v>5744</v>
      </c>
      <c r="B224" s="32" t="str">
        <f>'A) Base RI'!B215</f>
        <v>Ballaigues</v>
      </c>
      <c r="C224" s="31">
        <f>'D) Ecrêtage'!C213</f>
        <v>63457.136212121215</v>
      </c>
      <c r="D224" s="14">
        <f>'A) Base RI'!AO215</f>
        <v>1108</v>
      </c>
      <c r="E224" s="10">
        <f t="shared" si="9"/>
        <v>1269567.3098552122</v>
      </c>
      <c r="F224" s="14">
        <f>'F) Population'!K216</f>
        <v>163618.9134808853</v>
      </c>
      <c r="G224" s="10">
        <f>'G) Solidarité'!I213</f>
        <v>0</v>
      </c>
      <c r="H224" s="14">
        <f t="shared" si="10"/>
        <v>163618.9134808853</v>
      </c>
      <c r="I224" s="57">
        <f t="shared" si="11"/>
        <v>1105948.3963743269</v>
      </c>
    </row>
    <row r="225" spans="1:9" x14ac:dyDescent="0.25">
      <c r="A225" s="49">
        <f>'A) Base RI'!A216</f>
        <v>5745</v>
      </c>
      <c r="B225" s="32" t="str">
        <f>'A) Base RI'!B216</f>
        <v>Baulmes</v>
      </c>
      <c r="C225" s="31">
        <f>'D) Ecrêtage'!C214</f>
        <v>27759.177948717952</v>
      </c>
      <c r="D225" s="14">
        <f>'A) Base RI'!AO216</f>
        <v>1042</v>
      </c>
      <c r="E225" s="10">
        <f t="shared" si="9"/>
        <v>555369.29297187901</v>
      </c>
      <c r="F225" s="14">
        <f>'F) Population'!K217</f>
        <v>140402.71629778671</v>
      </c>
      <c r="G225" s="10">
        <f>'G) Solidarité'!I214</f>
        <v>514176.27438477386</v>
      </c>
      <c r="H225" s="14">
        <f t="shared" si="10"/>
        <v>654578.9906825606</v>
      </c>
      <c r="I225" s="57">
        <f t="shared" si="11"/>
        <v>-99209.69771068159</v>
      </c>
    </row>
    <row r="226" spans="1:9" x14ac:dyDescent="0.25">
      <c r="A226" s="49">
        <f>'A) Base RI'!A217</f>
        <v>5746</v>
      </c>
      <c r="B226" s="32" t="str">
        <f>'A) Base RI'!B217</f>
        <v>Bavois</v>
      </c>
      <c r="C226" s="31">
        <f>'D) Ecrêtage'!C215</f>
        <v>26302.981735159818</v>
      </c>
      <c r="D226" s="14">
        <f>'A) Base RI'!AO217</f>
        <v>952</v>
      </c>
      <c r="E226" s="10">
        <f t="shared" si="9"/>
        <v>526235.62543150212</v>
      </c>
      <c r="F226" s="14">
        <f>'F) Population'!K218</f>
        <v>119598.59154929577</v>
      </c>
      <c r="G226" s="10">
        <f>'G) Solidarité'!I215</f>
        <v>391605.71981595253</v>
      </c>
      <c r="H226" s="14">
        <f t="shared" si="10"/>
        <v>511204.31136524829</v>
      </c>
      <c r="I226" s="57">
        <f t="shared" si="11"/>
        <v>15031.314066253835</v>
      </c>
    </row>
    <row r="227" spans="1:9" x14ac:dyDescent="0.25">
      <c r="A227" s="49">
        <f>'A) Base RI'!A218</f>
        <v>5747</v>
      </c>
      <c r="B227" s="32" t="str">
        <f>'A) Base RI'!B218</f>
        <v>Bofflens</v>
      </c>
      <c r="C227" s="31">
        <f>'D) Ecrêtage'!C216</f>
        <v>5938.7008695652166</v>
      </c>
      <c r="D227" s="14">
        <f>'A) Base RI'!AO218</f>
        <v>194</v>
      </c>
      <c r="E227" s="10">
        <f t="shared" si="9"/>
        <v>118813.75266929482</v>
      </c>
      <c r="F227" s="14">
        <f>'F) Population'!K219</f>
        <v>24371.981891348089</v>
      </c>
      <c r="G227" s="10">
        <f>'G) Solidarité'!I216</f>
        <v>60388.378877246287</v>
      </c>
      <c r="H227" s="14">
        <f t="shared" si="10"/>
        <v>84760.360768594372</v>
      </c>
      <c r="I227" s="57">
        <f t="shared" si="11"/>
        <v>34053.391900700444</v>
      </c>
    </row>
    <row r="228" spans="1:9" x14ac:dyDescent="0.25">
      <c r="A228" s="49">
        <f>'A) Base RI'!A219</f>
        <v>5748</v>
      </c>
      <c r="B228" s="32" t="str">
        <f>'A) Base RI'!B219</f>
        <v>Bretonnières</v>
      </c>
      <c r="C228" s="31">
        <f>'D) Ecrêtage'!C217</f>
        <v>7318.7627314814808</v>
      </c>
      <c r="D228" s="14">
        <f>'A) Base RI'!AO219</f>
        <v>269</v>
      </c>
      <c r="E228" s="10">
        <f t="shared" si="9"/>
        <v>146424.22376918877</v>
      </c>
      <c r="F228" s="14">
        <f>'F) Population'!K220</f>
        <v>33794.1398390342</v>
      </c>
      <c r="G228" s="10">
        <f>'G) Solidarité'!I217</f>
        <v>109971.86109173736</v>
      </c>
      <c r="H228" s="14">
        <f t="shared" si="10"/>
        <v>143766.00093077155</v>
      </c>
      <c r="I228" s="57">
        <f t="shared" si="11"/>
        <v>2658.2228384172195</v>
      </c>
    </row>
    <row r="229" spans="1:9" x14ac:dyDescent="0.25">
      <c r="A229" s="49">
        <f>'A) Base RI'!A220</f>
        <v>5749</v>
      </c>
      <c r="B229" s="32" t="str">
        <f>'A) Base RI'!B220</f>
        <v>Chavornay</v>
      </c>
      <c r="C229" s="31">
        <f>'D) Ecrêtage'!C218</f>
        <v>133236.15722222222</v>
      </c>
      <c r="D229" s="14">
        <f>'A) Base RI'!AO220</f>
        <v>5135</v>
      </c>
      <c r="E229" s="10">
        <f t="shared" si="9"/>
        <v>2665614.6147949281</v>
      </c>
      <c r="F229" s="14">
        <f>'F) Population'!K221</f>
        <v>1915587.5251509054</v>
      </c>
      <c r="G229" s="10">
        <f>'G) Solidarité'!I218</f>
        <v>2232145.59377546</v>
      </c>
      <c r="H229" s="14">
        <f t="shared" si="10"/>
        <v>4147733.1189263654</v>
      </c>
      <c r="I229" s="57">
        <f t="shared" si="11"/>
        <v>-1482118.5041314373</v>
      </c>
    </row>
    <row r="230" spans="1:9" x14ac:dyDescent="0.25">
      <c r="A230" s="49">
        <f>'A) Base RI'!A221</f>
        <v>5750</v>
      </c>
      <c r="B230" s="32" t="str">
        <f>'A) Base RI'!B221</f>
        <v>Les Clées</v>
      </c>
      <c r="C230" s="31">
        <f>'D) Ecrêtage'!C219</f>
        <v>5052.8727083333342</v>
      </c>
      <c r="D230" s="14">
        <f>'A) Base RI'!AO221</f>
        <v>185</v>
      </c>
      <c r="E230" s="10">
        <f t="shared" si="9"/>
        <v>101091.26245338224</v>
      </c>
      <c r="F230" s="14">
        <f>'F) Population'!K222</f>
        <v>23241.322937625755</v>
      </c>
      <c r="G230" s="10">
        <f>'G) Solidarité'!I219</f>
        <v>92877.144101709084</v>
      </c>
      <c r="H230" s="14">
        <f t="shared" si="10"/>
        <v>116118.46703933484</v>
      </c>
      <c r="I230" s="57">
        <f t="shared" si="11"/>
        <v>-15027.204585952597</v>
      </c>
    </row>
    <row r="231" spans="1:9" x14ac:dyDescent="0.25">
      <c r="A231" s="49">
        <f>'A) Base RI'!A222</f>
        <v>5752</v>
      </c>
      <c r="B231" s="32" t="str">
        <f>'A) Base RI'!B222</f>
        <v>Croy</v>
      </c>
      <c r="C231" s="31">
        <f>'D) Ecrêtage'!C220</f>
        <v>9724.9561776061801</v>
      </c>
      <c r="D231" s="14">
        <f>'A) Base RI'!AO222</f>
        <v>403</v>
      </c>
      <c r="E231" s="10">
        <f t="shared" si="9"/>
        <v>194564.19230127425</v>
      </c>
      <c r="F231" s="14">
        <f>'F) Population'!K223</f>
        <v>50628.395372233397</v>
      </c>
      <c r="G231" s="10">
        <f>'G) Solidarité'!I220</f>
        <v>200909.83802975764</v>
      </c>
      <c r="H231" s="14">
        <f t="shared" si="10"/>
        <v>251538.23340199102</v>
      </c>
      <c r="I231" s="57">
        <f t="shared" si="11"/>
        <v>-56974.041100716771</v>
      </c>
    </row>
    <row r="232" spans="1:9" x14ac:dyDescent="0.25">
      <c r="A232" s="49">
        <f>'A) Base RI'!A223</f>
        <v>5754</v>
      </c>
      <c r="B232" s="32" t="str">
        <f>'A) Base RI'!B223</f>
        <v>Juriens</v>
      </c>
      <c r="C232" s="31">
        <f>'D) Ecrêtage'!C221</f>
        <v>9237.2617721518982</v>
      </c>
      <c r="D232" s="14">
        <f>'A) Base RI'!AO223</f>
        <v>328</v>
      </c>
      <c r="E232" s="10">
        <f t="shared" si="9"/>
        <v>184807.04107569213</v>
      </c>
      <c r="F232" s="14">
        <f>'F) Population'!K224</f>
        <v>41206.237424547282</v>
      </c>
      <c r="G232" s="10">
        <f>'G) Solidarité'!I221</f>
        <v>153691.91578771427</v>
      </c>
      <c r="H232" s="14">
        <f t="shared" si="10"/>
        <v>194898.15321226156</v>
      </c>
      <c r="I232" s="57">
        <f t="shared" si="11"/>
        <v>-10091.112136569427</v>
      </c>
    </row>
    <row r="233" spans="1:9" x14ac:dyDescent="0.25">
      <c r="A233" s="49">
        <f>'A) Base RI'!A224</f>
        <v>5755</v>
      </c>
      <c r="B233" s="32" t="str">
        <f>'A) Base RI'!B224</f>
        <v>Lignerolle</v>
      </c>
      <c r="C233" s="31">
        <f>'D) Ecrêtage'!C222</f>
        <v>9846.5387499999997</v>
      </c>
      <c r="D233" s="14">
        <f>'A) Base RI'!AO224</f>
        <v>437</v>
      </c>
      <c r="E233" s="10">
        <f t="shared" si="9"/>
        <v>196996.65724648262</v>
      </c>
      <c r="F233" s="14">
        <f>'F) Population'!K225</f>
        <v>54899.773641851105</v>
      </c>
      <c r="G233" s="10">
        <f>'G) Solidarité'!I222</f>
        <v>272330.87692201918</v>
      </c>
      <c r="H233" s="14">
        <f t="shared" si="10"/>
        <v>327230.65056387027</v>
      </c>
      <c r="I233" s="57">
        <f t="shared" si="11"/>
        <v>-130233.99331738765</v>
      </c>
    </row>
    <row r="234" spans="1:9" x14ac:dyDescent="0.25">
      <c r="A234" s="49">
        <f>'A) Base RI'!A225</f>
        <v>5756</v>
      </c>
      <c r="B234" s="32" t="str">
        <f>'A) Base RI'!B225</f>
        <v>Montcherand</v>
      </c>
      <c r="C234" s="31">
        <f>'D) Ecrêtage'!C223</f>
        <v>16429.064166666663</v>
      </c>
      <c r="D234" s="14">
        <f>'A) Base RI'!AO225</f>
        <v>505</v>
      </c>
      <c r="E234" s="10">
        <f t="shared" si="9"/>
        <v>328691.20862610755</v>
      </c>
      <c r="F234" s="14">
        <f>'F) Population'!K226</f>
        <v>63442.530181086513</v>
      </c>
      <c r="G234" s="10">
        <f>'G) Solidarité'!I223</f>
        <v>151251.60214964498</v>
      </c>
      <c r="H234" s="14">
        <f t="shared" si="10"/>
        <v>214694.13233073149</v>
      </c>
      <c r="I234" s="57">
        <f t="shared" si="11"/>
        <v>113997.07629537606</v>
      </c>
    </row>
    <row r="235" spans="1:9" x14ac:dyDescent="0.25">
      <c r="A235" s="49">
        <f>'A) Base RI'!A226</f>
        <v>5757</v>
      </c>
      <c r="B235" s="32" t="str">
        <f>'A) Base RI'!B226</f>
        <v>Orbe</v>
      </c>
      <c r="C235" s="31">
        <f>'D) Ecrêtage'!C224</f>
        <v>203622.90168831171</v>
      </c>
      <c r="D235" s="14">
        <f>'A) Base RI'!AO226</f>
        <v>7030</v>
      </c>
      <c r="E235" s="10">
        <f t="shared" si="9"/>
        <v>4073820.4550737762</v>
      </c>
      <c r="F235" s="14">
        <f>'F) Population'!K227</f>
        <v>3058306.8410462774</v>
      </c>
      <c r="G235" s="10">
        <f>'G) Solidarité'!I224</f>
        <v>2996957.9006509893</v>
      </c>
      <c r="H235" s="14">
        <f t="shared" si="10"/>
        <v>6055264.7416972667</v>
      </c>
      <c r="I235" s="57">
        <f t="shared" si="11"/>
        <v>-1981444.2866234905</v>
      </c>
    </row>
    <row r="236" spans="1:9" x14ac:dyDescent="0.25">
      <c r="A236" s="49">
        <f>'A) Base RI'!A227</f>
        <v>5758</v>
      </c>
      <c r="B236" s="32" t="str">
        <f>'A) Base RI'!B227</f>
        <v>La Praz</v>
      </c>
      <c r="C236" s="31">
        <f>'D) Ecrêtage'!C225</f>
        <v>4513.7940160642565</v>
      </c>
      <c r="D236" s="14">
        <f>'A) Base RI'!AO227</f>
        <v>165</v>
      </c>
      <c r="E236" s="10">
        <f t="shared" si="9"/>
        <v>90306.081684168937</v>
      </c>
      <c r="F236" s="14">
        <f>'F) Population'!K228</f>
        <v>20728.747484909454</v>
      </c>
      <c r="G236" s="10">
        <f>'G) Solidarité'!I225</f>
        <v>88969.803221713548</v>
      </c>
      <c r="H236" s="14">
        <f t="shared" si="10"/>
        <v>109698.55070662301</v>
      </c>
      <c r="I236" s="57">
        <f t="shared" si="11"/>
        <v>-19392.469022454068</v>
      </c>
    </row>
    <row r="237" spans="1:9" x14ac:dyDescent="0.25">
      <c r="A237" s="49">
        <f>'A) Base RI'!A228</f>
        <v>5759</v>
      </c>
      <c r="B237" s="32" t="str">
        <f>'A) Base RI'!B228</f>
        <v>Premier</v>
      </c>
      <c r="C237" s="31">
        <f>'D) Ecrêtage'!C226</f>
        <v>5266.2719753086421</v>
      </c>
      <c r="D237" s="14">
        <f>'A) Base RI'!AO228</f>
        <v>215</v>
      </c>
      <c r="E237" s="10">
        <f t="shared" si="9"/>
        <v>105360.6756269185</v>
      </c>
      <c r="F237" s="14">
        <f>'F) Population'!K229</f>
        <v>27010.186116700199</v>
      </c>
      <c r="G237" s="10">
        <f>'G) Solidarité'!I226</f>
        <v>126395.74843301448</v>
      </c>
      <c r="H237" s="14">
        <f t="shared" si="10"/>
        <v>153405.93454971467</v>
      </c>
      <c r="I237" s="57">
        <f t="shared" si="11"/>
        <v>-48045.258922796173</v>
      </c>
    </row>
    <row r="238" spans="1:9" x14ac:dyDescent="0.25">
      <c r="A238" s="49">
        <f>'A) Base RI'!A229</f>
        <v>5760</v>
      </c>
      <c r="B238" s="32" t="str">
        <f>'A) Base RI'!B229</f>
        <v>Rances</v>
      </c>
      <c r="C238" s="31">
        <f>'D) Ecrêtage'!C227</f>
        <v>12393.154658119658</v>
      </c>
      <c r="D238" s="14">
        <f>'A) Base RI'!AO229</f>
        <v>505</v>
      </c>
      <c r="E238" s="10">
        <f t="shared" si="9"/>
        <v>247946.01457169381</v>
      </c>
      <c r="F238" s="14">
        <f>'F) Population'!K230</f>
        <v>63442.530181086513</v>
      </c>
      <c r="G238" s="10">
        <f>'G) Solidarité'!I227</f>
        <v>274731.91289784963</v>
      </c>
      <c r="H238" s="14">
        <f t="shared" si="10"/>
        <v>338174.44307893614</v>
      </c>
      <c r="I238" s="57">
        <f t="shared" si="11"/>
        <v>-90228.428507242323</v>
      </c>
    </row>
    <row r="239" spans="1:9" x14ac:dyDescent="0.25">
      <c r="A239" s="49">
        <f>'A) Base RI'!A230</f>
        <v>5761</v>
      </c>
      <c r="B239" s="32" t="str">
        <f>'A) Base RI'!B230</f>
        <v>Romainmôtier-Envy</v>
      </c>
      <c r="C239" s="31">
        <f>'D) Ecrêtage'!C228</f>
        <v>12300.346363636363</v>
      </c>
      <c r="D239" s="14">
        <f>'A) Base RI'!AO230</f>
        <v>535</v>
      </c>
      <c r="E239" s="10">
        <f t="shared" si="9"/>
        <v>246089.22771062996</v>
      </c>
      <c r="F239" s="14">
        <f>'F) Population'!K231</f>
        <v>67211.393360160961</v>
      </c>
      <c r="G239" s="10">
        <f>'G) Solidarité'!I228</f>
        <v>335408.28377285186</v>
      </c>
      <c r="H239" s="14">
        <f t="shared" si="10"/>
        <v>402619.6771330128</v>
      </c>
      <c r="I239" s="57">
        <f t="shared" si="11"/>
        <v>-156530.44942238284</v>
      </c>
    </row>
    <row r="240" spans="1:9" x14ac:dyDescent="0.25">
      <c r="A240" s="49">
        <f>'A) Base RI'!A231</f>
        <v>5762</v>
      </c>
      <c r="B240" s="32" t="str">
        <f>'A) Base RI'!B231</f>
        <v>Sergey</v>
      </c>
      <c r="C240" s="31">
        <f>'D) Ecrêtage'!C229</f>
        <v>4008.7221794871789</v>
      </c>
      <c r="D240" s="14">
        <f>'A) Base RI'!AO231</f>
        <v>145</v>
      </c>
      <c r="E240" s="10">
        <f t="shared" si="9"/>
        <v>80201.265565405774</v>
      </c>
      <c r="F240" s="14">
        <f>'F) Population'!K232</f>
        <v>18216.172032193157</v>
      </c>
      <c r="G240" s="10">
        <f>'G) Solidarité'!I229</f>
        <v>68036.308778374936</v>
      </c>
      <c r="H240" s="14">
        <f t="shared" si="10"/>
        <v>86252.480810568086</v>
      </c>
      <c r="I240" s="57">
        <f t="shared" si="11"/>
        <v>-6051.2152451623115</v>
      </c>
    </row>
    <row r="241" spans="1:9" x14ac:dyDescent="0.25">
      <c r="A241" s="49">
        <f>'A) Base RI'!A232</f>
        <v>5763</v>
      </c>
      <c r="B241" s="32" t="str">
        <f>'A) Base RI'!B232</f>
        <v>Valeyres-sous-Rances</v>
      </c>
      <c r="C241" s="31">
        <f>'D) Ecrêtage'!C230</f>
        <v>21916.016764705884</v>
      </c>
      <c r="D241" s="14">
        <f>'A) Base RI'!AO232</f>
        <v>620</v>
      </c>
      <c r="E241" s="10">
        <f t="shared" si="9"/>
        <v>438466.97326052084</v>
      </c>
      <c r="F241" s="14">
        <f>'F) Population'!K233</f>
        <v>77889.83903420523</v>
      </c>
      <c r="G241" s="10">
        <f>'G) Solidarité'!I230</f>
        <v>133674.88238359071</v>
      </c>
      <c r="H241" s="14">
        <f t="shared" si="10"/>
        <v>211564.72141779592</v>
      </c>
      <c r="I241" s="57">
        <f t="shared" si="11"/>
        <v>226902.25184272492</v>
      </c>
    </row>
    <row r="242" spans="1:9" x14ac:dyDescent="0.25">
      <c r="A242" s="49">
        <f>'A) Base RI'!A233</f>
        <v>5764</v>
      </c>
      <c r="B242" s="32" t="str">
        <f>'A) Base RI'!B233</f>
        <v>Vallorbe</v>
      </c>
      <c r="C242" s="31">
        <f>'D) Ecrêtage'!C231</f>
        <v>88041.024794520548</v>
      </c>
      <c r="D242" s="14">
        <f>'A) Base RI'!AO233</f>
        <v>3857</v>
      </c>
      <c r="E242" s="10">
        <f t="shared" si="9"/>
        <v>1761409.5699440825</v>
      </c>
      <c r="F242" s="14">
        <f>'F) Population'!K234</f>
        <v>1259805.3319919517</v>
      </c>
      <c r="G242" s="10">
        <f>'G) Solidarité'!I231</f>
        <v>1977445.7693369214</v>
      </c>
      <c r="H242" s="14">
        <f t="shared" si="10"/>
        <v>3237251.1013288731</v>
      </c>
      <c r="I242" s="57">
        <f t="shared" si="11"/>
        <v>-1475841.5313847905</v>
      </c>
    </row>
    <row r="243" spans="1:9" x14ac:dyDescent="0.25">
      <c r="A243" s="49">
        <f>'A) Base RI'!A234</f>
        <v>5765</v>
      </c>
      <c r="B243" s="32" t="str">
        <f>'A) Base RI'!B234</f>
        <v>Vaulion</v>
      </c>
      <c r="C243" s="31">
        <f>'D) Ecrêtage'!C232</f>
        <v>11969.433580246912</v>
      </c>
      <c r="D243" s="14">
        <f>'A) Base RI'!AO234</f>
        <v>496</v>
      </c>
      <c r="E243" s="10">
        <f t="shared" si="9"/>
        <v>239468.75793714216</v>
      </c>
      <c r="F243" s="14">
        <f>'F) Population'!K235</f>
        <v>62311.87122736418</v>
      </c>
      <c r="G243" s="10">
        <f>'G) Solidarité'!I232</f>
        <v>296261.11641846929</v>
      </c>
      <c r="H243" s="14">
        <f t="shared" si="10"/>
        <v>358572.98764583346</v>
      </c>
      <c r="I243" s="57">
        <f t="shared" si="11"/>
        <v>-119104.2297086913</v>
      </c>
    </row>
    <row r="244" spans="1:9" x14ac:dyDescent="0.25">
      <c r="A244" s="49">
        <f>'A) Base RI'!A235</f>
        <v>5766</v>
      </c>
      <c r="B244" s="32" t="str">
        <f>'A) Base RI'!B235</f>
        <v>Vuiteboeuf</v>
      </c>
      <c r="C244" s="31">
        <f>'D) Ecrêtage'!C233</f>
        <v>13963.194675324676</v>
      </c>
      <c r="D244" s="14">
        <f>'A) Base RI'!AO235</f>
        <v>576</v>
      </c>
      <c r="E244" s="10">
        <f t="shared" si="9"/>
        <v>279357.31990298076</v>
      </c>
      <c r="F244" s="14">
        <f>'F) Population'!K236</f>
        <v>72362.173038229375</v>
      </c>
      <c r="G244" s="10">
        <f>'G) Solidarité'!I233</f>
        <v>309420.58980344154</v>
      </c>
      <c r="H244" s="14">
        <f t="shared" si="10"/>
        <v>381782.76284167089</v>
      </c>
      <c r="I244" s="57">
        <f t="shared" si="11"/>
        <v>-102425.44293869013</v>
      </c>
    </row>
    <row r="245" spans="1:9" x14ac:dyDescent="0.25">
      <c r="A245" s="49">
        <f>'A) Base RI'!A236</f>
        <v>5785</v>
      </c>
      <c r="B245" s="32" t="str">
        <f>'A) Base RI'!B236</f>
        <v>Corcelles-le-Jorat</v>
      </c>
      <c r="C245" s="31">
        <f>'D) Ecrêtage'!C234</f>
        <v>16982.100779220782</v>
      </c>
      <c r="D245" s="14">
        <f>'A) Base RI'!AO236</f>
        <v>458</v>
      </c>
      <c r="E245" s="10">
        <f t="shared" si="9"/>
        <v>339755.64119212772</v>
      </c>
      <c r="F245" s="14">
        <f>'F) Population'!K237</f>
        <v>57537.977867203219</v>
      </c>
      <c r="G245" s="10">
        <f>'G) Solidarité'!I234</f>
        <v>108010.73343702743</v>
      </c>
      <c r="H245" s="14">
        <f t="shared" si="10"/>
        <v>165548.71130423064</v>
      </c>
      <c r="I245" s="57">
        <f t="shared" si="11"/>
        <v>174206.92988789707</v>
      </c>
    </row>
    <row r="246" spans="1:9" x14ac:dyDescent="0.25">
      <c r="A246" s="49">
        <f>'A) Base RI'!A237</f>
        <v>5788</v>
      </c>
      <c r="B246" s="32" t="str">
        <f>'A) Base RI'!B237</f>
        <v>Essertes</v>
      </c>
      <c r="C246" s="31">
        <f>'D) Ecrêtage'!C235</f>
        <v>12373.296527777777</v>
      </c>
      <c r="D246" s="14">
        <f>'A) Base RI'!AO237</f>
        <v>380</v>
      </c>
      <c r="E246" s="10">
        <f t="shared" si="9"/>
        <v>247548.71909601049</v>
      </c>
      <c r="F246" s="14">
        <f>'F) Population'!K238</f>
        <v>47738.933601609657</v>
      </c>
      <c r="G246" s="10">
        <f>'G) Solidarité'!I235</f>
        <v>113590.745124818</v>
      </c>
      <c r="H246" s="14">
        <f t="shared" si="10"/>
        <v>161329.67872642766</v>
      </c>
      <c r="I246" s="57">
        <f t="shared" si="11"/>
        <v>86219.040369582828</v>
      </c>
    </row>
    <row r="247" spans="1:9" x14ac:dyDescent="0.25">
      <c r="A247" s="49">
        <f>'A) Base RI'!A238</f>
        <v>5790</v>
      </c>
      <c r="B247" s="32" t="str">
        <f>'A) Base RI'!B238</f>
        <v>Maracon</v>
      </c>
      <c r="C247" s="31">
        <f>'D) Ecrêtage'!C236</f>
        <v>14432.888421052632</v>
      </c>
      <c r="D247" s="14">
        <f>'A) Base RI'!AO238</f>
        <v>538</v>
      </c>
      <c r="E247" s="10">
        <f t="shared" si="9"/>
        <v>288754.33749334846</v>
      </c>
      <c r="F247" s="14">
        <f>'F) Population'!K239</f>
        <v>67588.2796780684</v>
      </c>
      <c r="G247" s="10">
        <f>'G) Solidarité'!I236</f>
        <v>249740.71567411348</v>
      </c>
      <c r="H247" s="14">
        <f t="shared" si="10"/>
        <v>317328.9953521819</v>
      </c>
      <c r="I247" s="57">
        <f t="shared" si="11"/>
        <v>-28574.657858833438</v>
      </c>
    </row>
    <row r="248" spans="1:9" x14ac:dyDescent="0.25">
      <c r="A248" s="49">
        <f>'A) Base RI'!A239</f>
        <v>5792</v>
      </c>
      <c r="B248" s="32" t="str">
        <f>'A) Base RI'!B239</f>
        <v>Montpreveyres</v>
      </c>
      <c r="C248" s="31">
        <f>'D) Ecrêtage'!C237</f>
        <v>20144.698311688313</v>
      </c>
      <c r="D248" s="14">
        <f>'A) Base RI'!AO239</f>
        <v>657</v>
      </c>
      <c r="E248" s="10">
        <f t="shared" si="9"/>
        <v>403028.75247827161</v>
      </c>
      <c r="F248" s="14">
        <f>'F) Population'!K240</f>
        <v>82538.103621730377</v>
      </c>
      <c r="G248" s="10">
        <f>'G) Solidarité'!I237</f>
        <v>253915.39924464104</v>
      </c>
      <c r="H248" s="14">
        <f t="shared" si="10"/>
        <v>336453.50286637142</v>
      </c>
      <c r="I248" s="57">
        <f t="shared" si="11"/>
        <v>66575.249611900188</v>
      </c>
    </row>
    <row r="249" spans="1:9" x14ac:dyDescent="0.25">
      <c r="A249" s="49">
        <f>'A) Base RI'!A240</f>
        <v>5798</v>
      </c>
      <c r="B249" s="32" t="str">
        <f>'A) Base RI'!B240</f>
        <v>Ropraz</v>
      </c>
      <c r="C249" s="31">
        <f>'D) Ecrêtage'!C238</f>
        <v>14372.607741935482</v>
      </c>
      <c r="D249" s="14">
        <f>'A) Base RI'!AO240</f>
        <v>488</v>
      </c>
      <c r="E249" s="10">
        <f t="shared" si="9"/>
        <v>287548.32057876245</v>
      </c>
      <c r="F249" s="14">
        <f>'F) Population'!K241</f>
        <v>61306.841046277666</v>
      </c>
      <c r="G249" s="10">
        <f>'G) Solidarité'!I238</f>
        <v>205095.52350616117</v>
      </c>
      <c r="H249" s="14">
        <f t="shared" si="10"/>
        <v>266402.36455243884</v>
      </c>
      <c r="I249" s="57">
        <f t="shared" si="11"/>
        <v>21145.956026323605</v>
      </c>
    </row>
    <row r="250" spans="1:9" x14ac:dyDescent="0.25">
      <c r="A250" s="49">
        <f>'A) Base RI'!A241</f>
        <v>5799</v>
      </c>
      <c r="B250" s="32" t="str">
        <f>'A) Base RI'!B241</f>
        <v>Servion</v>
      </c>
      <c r="C250" s="31">
        <f>'D) Ecrêtage'!C239</f>
        <v>71130.218550724647</v>
      </c>
      <c r="D250" s="14">
        <f>'A) Base RI'!AO241</f>
        <v>1997</v>
      </c>
      <c r="E250" s="10">
        <f t="shared" si="9"/>
        <v>1423080.2964853516</v>
      </c>
      <c r="F250" s="14">
        <f>'F) Population'!K242</f>
        <v>476334.05432595569</v>
      </c>
      <c r="G250" s="10">
        <f>'G) Solidarité'!I239</f>
        <v>433150.42358669243</v>
      </c>
      <c r="H250" s="14">
        <f t="shared" si="10"/>
        <v>909484.47791264812</v>
      </c>
      <c r="I250" s="57">
        <f t="shared" si="11"/>
        <v>513595.81857270352</v>
      </c>
    </row>
    <row r="251" spans="1:9" x14ac:dyDescent="0.25">
      <c r="A251" s="49">
        <f>'A) Base RI'!A242</f>
        <v>5803</v>
      </c>
      <c r="B251" s="32" t="str">
        <f>'A) Base RI'!B242</f>
        <v>Vulliens</v>
      </c>
      <c r="C251" s="31">
        <f>'D) Ecrêtage'!C240</f>
        <v>17471.95461538462</v>
      </c>
      <c r="D251" s="14">
        <f>'A) Base RI'!AO242</f>
        <v>614</v>
      </c>
      <c r="E251" s="10">
        <f t="shared" si="9"/>
        <v>349555.99548044475</v>
      </c>
      <c r="F251" s="14">
        <f>'F) Population'!K243</f>
        <v>77136.066398390336</v>
      </c>
      <c r="G251" s="10">
        <f>'G) Solidarité'!I240</f>
        <v>276124.14322321856</v>
      </c>
      <c r="H251" s="14">
        <f t="shared" si="10"/>
        <v>353260.2096216089</v>
      </c>
      <c r="I251" s="57">
        <f t="shared" si="11"/>
        <v>-3704.2141411641496</v>
      </c>
    </row>
    <row r="252" spans="1:9" x14ac:dyDescent="0.25">
      <c r="A252" s="49">
        <f>'A) Base RI'!A243</f>
        <v>5804</v>
      </c>
      <c r="B252" s="32" t="str">
        <f>'A) Base RI'!B243</f>
        <v>Jorat-Menthue</v>
      </c>
      <c r="C252" s="31">
        <f>'D) Ecrêtage'!C241</f>
        <v>44252.610972222225</v>
      </c>
      <c r="D252" s="14">
        <f>'A) Base RI'!AO243</f>
        <v>1591</v>
      </c>
      <c r="E252" s="10">
        <f t="shared" si="9"/>
        <v>885348.3094205868</v>
      </c>
      <c r="F252" s="14">
        <f>'F) Population'!K244</f>
        <v>333519.26559356134</v>
      </c>
      <c r="G252" s="10">
        <f>'G) Solidarité'!I241</f>
        <v>630604.68684256868</v>
      </c>
      <c r="H252" s="14">
        <f t="shared" si="10"/>
        <v>964123.95243613003</v>
      </c>
      <c r="I252" s="57">
        <f t="shared" si="11"/>
        <v>-78775.643015543232</v>
      </c>
    </row>
    <row r="253" spans="1:9" x14ac:dyDescent="0.25">
      <c r="A253" s="49">
        <f>'A) Base RI'!A244</f>
        <v>5805</v>
      </c>
      <c r="B253" s="32" t="str">
        <f>'A) Base RI'!B244</f>
        <v>Oron</v>
      </c>
      <c r="C253" s="31">
        <f>'D) Ecrêtage'!C242</f>
        <v>158737.86322793149</v>
      </c>
      <c r="D253" s="14">
        <f>'A) Base RI'!AO244</f>
        <v>5669</v>
      </c>
      <c r="E253" s="10">
        <f t="shared" si="9"/>
        <v>3175819.3643783568</v>
      </c>
      <c r="F253" s="14">
        <f>'F) Population'!K245</f>
        <v>2237599.195171026</v>
      </c>
      <c r="G253" s="10">
        <f>'G) Solidarité'!I242</f>
        <v>2043654.0645367783</v>
      </c>
      <c r="H253" s="14">
        <f t="shared" si="10"/>
        <v>4281253.2597078048</v>
      </c>
      <c r="I253" s="57">
        <f t="shared" si="11"/>
        <v>-1105433.8953294479</v>
      </c>
    </row>
    <row r="254" spans="1:9" x14ac:dyDescent="0.25">
      <c r="A254" s="49">
        <f>'A) Base RI'!A245</f>
        <v>5806</v>
      </c>
      <c r="B254" s="32" t="str">
        <f>'A) Base RI'!B245</f>
        <v>Jorat-Mézières</v>
      </c>
      <c r="C254" s="31">
        <f>'D) Ecrêtage'!C243</f>
        <v>92100.572236842127</v>
      </c>
      <c r="D254" s="14">
        <f>'A) Base RI'!AO245</f>
        <v>2949</v>
      </c>
      <c r="E254" s="10">
        <f t="shared" si="9"/>
        <v>1842627.6808331357</v>
      </c>
      <c r="F254" s="14">
        <f>'F) Population'!K246</f>
        <v>811210.11066398385</v>
      </c>
      <c r="G254" s="10">
        <f>'G) Solidarité'!I243</f>
        <v>1071902.8162387169</v>
      </c>
      <c r="H254" s="14">
        <f t="shared" si="10"/>
        <v>1883112.9269027007</v>
      </c>
      <c r="I254" s="57">
        <f t="shared" si="11"/>
        <v>-40485.24606956495</v>
      </c>
    </row>
    <row r="255" spans="1:9" x14ac:dyDescent="0.25">
      <c r="A255" s="49">
        <f>'A) Base RI'!A246</f>
        <v>5812</v>
      </c>
      <c r="B255" s="32" t="str">
        <f>'A) Base RI'!B246</f>
        <v>Champtauroz</v>
      </c>
      <c r="C255" s="31">
        <f>'D) Ecrêtage'!C244</f>
        <v>3697.8804870129875</v>
      </c>
      <c r="D255" s="14">
        <f>'A) Base RI'!AO246</f>
        <v>130</v>
      </c>
      <c r="E255" s="10">
        <f t="shared" si="9"/>
        <v>73982.351903967647</v>
      </c>
      <c r="F255" s="14">
        <f>'F) Population'!K247</f>
        <v>16331.740442655935</v>
      </c>
      <c r="G255" s="10">
        <f>'G) Solidarité'!I244</f>
        <v>57006.038486694852</v>
      </c>
      <c r="H255" s="14">
        <f t="shared" si="10"/>
        <v>73337.778929350781</v>
      </c>
      <c r="I255" s="57">
        <f t="shared" si="11"/>
        <v>644.57297461686539</v>
      </c>
    </row>
    <row r="256" spans="1:9" x14ac:dyDescent="0.25">
      <c r="A256" s="49">
        <f>'A) Base RI'!A247</f>
        <v>5813</v>
      </c>
      <c r="B256" s="32" t="str">
        <f>'A) Base RI'!B247</f>
        <v>Chevroux</v>
      </c>
      <c r="C256" s="31">
        <f>'D) Ecrêtage'!C245</f>
        <v>14717.819857142857</v>
      </c>
      <c r="D256" s="14">
        <f>'A) Base RI'!AO247</f>
        <v>492</v>
      </c>
      <c r="E256" s="10">
        <f t="shared" si="9"/>
        <v>294454.87266406656</v>
      </c>
      <c r="F256" s="14">
        <f>'F) Population'!K248</f>
        <v>61809.356136820919</v>
      </c>
      <c r="G256" s="10">
        <f>'G) Solidarité'!I245</f>
        <v>164279.97141121078</v>
      </c>
      <c r="H256" s="14">
        <f t="shared" si="10"/>
        <v>226089.3275480317</v>
      </c>
      <c r="I256" s="57">
        <f t="shared" si="11"/>
        <v>68365.54511603486</v>
      </c>
    </row>
    <row r="257" spans="1:9" x14ac:dyDescent="0.25">
      <c r="A257" s="49">
        <f>'A) Base RI'!A248</f>
        <v>5816</v>
      </c>
      <c r="B257" s="32" t="str">
        <f>'A) Base RI'!B248</f>
        <v>Corcelles-près-Payerne</v>
      </c>
      <c r="C257" s="31">
        <f>'D) Ecrêtage'!C246</f>
        <v>60753.42418367348</v>
      </c>
      <c r="D257" s="14">
        <f>'A) Base RI'!AO248</f>
        <v>2571</v>
      </c>
      <c r="E257" s="10">
        <f t="shared" si="9"/>
        <v>1215474.979008364</v>
      </c>
      <c r="F257" s="14">
        <f>'F) Population'!K249</f>
        <v>678244.61770623736</v>
      </c>
      <c r="G257" s="10">
        <f>'G) Solidarité'!I246</f>
        <v>1171910.8210261585</v>
      </c>
      <c r="H257" s="14">
        <f t="shared" si="10"/>
        <v>1850155.4387323959</v>
      </c>
      <c r="I257" s="57">
        <f t="shared" si="11"/>
        <v>-634680.45972403185</v>
      </c>
    </row>
    <row r="258" spans="1:9" x14ac:dyDescent="0.25">
      <c r="A258" s="49">
        <f>'A) Base RI'!A249</f>
        <v>5817</v>
      </c>
      <c r="B258" s="32" t="str">
        <f>'A) Base RI'!B249</f>
        <v>Grandcour</v>
      </c>
      <c r="C258" s="31">
        <f>'D) Ecrêtage'!C247</f>
        <v>21844.312857142857</v>
      </c>
      <c r="D258" s="14">
        <f>'A) Base RI'!AO249</f>
        <v>953</v>
      </c>
      <c r="E258" s="10">
        <f t="shared" si="9"/>
        <v>437032.41534529126</v>
      </c>
      <c r="F258" s="14">
        <f>'F) Population'!K250</f>
        <v>119724.22032193159</v>
      </c>
      <c r="G258" s="10">
        <f>'G) Solidarité'!I247</f>
        <v>541472.36818857153</v>
      </c>
      <c r="H258" s="14">
        <f t="shared" si="10"/>
        <v>661196.58851050306</v>
      </c>
      <c r="I258" s="57">
        <f t="shared" si="11"/>
        <v>-224164.1731652118</v>
      </c>
    </row>
    <row r="259" spans="1:9" x14ac:dyDescent="0.25">
      <c r="A259" s="49">
        <f>'A) Base RI'!A250</f>
        <v>5819</v>
      </c>
      <c r="B259" s="32" t="str">
        <f>'A) Base RI'!B250</f>
        <v>Henniez</v>
      </c>
      <c r="C259" s="31">
        <f>'D) Ecrêtage'!C248</f>
        <v>12524.767971014497</v>
      </c>
      <c r="D259" s="14">
        <f>'A) Base RI'!AO250</f>
        <v>376</v>
      </c>
      <c r="E259" s="10">
        <f t="shared" si="9"/>
        <v>250579.16144164532</v>
      </c>
      <c r="F259" s="14">
        <f>'F) Population'!K251</f>
        <v>47236.418511066397</v>
      </c>
      <c r="G259" s="10">
        <f>'G) Solidarité'!I248</f>
        <v>97913.351359409207</v>
      </c>
      <c r="H259" s="14">
        <f t="shared" si="10"/>
        <v>145149.7698704756</v>
      </c>
      <c r="I259" s="57">
        <f t="shared" si="11"/>
        <v>105429.39157116972</v>
      </c>
    </row>
    <row r="260" spans="1:9" x14ac:dyDescent="0.25">
      <c r="A260" s="49">
        <f>'A) Base RI'!A251</f>
        <v>5821</v>
      </c>
      <c r="B260" s="32" t="str">
        <f>'A) Base RI'!B251</f>
        <v>Missy</v>
      </c>
      <c r="C260" s="31">
        <f>'D) Ecrêtage'!C249</f>
        <v>8359.2275000000009</v>
      </c>
      <c r="D260" s="14">
        <f>'A) Base RI'!AO251</f>
        <v>362</v>
      </c>
      <c r="E260" s="10">
        <f t="shared" si="9"/>
        <v>167240.48078954365</v>
      </c>
      <c r="F260" s="14">
        <f>'F) Population'!K252</f>
        <v>45477.61569416499</v>
      </c>
      <c r="G260" s="10">
        <f>'G) Solidarité'!I249</f>
        <v>178571.20606306757</v>
      </c>
      <c r="H260" s="14">
        <f t="shared" si="10"/>
        <v>224048.82175723257</v>
      </c>
      <c r="I260" s="57">
        <f t="shared" si="11"/>
        <v>-56808.340967688913</v>
      </c>
    </row>
    <row r="261" spans="1:9" x14ac:dyDescent="0.25">
      <c r="A261" s="49">
        <f>'A) Base RI'!A252</f>
        <v>5822</v>
      </c>
      <c r="B261" s="32" t="str">
        <f>'A) Base RI'!B252</f>
        <v>Payerne</v>
      </c>
      <c r="C261" s="31">
        <f>'D) Ecrêtage'!C250</f>
        <v>246662.05359999998</v>
      </c>
      <c r="D261" s="14">
        <f>'A) Base RI'!AO252</f>
        <v>10072</v>
      </c>
      <c r="E261" s="10">
        <f t="shared" si="9"/>
        <v>4934891.4641454816</v>
      </c>
      <c r="F261" s="14">
        <f>'F) Population'!K253</f>
        <v>5162036.0160965798</v>
      </c>
      <c r="G261" s="10">
        <f>'G) Solidarité'!I250</f>
        <v>5077463.7946327804</v>
      </c>
      <c r="H261" s="14">
        <f t="shared" si="10"/>
        <v>10239499.81072936</v>
      </c>
      <c r="I261" s="57">
        <f t="shared" si="11"/>
        <v>-5304608.3465838786</v>
      </c>
    </row>
    <row r="262" spans="1:9" x14ac:dyDescent="0.25">
      <c r="A262" s="49">
        <f>'A) Base RI'!A253</f>
        <v>5827</v>
      </c>
      <c r="B262" s="32" t="str">
        <f>'A) Base RI'!B253</f>
        <v>Trey</v>
      </c>
      <c r="C262" s="31">
        <f>'D) Ecrêtage'!C251</f>
        <v>6768.899124999999</v>
      </c>
      <c r="D262" s="14">
        <f>'A) Base RI'!AO253</f>
        <v>285</v>
      </c>
      <c r="E262" s="10">
        <f t="shared" si="9"/>
        <v>135423.27255490067</v>
      </c>
      <c r="F262" s="14">
        <f>'F) Population'!K254</f>
        <v>35804.200201207241</v>
      </c>
      <c r="G262" s="10">
        <f>'G) Solidarité'!I251</f>
        <v>168807.85638625899</v>
      </c>
      <c r="H262" s="14">
        <f t="shared" si="10"/>
        <v>204612.05658746624</v>
      </c>
      <c r="I262" s="57">
        <f t="shared" si="11"/>
        <v>-69188.784032565571</v>
      </c>
    </row>
    <row r="263" spans="1:9" x14ac:dyDescent="0.25">
      <c r="A263" s="49">
        <f>'A) Base RI'!A254</f>
        <v>5828</v>
      </c>
      <c r="B263" s="32" t="str">
        <f>'A) Base RI'!B254</f>
        <v>Treytorrens (Payerne)</v>
      </c>
      <c r="C263" s="31">
        <f>'D) Ecrêtage'!C252</f>
        <v>2424.4907539682545</v>
      </c>
      <c r="D263" s="14">
        <f>'A) Base RI'!AO254</f>
        <v>111</v>
      </c>
      <c r="E263" s="10">
        <f t="shared" si="9"/>
        <v>48506.03711448863</v>
      </c>
      <c r="F263" s="14">
        <f>'F) Population'!K255</f>
        <v>13944.793762575451</v>
      </c>
      <c r="G263" s="10">
        <f>'G) Solidarité'!I252</f>
        <v>78402.879728085463</v>
      </c>
      <c r="H263" s="14">
        <f t="shared" si="10"/>
        <v>92347.67349066092</v>
      </c>
      <c r="I263" s="57">
        <f t="shared" si="11"/>
        <v>-43841.63637617229</v>
      </c>
    </row>
    <row r="264" spans="1:9" x14ac:dyDescent="0.25">
      <c r="A264" s="49">
        <f>'A) Base RI'!A255</f>
        <v>5830</v>
      </c>
      <c r="B264" s="32" t="str">
        <f>'A) Base RI'!B255</f>
        <v>Villarzel</v>
      </c>
      <c r="C264" s="31">
        <f>'D) Ecrêtage'!C253</f>
        <v>13652.802077922079</v>
      </c>
      <c r="D264" s="14">
        <f>'A) Base RI'!AO255</f>
        <v>451</v>
      </c>
      <c r="E264" s="10">
        <f t="shared" si="9"/>
        <v>273147.39114782662</v>
      </c>
      <c r="F264" s="14">
        <f>'F) Population'!K256</f>
        <v>56658.576458752512</v>
      </c>
      <c r="G264" s="10">
        <f>'G) Solidarité'!I253</f>
        <v>178423.36551091963</v>
      </c>
      <c r="H264" s="14">
        <f t="shared" si="10"/>
        <v>235081.94196967213</v>
      </c>
      <c r="I264" s="57">
        <f t="shared" si="11"/>
        <v>38065.449178154493</v>
      </c>
    </row>
    <row r="265" spans="1:9" x14ac:dyDescent="0.25">
      <c r="A265" s="49">
        <f>'A) Base RI'!A256</f>
        <v>5831</v>
      </c>
      <c r="B265" s="32" t="str">
        <f>'A) Base RI'!B256</f>
        <v>Valbroye</v>
      </c>
      <c r="C265" s="31">
        <f>'D) Ecrêtage'!C254</f>
        <v>90573.475753424646</v>
      </c>
      <c r="D265" s="14">
        <f>'A) Base RI'!AO256</f>
        <v>3296</v>
      </c>
      <c r="E265" s="10">
        <f t="shared" si="9"/>
        <v>1812075.5335086656</v>
      </c>
      <c r="F265" s="14">
        <f>'F) Population'!K257</f>
        <v>977894.36619718303</v>
      </c>
      <c r="G265" s="10">
        <f>'G) Solidarité'!I254</f>
        <v>1366198.9989866081</v>
      </c>
      <c r="H265" s="14">
        <f t="shared" si="10"/>
        <v>2344093.3651837911</v>
      </c>
      <c r="I265" s="57">
        <f t="shared" si="11"/>
        <v>-532017.83167512552</v>
      </c>
    </row>
    <row r="266" spans="1:9" x14ac:dyDescent="0.25">
      <c r="A266" s="49">
        <f>'A) Base RI'!A257</f>
        <v>5841</v>
      </c>
      <c r="B266" s="32" t="str">
        <f>'A) Base RI'!B257</f>
        <v>Château-d'Oex</v>
      </c>
      <c r="C266" s="31">
        <f>'D) Ecrêtage'!C255</f>
        <v>118643.61518072287</v>
      </c>
      <c r="D266" s="14">
        <f>'A) Base RI'!AO257</f>
        <v>3468</v>
      </c>
      <c r="E266" s="10">
        <f t="shared" si="9"/>
        <v>2373666.1366655817</v>
      </c>
      <c r="F266" s="14">
        <f>'F) Population'!K258</f>
        <v>1064326.9617706237</v>
      </c>
      <c r="G266" s="10">
        <f>'G) Solidarité'!I255</f>
        <v>1221572.1683165324</v>
      </c>
      <c r="H266" s="14">
        <f t="shared" si="10"/>
        <v>2285899.1300871558</v>
      </c>
      <c r="I266" s="57">
        <f t="shared" si="11"/>
        <v>87767.006578425877</v>
      </c>
    </row>
    <row r="267" spans="1:9" x14ac:dyDescent="0.25">
      <c r="A267" s="49">
        <f>'A) Base RI'!A258</f>
        <v>5842</v>
      </c>
      <c r="B267" s="32" t="str">
        <f>'A) Base RI'!B258</f>
        <v>Rossinière</v>
      </c>
      <c r="C267" s="31">
        <f>'D) Ecrêtage'!C256</f>
        <v>13727.475720164608</v>
      </c>
      <c r="D267" s="14">
        <f>'A) Base RI'!AO258</f>
        <v>548</v>
      </c>
      <c r="E267" s="10">
        <f t="shared" si="9"/>
        <v>274641.36362685612</v>
      </c>
      <c r="F267" s="14">
        <f>'F) Population'!K259</f>
        <v>68844.567404426562</v>
      </c>
      <c r="G267" s="10">
        <f>'G) Solidarité'!I256</f>
        <v>314249.22300617798</v>
      </c>
      <c r="H267" s="14">
        <f t="shared" si="10"/>
        <v>383093.79041060456</v>
      </c>
      <c r="I267" s="57">
        <f t="shared" si="11"/>
        <v>-108452.42678374844</v>
      </c>
    </row>
    <row r="268" spans="1:9" x14ac:dyDescent="0.25">
      <c r="A268" s="49">
        <f>'A) Base RI'!A259</f>
        <v>5843</v>
      </c>
      <c r="B268" s="32" t="str">
        <f>'A) Base RI'!B259</f>
        <v>Rougemont</v>
      </c>
      <c r="C268" s="31">
        <f>'D) Ecrêtage'!C257</f>
        <v>86224.81779279279</v>
      </c>
      <c r="D268" s="14">
        <f>'A) Base RI'!AO259</f>
        <v>858</v>
      </c>
      <c r="E268" s="10">
        <f t="shared" si="9"/>
        <v>1725073.2778426548</v>
      </c>
      <c r="F268" s="14">
        <f>'F) Population'!K260</f>
        <v>107789.48692152917</v>
      </c>
      <c r="G268" s="10">
        <f>'G) Solidarité'!I257</f>
        <v>0</v>
      </c>
      <c r="H268" s="14">
        <f t="shared" si="10"/>
        <v>107789.48692152917</v>
      </c>
      <c r="I268" s="57">
        <f t="shared" si="11"/>
        <v>1617283.7909211256</v>
      </c>
    </row>
    <row r="269" spans="1:9" x14ac:dyDescent="0.25">
      <c r="A269" s="49">
        <f>'A) Base RI'!A260</f>
        <v>5851</v>
      </c>
      <c r="B269" s="32" t="str">
        <f>'A) Base RI'!B260</f>
        <v>Allaman</v>
      </c>
      <c r="C269" s="31">
        <f>'D) Ecrêtage'!C258</f>
        <v>23662.073064516131</v>
      </c>
      <c r="D269" s="14">
        <f>'A) Base RI'!AO260</f>
        <v>451</v>
      </c>
      <c r="E269" s="10">
        <f t="shared" si="9"/>
        <v>473399.78195197915</v>
      </c>
      <c r="F269" s="14">
        <f>'F) Population'!K261</f>
        <v>56658.576458752512</v>
      </c>
      <c r="G269" s="10">
        <f>'G) Solidarité'!I258</f>
        <v>0</v>
      </c>
      <c r="H269" s="14">
        <f t="shared" si="10"/>
        <v>56658.576458752512</v>
      </c>
      <c r="I269" s="57">
        <f t="shared" si="11"/>
        <v>416741.20549322665</v>
      </c>
    </row>
    <row r="270" spans="1:9" x14ac:dyDescent="0.25">
      <c r="A270" s="49">
        <f>'A) Base RI'!A261</f>
        <v>5852</v>
      </c>
      <c r="B270" s="32" t="str">
        <f>'A) Base RI'!B261</f>
        <v>Bursinel</v>
      </c>
      <c r="C270" s="31">
        <f>'D) Ecrêtage'!C259</f>
        <v>39686.843918575076</v>
      </c>
      <c r="D270" s="14">
        <f>'A) Base RI'!AO261</f>
        <v>473</v>
      </c>
      <c r="E270" s="10">
        <f t="shared" si="9"/>
        <v>794002.41923814977</v>
      </c>
      <c r="F270" s="14">
        <f>'F) Population'!K262</f>
        <v>59422.409456740439</v>
      </c>
      <c r="G270" s="10">
        <f>'G) Solidarité'!I259</f>
        <v>0</v>
      </c>
      <c r="H270" s="14">
        <f t="shared" si="10"/>
        <v>59422.409456740439</v>
      </c>
      <c r="I270" s="57">
        <f t="shared" si="11"/>
        <v>734580.00978140929</v>
      </c>
    </row>
    <row r="271" spans="1:9" x14ac:dyDescent="0.25">
      <c r="A271" s="49">
        <f>'A) Base RI'!A262</f>
        <v>5853</v>
      </c>
      <c r="B271" s="32" t="str">
        <f>'A) Base RI'!B262</f>
        <v>Bursins</v>
      </c>
      <c r="C271" s="31">
        <f>'D) Ecrêtage'!C260</f>
        <v>36429.778873239433</v>
      </c>
      <c r="D271" s="14">
        <f>'A) Base RI'!AO262</f>
        <v>782</v>
      </c>
      <c r="E271" s="10">
        <f t="shared" si="9"/>
        <v>728839.32562157465</v>
      </c>
      <c r="F271" s="14">
        <f>'F) Population'!K263</f>
        <v>98241.700201207233</v>
      </c>
      <c r="G271" s="10">
        <f>'G) Solidarité'!I260</f>
        <v>8418.0044639835924</v>
      </c>
      <c r="H271" s="14">
        <f t="shared" si="10"/>
        <v>106659.70466519083</v>
      </c>
      <c r="I271" s="57">
        <f t="shared" si="11"/>
        <v>622179.62095638388</v>
      </c>
    </row>
    <row r="272" spans="1:9" x14ac:dyDescent="0.25">
      <c r="A272" s="49">
        <f>'A) Base RI'!A263</f>
        <v>5854</v>
      </c>
      <c r="B272" s="32" t="str">
        <f>'A) Base RI'!B263</f>
        <v>Burtigny</v>
      </c>
      <c r="C272" s="31">
        <f>'D) Ecrêtage'!C261</f>
        <v>11092.867583333333</v>
      </c>
      <c r="D272" s="14">
        <f>'A) Base RI'!AO263</f>
        <v>390</v>
      </c>
      <c r="E272" s="10">
        <f t="shared" si="9"/>
        <v>221931.57297984883</v>
      </c>
      <c r="F272" s="14">
        <f>'F) Population'!K264</f>
        <v>48995.221327967804</v>
      </c>
      <c r="G272" s="10">
        <f>'G) Solidarité'!I261</f>
        <v>184623.41173436152</v>
      </c>
      <c r="H272" s="14">
        <f t="shared" si="10"/>
        <v>233618.63306232932</v>
      </c>
      <c r="I272" s="57">
        <f t="shared" si="11"/>
        <v>-11687.060082480486</v>
      </c>
    </row>
    <row r="273" spans="1:9" x14ac:dyDescent="0.25">
      <c r="A273" s="49">
        <f>'A) Base RI'!A264</f>
        <v>5855</v>
      </c>
      <c r="B273" s="32" t="str">
        <f>'A) Base RI'!B264</f>
        <v>Dully</v>
      </c>
      <c r="C273" s="31">
        <f>'D) Ecrêtage'!C262</f>
        <v>79675.83</v>
      </c>
      <c r="D273" s="14">
        <f>'A) Base RI'!AO264</f>
        <v>639</v>
      </c>
      <c r="E273" s="10">
        <f t="shared" ref="E273:E324" si="12">C273*E$15</f>
        <v>1594049.7033375325</v>
      </c>
      <c r="F273" s="14">
        <f>'F) Population'!K265</f>
        <v>80276.78571428571</v>
      </c>
      <c r="G273" s="10">
        <f>'G) Solidarité'!I262</f>
        <v>0</v>
      </c>
      <c r="H273" s="14">
        <f t="shared" ref="H273:H324" si="13">F273+G273</f>
        <v>80276.78571428571</v>
      </c>
      <c r="I273" s="57">
        <f t="shared" ref="I273:I324" si="14">E273-H273</f>
        <v>1513772.9176232468</v>
      </c>
    </row>
    <row r="274" spans="1:9" x14ac:dyDescent="0.25">
      <c r="A274" s="49">
        <f>'A) Base RI'!A265</f>
        <v>5856</v>
      </c>
      <c r="B274" s="32" t="str">
        <f>'A) Base RI'!B265</f>
        <v>Essertines-sur-Rolle</v>
      </c>
      <c r="C274" s="31">
        <f>'D) Ecrêtage'!C263</f>
        <v>36504.775588235294</v>
      </c>
      <c r="D274" s="14">
        <f>'A) Base RI'!AO265</f>
        <v>722</v>
      </c>
      <c r="E274" s="10">
        <f t="shared" si="12"/>
        <v>730339.7617173196</v>
      </c>
      <c r="F274" s="14">
        <f>'F) Population'!K266</f>
        <v>90703.973843058338</v>
      </c>
      <c r="G274" s="10">
        <f>'G) Solidarité'!I263</f>
        <v>0</v>
      </c>
      <c r="H274" s="14">
        <f t="shared" si="13"/>
        <v>90703.973843058338</v>
      </c>
      <c r="I274" s="57">
        <f t="shared" si="14"/>
        <v>639635.78787426127</v>
      </c>
    </row>
    <row r="275" spans="1:9" x14ac:dyDescent="0.25">
      <c r="A275" s="49">
        <f>'A) Base RI'!A266</f>
        <v>5857</v>
      </c>
      <c r="B275" s="32" t="str">
        <f>'A) Base RI'!B266</f>
        <v>Gilly</v>
      </c>
      <c r="C275" s="31">
        <f>'D) Ecrêtage'!C264</f>
        <v>85344.541363636366</v>
      </c>
      <c r="D275" s="14">
        <f>'A) Base RI'!AO266</f>
        <v>1370</v>
      </c>
      <c r="E275" s="10">
        <f t="shared" si="12"/>
        <v>1707461.8594143584</v>
      </c>
      <c r="F275" s="14">
        <f>'F) Population'!K267</f>
        <v>255780.18108651909</v>
      </c>
      <c r="G275" s="10">
        <f>'G) Solidarité'!I264</f>
        <v>0</v>
      </c>
      <c r="H275" s="14">
        <f t="shared" si="13"/>
        <v>255780.18108651909</v>
      </c>
      <c r="I275" s="57">
        <f t="shared" si="14"/>
        <v>1451681.6783278394</v>
      </c>
    </row>
    <row r="276" spans="1:9" x14ac:dyDescent="0.25">
      <c r="A276" s="49">
        <f>'A) Base RI'!A267</f>
        <v>5858</v>
      </c>
      <c r="B276" s="32" t="str">
        <f>'A) Base RI'!B267</f>
        <v>Luins</v>
      </c>
      <c r="C276" s="31">
        <f>'D) Ecrêtage'!C265</f>
        <v>46698.811277777771</v>
      </c>
      <c r="D276" s="14">
        <f>'A) Base RI'!AO267</f>
        <v>621</v>
      </c>
      <c r="E276" s="10">
        <f t="shared" si="12"/>
        <v>934288.68282334902</v>
      </c>
      <c r="F276" s="14">
        <f>'F) Population'!K268</f>
        <v>78015.467806841043</v>
      </c>
      <c r="G276" s="10">
        <f>'G) Solidarité'!I265</f>
        <v>0</v>
      </c>
      <c r="H276" s="14">
        <f t="shared" si="13"/>
        <v>78015.467806841043</v>
      </c>
      <c r="I276" s="57">
        <f t="shared" si="14"/>
        <v>856273.21501650801</v>
      </c>
    </row>
    <row r="277" spans="1:9" x14ac:dyDescent="0.25">
      <c r="A277" s="49">
        <f>'A) Base RI'!A268</f>
        <v>5859</v>
      </c>
      <c r="B277" s="32" t="str">
        <f>'A) Base RI'!B268</f>
        <v>Mont-sur-Rolle</v>
      </c>
      <c r="C277" s="31">
        <f>'D) Ecrêtage'!C266</f>
        <v>136402.77030769232</v>
      </c>
      <c r="D277" s="14">
        <f>'A) Base RI'!AO268</f>
        <v>2677</v>
      </c>
      <c r="E277" s="10">
        <f t="shared" si="12"/>
        <v>2728968.0640088031</v>
      </c>
      <c r="F277" s="14">
        <f>'F) Population'!K269</f>
        <v>715531.2374245472</v>
      </c>
      <c r="G277" s="10">
        <f>'G) Solidarité'!I266</f>
        <v>0</v>
      </c>
      <c r="H277" s="14">
        <f t="shared" si="13"/>
        <v>715531.2374245472</v>
      </c>
      <c r="I277" s="57">
        <f t="shared" si="14"/>
        <v>2013436.8265842558</v>
      </c>
    </row>
    <row r="278" spans="1:9" x14ac:dyDescent="0.25">
      <c r="A278" s="49">
        <f>'A) Base RI'!A269</f>
        <v>5860</v>
      </c>
      <c r="B278" s="32" t="str">
        <f>'A) Base RI'!B269</f>
        <v>Perroy</v>
      </c>
      <c r="C278" s="31">
        <f>'D) Ecrêtage'!C267</f>
        <v>102583.41574358974</v>
      </c>
      <c r="D278" s="14">
        <f>'A) Base RI'!AO269</f>
        <v>1497</v>
      </c>
      <c r="E278" s="10">
        <f t="shared" si="12"/>
        <v>2052354.6906686756</v>
      </c>
      <c r="F278" s="14">
        <f>'F) Population'!K270</f>
        <v>300453.77263581485</v>
      </c>
      <c r="G278" s="10">
        <f>'G) Solidarité'!I267</f>
        <v>0</v>
      </c>
      <c r="H278" s="14">
        <f t="shared" si="13"/>
        <v>300453.77263581485</v>
      </c>
      <c r="I278" s="57">
        <f t="shared" si="14"/>
        <v>1751900.9180328608</v>
      </c>
    </row>
    <row r="279" spans="1:9" x14ac:dyDescent="0.25">
      <c r="A279" s="49">
        <f>'A) Base RI'!A270</f>
        <v>5861</v>
      </c>
      <c r="B279" s="32" t="str">
        <f>'A) Base RI'!B270</f>
        <v>Rolle</v>
      </c>
      <c r="C279" s="31">
        <f>'D) Ecrêtage'!C268</f>
        <v>762445.16588235286</v>
      </c>
      <c r="D279" s="14">
        <f>'A) Base RI'!AO270</f>
        <v>6245</v>
      </c>
      <c r="E279" s="10">
        <f t="shared" si="12"/>
        <v>15254004.765132667</v>
      </c>
      <c r="F279" s="14">
        <f>'F) Population'!K271</f>
        <v>2584937.6257545273</v>
      </c>
      <c r="G279" s="10">
        <f>'G) Solidarité'!I268</f>
        <v>0</v>
      </c>
      <c r="H279" s="14">
        <f t="shared" si="13"/>
        <v>2584937.6257545273</v>
      </c>
      <c r="I279" s="57">
        <f t="shared" si="14"/>
        <v>12669067.13937814</v>
      </c>
    </row>
    <row r="280" spans="1:9" x14ac:dyDescent="0.25">
      <c r="A280" s="49">
        <f>'A) Base RI'!A271</f>
        <v>5862</v>
      </c>
      <c r="B280" s="32" t="str">
        <f>'A) Base RI'!B271</f>
        <v>Tartegnin</v>
      </c>
      <c r="C280" s="31">
        <f>'D) Ecrêtage'!C269</f>
        <v>10955.91814814815</v>
      </c>
      <c r="D280" s="14">
        <f>'A) Base RI'!AO271</f>
        <v>233</v>
      </c>
      <c r="E280" s="10">
        <f t="shared" si="12"/>
        <v>219191.66796060797</v>
      </c>
      <c r="F280" s="14">
        <f>'F) Population'!K272</f>
        <v>29271.504024144866</v>
      </c>
      <c r="G280" s="10">
        <f>'G) Solidarité'!I269</f>
        <v>627.17491160054919</v>
      </c>
      <c r="H280" s="14">
        <f t="shared" si="13"/>
        <v>29898.678935745414</v>
      </c>
      <c r="I280" s="57">
        <f t="shared" si="14"/>
        <v>189292.98902486256</v>
      </c>
    </row>
    <row r="281" spans="1:9" x14ac:dyDescent="0.25">
      <c r="A281" s="49">
        <f>'A) Base RI'!A272</f>
        <v>5863</v>
      </c>
      <c r="B281" s="32" t="str">
        <f>'A) Base RI'!B272</f>
        <v>Vinzel</v>
      </c>
      <c r="C281" s="31">
        <f>'D) Ecrêtage'!C270</f>
        <v>17885.432686567161</v>
      </c>
      <c r="D281" s="14">
        <f>'A) Base RI'!AO272</f>
        <v>355</v>
      </c>
      <c r="E281" s="10">
        <f t="shared" si="12"/>
        <v>357828.32344621688</v>
      </c>
      <c r="F281" s="14">
        <f>'F) Population'!K273</f>
        <v>44598.214285714283</v>
      </c>
      <c r="G281" s="10">
        <f>'G) Solidarité'!I270</f>
        <v>0</v>
      </c>
      <c r="H281" s="14">
        <f t="shared" si="13"/>
        <v>44598.214285714283</v>
      </c>
      <c r="I281" s="57">
        <f t="shared" si="14"/>
        <v>313230.10916050262</v>
      </c>
    </row>
    <row r="282" spans="1:9" x14ac:dyDescent="0.25">
      <c r="A282" s="49">
        <f>'A) Base RI'!A273</f>
        <v>5871</v>
      </c>
      <c r="B282" s="32" t="str">
        <f>'A) Base RI'!B273</f>
        <v>L'Abbaye</v>
      </c>
      <c r="C282" s="31">
        <f>'D) Ecrêtage'!C271</f>
        <v>46763.12603092783</v>
      </c>
      <c r="D282" s="14">
        <f>'A) Base RI'!AO273</f>
        <v>1481</v>
      </c>
      <c r="E282" s="10">
        <f t="shared" si="12"/>
        <v>935575.4082101956</v>
      </c>
      <c r="F282" s="14">
        <f>'F) Population'!K274</f>
        <v>294825.60362173035</v>
      </c>
      <c r="G282" s="10">
        <f>'G) Solidarité'!I271</f>
        <v>549062.59169026383</v>
      </c>
      <c r="H282" s="14">
        <f t="shared" si="13"/>
        <v>843888.19531199418</v>
      </c>
      <c r="I282" s="57">
        <f t="shared" si="14"/>
        <v>91687.212898201426</v>
      </c>
    </row>
    <row r="283" spans="1:9" x14ac:dyDescent="0.25">
      <c r="A283" s="49">
        <f>'A) Base RI'!A274</f>
        <v>5872</v>
      </c>
      <c r="B283" s="32" t="str">
        <f>'A) Base RI'!B274</f>
        <v>Le Chenit</v>
      </c>
      <c r="C283" s="31">
        <f>'D) Ecrêtage'!C272</f>
        <v>269128.75712823507</v>
      </c>
      <c r="D283" s="14">
        <f>'A) Base RI'!AO274</f>
        <v>4657</v>
      </c>
      <c r="E283" s="10">
        <f t="shared" si="12"/>
        <v>5384375.8572689099</v>
      </c>
      <c r="F283" s="14">
        <f>'F) Population'!K275</f>
        <v>1661817.4044265593</v>
      </c>
      <c r="G283" s="10">
        <f>'G) Solidarité'!I272</f>
        <v>0</v>
      </c>
      <c r="H283" s="14">
        <f t="shared" si="13"/>
        <v>1661817.4044265593</v>
      </c>
      <c r="I283" s="57">
        <f t="shared" si="14"/>
        <v>3722558.4528423506</v>
      </c>
    </row>
    <row r="284" spans="1:9" x14ac:dyDescent="0.25">
      <c r="A284" s="49">
        <f>'A) Base RI'!A275</f>
        <v>5873</v>
      </c>
      <c r="B284" s="32" t="str">
        <f>'A) Base RI'!B275</f>
        <v>Le Lieu</v>
      </c>
      <c r="C284" s="31">
        <f>'D) Ecrêtage'!C273</f>
        <v>28965.792761904762</v>
      </c>
      <c r="D284" s="14">
        <f>'A) Base RI'!AO275</f>
        <v>900</v>
      </c>
      <c r="E284" s="10">
        <f t="shared" si="12"/>
        <v>579509.66257961455</v>
      </c>
      <c r="F284" s="14">
        <f>'F) Population'!K276</f>
        <v>113065.8953722334</v>
      </c>
      <c r="G284" s="10">
        <f>'G) Solidarité'!I273</f>
        <v>260876.56624885835</v>
      </c>
      <c r="H284" s="14">
        <f t="shared" si="13"/>
        <v>373942.46162109176</v>
      </c>
      <c r="I284" s="57">
        <f t="shared" si="14"/>
        <v>205567.20095852279</v>
      </c>
    </row>
    <row r="285" spans="1:9" x14ac:dyDescent="0.25">
      <c r="A285" s="49">
        <f>'A) Base RI'!A276</f>
        <v>5881</v>
      </c>
      <c r="B285" s="32" t="str">
        <f>'A) Base RI'!B276</f>
        <v>Blonay</v>
      </c>
      <c r="C285" s="31">
        <f>'D) Ecrêtage'!C274</f>
        <v>355898.72514285718</v>
      </c>
      <c r="D285" s="14">
        <f>'A) Base RI'!AO276</f>
        <v>6151</v>
      </c>
      <c r="E285" s="10">
        <f t="shared" si="12"/>
        <v>7120355.7870960049</v>
      </c>
      <c r="F285" s="14">
        <f>'F) Population'!K277</f>
        <v>2528253.9235412474</v>
      </c>
      <c r="G285" s="10">
        <f>'G) Solidarité'!I274</f>
        <v>0</v>
      </c>
      <c r="H285" s="14">
        <f t="shared" si="13"/>
        <v>2528253.9235412474</v>
      </c>
      <c r="I285" s="57">
        <f t="shared" si="14"/>
        <v>4592101.8635547571</v>
      </c>
    </row>
    <row r="286" spans="1:9" x14ac:dyDescent="0.25">
      <c r="A286" s="49">
        <f>'A) Base RI'!A277</f>
        <v>5882</v>
      </c>
      <c r="B286" s="32" t="str">
        <f>'A) Base RI'!B277</f>
        <v>Chardonne</v>
      </c>
      <c r="C286" s="31">
        <f>'D) Ecrêtage'!C275</f>
        <v>184082.76117647055</v>
      </c>
      <c r="D286" s="14">
        <f>'A) Base RI'!AO277</f>
        <v>3032</v>
      </c>
      <c r="E286" s="10">
        <f t="shared" si="12"/>
        <v>3682886.9036307088</v>
      </c>
      <c r="F286" s="14">
        <f>'F) Population'!K278</f>
        <v>845230.38229376252</v>
      </c>
      <c r="G286" s="10">
        <f>'G) Solidarité'!I275</f>
        <v>0</v>
      </c>
      <c r="H286" s="14">
        <f t="shared" si="13"/>
        <v>845230.38229376252</v>
      </c>
      <c r="I286" s="57">
        <f t="shared" si="14"/>
        <v>2837656.5213369462</v>
      </c>
    </row>
    <row r="287" spans="1:9" x14ac:dyDescent="0.25">
      <c r="A287" s="49">
        <f>'A) Base RI'!A278</f>
        <v>5883</v>
      </c>
      <c r="B287" s="32" t="str">
        <f>'A) Base RI'!B278</f>
        <v>Corseaux</v>
      </c>
      <c r="C287" s="31">
        <f>'D) Ecrêtage'!C276</f>
        <v>164555.95811594205</v>
      </c>
      <c r="D287" s="14">
        <f>'A) Base RI'!AO278</f>
        <v>2287</v>
      </c>
      <c r="E287" s="10">
        <f t="shared" si="12"/>
        <v>3292220.1904535019</v>
      </c>
      <c r="F287" s="14">
        <f>'F) Population'!K279</f>
        <v>578344.61770623736</v>
      </c>
      <c r="G287" s="10">
        <f>'G) Solidarité'!I276</f>
        <v>0</v>
      </c>
      <c r="H287" s="14">
        <f t="shared" si="13"/>
        <v>578344.61770623736</v>
      </c>
      <c r="I287" s="57">
        <f t="shared" si="14"/>
        <v>2713875.5727472645</v>
      </c>
    </row>
    <row r="288" spans="1:9" x14ac:dyDescent="0.25">
      <c r="A288" s="49">
        <f>'A) Base RI'!A279</f>
        <v>5884</v>
      </c>
      <c r="B288" s="32" t="str">
        <f>'A) Base RI'!B279</f>
        <v>Corsier-sur-Vevey</v>
      </c>
      <c r="C288" s="31">
        <f>'D) Ecrêtage'!C277</f>
        <v>127106.22217171718</v>
      </c>
      <c r="D288" s="14">
        <f>'A) Base RI'!AO279</f>
        <v>3363</v>
      </c>
      <c r="E288" s="10">
        <f t="shared" si="12"/>
        <v>2542974.8989772717</v>
      </c>
      <c r="F288" s="14">
        <f>'F) Population'!K280</f>
        <v>1011562.8772635814</v>
      </c>
      <c r="G288" s="10">
        <f>'G) Solidarité'!I277</f>
        <v>541117.96753324673</v>
      </c>
      <c r="H288" s="14">
        <f t="shared" si="13"/>
        <v>1552680.844796828</v>
      </c>
      <c r="I288" s="57">
        <f t="shared" si="14"/>
        <v>990294.05418044375</v>
      </c>
    </row>
    <row r="289" spans="1:9" x14ac:dyDescent="0.25">
      <c r="A289" s="49">
        <f>'A) Base RI'!A280</f>
        <v>5885</v>
      </c>
      <c r="B289" s="32" t="str">
        <f>'A) Base RI'!B280</f>
        <v>Jongny</v>
      </c>
      <c r="C289" s="31">
        <f>'D) Ecrêtage'!C278</f>
        <v>79120.74528169015</v>
      </c>
      <c r="D289" s="14">
        <f>'A) Base RI'!AO280</f>
        <v>1544</v>
      </c>
      <c r="E289" s="10">
        <f t="shared" si="12"/>
        <v>1582944.2949527185</v>
      </c>
      <c r="F289" s="14">
        <f>'F) Population'!K281</f>
        <v>316986.5191146881</v>
      </c>
      <c r="G289" s="10">
        <f>'G) Solidarité'!I278</f>
        <v>0</v>
      </c>
      <c r="H289" s="14">
        <f t="shared" si="13"/>
        <v>316986.5191146881</v>
      </c>
      <c r="I289" s="57">
        <f t="shared" si="14"/>
        <v>1265957.7758380305</v>
      </c>
    </row>
    <row r="290" spans="1:9" x14ac:dyDescent="0.25">
      <c r="A290" s="49">
        <f>'A) Base RI'!A281</f>
        <v>5886</v>
      </c>
      <c r="B290" s="32" t="str">
        <f>'A) Base RI'!B281</f>
        <v>Montreux</v>
      </c>
      <c r="C290" s="31">
        <f>'D) Ecrêtage'!C279</f>
        <v>1142059.586051282</v>
      </c>
      <c r="D290" s="14">
        <f>'A) Base RI'!AO281</f>
        <v>26065</v>
      </c>
      <c r="E290" s="10">
        <f t="shared" si="12"/>
        <v>22848833.13219117</v>
      </c>
      <c r="F290" s="14">
        <f>'F) Population'!K282</f>
        <v>21500861.921529174</v>
      </c>
      <c r="G290" s="10">
        <f>'G) Solidarité'!I279</f>
        <v>1442774.929092888</v>
      </c>
      <c r="H290" s="14">
        <f t="shared" si="13"/>
        <v>22943636.850622062</v>
      </c>
      <c r="I290" s="57">
        <f t="shared" si="14"/>
        <v>-94803.718430891633</v>
      </c>
    </row>
    <row r="291" spans="1:9" x14ac:dyDescent="0.25">
      <c r="A291" s="49">
        <f>'A) Base RI'!A282</f>
        <v>5888</v>
      </c>
      <c r="B291" s="32" t="str">
        <f>'A) Base RI'!B282</f>
        <v>Saint-Légier-La Chiésaz</v>
      </c>
      <c r="C291" s="31">
        <f>'D) Ecrêtage'!C280</f>
        <v>338249.0701666667</v>
      </c>
      <c r="D291" s="14">
        <f>'A) Base RI'!AO282</f>
        <v>5243</v>
      </c>
      <c r="E291" s="10">
        <f t="shared" si="12"/>
        <v>6767244.5954233706</v>
      </c>
      <c r="F291" s="14">
        <f>'F) Population'!K283</f>
        <v>1980713.480885312</v>
      </c>
      <c r="G291" s="10">
        <f>'G) Solidarité'!I280</f>
        <v>0</v>
      </c>
      <c r="H291" s="14">
        <f t="shared" si="13"/>
        <v>1980713.480885312</v>
      </c>
      <c r="I291" s="57">
        <f t="shared" si="14"/>
        <v>4786531.1145380586</v>
      </c>
    </row>
    <row r="292" spans="1:9" x14ac:dyDescent="0.25">
      <c r="A292" s="49">
        <f>'A) Base RI'!A283</f>
        <v>5889</v>
      </c>
      <c r="B292" s="32" t="str">
        <f>'A) Base RI'!B283</f>
        <v>La Tour-de-Peilz</v>
      </c>
      <c r="C292" s="31">
        <f>'D) Ecrêtage'!C281</f>
        <v>693156.74124999996</v>
      </c>
      <c r="D292" s="14">
        <f>'A) Base RI'!AO283</f>
        <v>11906</v>
      </c>
      <c r="E292" s="10">
        <f t="shared" si="12"/>
        <v>13867772.670281228</v>
      </c>
      <c r="F292" s="14">
        <f>'F) Population'!K284</f>
        <v>6728777.5653923545</v>
      </c>
      <c r="G292" s="10">
        <f>'G) Solidarité'!I281</f>
        <v>0</v>
      </c>
      <c r="H292" s="14">
        <f t="shared" si="13"/>
        <v>6728777.5653923545</v>
      </c>
      <c r="I292" s="57">
        <f t="shared" si="14"/>
        <v>7138995.1048888732</v>
      </c>
    </row>
    <row r="293" spans="1:9" x14ac:dyDescent="0.25">
      <c r="A293" s="49">
        <f>'A) Base RI'!A284</f>
        <v>5890</v>
      </c>
      <c r="B293" s="32" t="str">
        <f>'A) Base RI'!B284</f>
        <v>Vevey</v>
      </c>
      <c r="C293" s="31">
        <f>'D) Ecrêtage'!C282</f>
        <v>976839.63723684219</v>
      </c>
      <c r="D293" s="14">
        <f>'A) Base RI'!AO284</f>
        <v>19871</v>
      </c>
      <c r="E293" s="10">
        <f t="shared" si="12"/>
        <v>19543328.685069628</v>
      </c>
      <c r="F293" s="14">
        <f>'F) Population'!K285</f>
        <v>14964447.132796781</v>
      </c>
      <c r="G293" s="10">
        <f>'G) Solidarité'!I282</f>
        <v>0</v>
      </c>
      <c r="H293" s="14">
        <f t="shared" si="13"/>
        <v>14964447.132796781</v>
      </c>
      <c r="I293" s="57">
        <f t="shared" si="14"/>
        <v>4578881.5522728469</v>
      </c>
    </row>
    <row r="294" spans="1:9" x14ac:dyDescent="0.25">
      <c r="A294" s="49">
        <f>'A) Base RI'!A285</f>
        <v>5891</v>
      </c>
      <c r="B294" s="32" t="str">
        <f>'A) Base RI'!B285</f>
        <v>Veytaux</v>
      </c>
      <c r="C294" s="31">
        <f>'D) Ecrêtage'!C283</f>
        <v>37197.97126760563</v>
      </c>
      <c r="D294" s="14">
        <f>'A) Base RI'!AO285</f>
        <v>922</v>
      </c>
      <c r="E294" s="10">
        <f t="shared" si="12"/>
        <v>744208.31341053883</v>
      </c>
      <c r="F294" s="14">
        <f>'F) Population'!K286</f>
        <v>115829.72837022132</v>
      </c>
      <c r="G294" s="10">
        <f>'G) Solidarité'!I283</f>
        <v>124766.78457015631</v>
      </c>
      <c r="H294" s="14">
        <f t="shared" si="13"/>
        <v>240596.51294037764</v>
      </c>
      <c r="I294" s="57">
        <f t="shared" si="14"/>
        <v>503611.80047016119</v>
      </c>
    </row>
    <row r="295" spans="1:9" x14ac:dyDescent="0.25">
      <c r="A295" s="49">
        <f>'A) Base RI'!A286</f>
        <v>5902</v>
      </c>
      <c r="B295" s="32" t="str">
        <f>'A) Base RI'!B286</f>
        <v>Belmont-sur-Yverdon</v>
      </c>
      <c r="C295" s="31">
        <f>'D) Ecrêtage'!C284</f>
        <v>10777.690131578949</v>
      </c>
      <c r="D295" s="14">
        <f>'A) Base RI'!AO286</f>
        <v>374</v>
      </c>
      <c r="E295" s="10">
        <f t="shared" si="12"/>
        <v>215625.91512265734</v>
      </c>
      <c r="F295" s="14">
        <f>'F) Population'!K287</f>
        <v>46985.160965794763</v>
      </c>
      <c r="G295" s="10">
        <f>'G) Solidarité'!I284</f>
        <v>156587.04169358747</v>
      </c>
      <c r="H295" s="14">
        <f t="shared" si="13"/>
        <v>203572.20265938222</v>
      </c>
      <c r="I295" s="57">
        <f t="shared" si="14"/>
        <v>12053.712463275122</v>
      </c>
    </row>
    <row r="296" spans="1:9" x14ac:dyDescent="0.25">
      <c r="A296" s="49">
        <f>'A) Base RI'!A287</f>
        <v>5903</v>
      </c>
      <c r="B296" s="32" t="str">
        <f>'A) Base RI'!B287</f>
        <v>Bioley-Magnoux</v>
      </c>
      <c r="C296" s="31">
        <f>'D) Ecrêtage'!C285</f>
        <v>6482.7722393822396</v>
      </c>
      <c r="D296" s="14">
        <f>'A) Base RI'!AO287</f>
        <v>228</v>
      </c>
      <c r="E296" s="10">
        <f t="shared" si="12"/>
        <v>129698.82039499369</v>
      </c>
      <c r="F296" s="14">
        <f>'F) Population'!K288</f>
        <v>28643.360160965793</v>
      </c>
      <c r="G296" s="10">
        <f>'G) Solidarité'!I285</f>
        <v>92400.386227235809</v>
      </c>
      <c r="H296" s="14">
        <f t="shared" si="13"/>
        <v>121043.7463882016</v>
      </c>
      <c r="I296" s="57">
        <f t="shared" si="14"/>
        <v>8655.0740067920851</v>
      </c>
    </row>
    <row r="297" spans="1:9" x14ac:dyDescent="0.25">
      <c r="A297" s="49">
        <f>'A) Base RI'!A288</f>
        <v>5904</v>
      </c>
      <c r="B297" s="32" t="str">
        <f>'A) Base RI'!B288</f>
        <v>Chamblon</v>
      </c>
      <c r="C297" s="31">
        <f>'D) Ecrêtage'!C286</f>
        <v>21977.410303030305</v>
      </c>
      <c r="D297" s="14">
        <f>'A) Base RI'!AO288</f>
        <v>540</v>
      </c>
      <c r="E297" s="10">
        <f t="shared" si="12"/>
        <v>439695.25480528647</v>
      </c>
      <c r="F297" s="14">
        <f>'F) Population'!K289</f>
        <v>67839.537223340041</v>
      </c>
      <c r="G297" s="10">
        <f>'G) Solidarité'!I286</f>
        <v>59846.812364342928</v>
      </c>
      <c r="H297" s="14">
        <f t="shared" si="13"/>
        <v>127686.34958768297</v>
      </c>
      <c r="I297" s="57">
        <f t="shared" si="14"/>
        <v>312008.90521760349</v>
      </c>
    </row>
    <row r="298" spans="1:9" x14ac:dyDescent="0.25">
      <c r="A298" s="49">
        <f>'A) Base RI'!A289</f>
        <v>5905</v>
      </c>
      <c r="B298" s="32" t="str">
        <f>'A) Base RI'!B289</f>
        <v>Champvent</v>
      </c>
      <c r="C298" s="31">
        <f>'D) Ecrêtage'!C287</f>
        <v>23661.341690140842</v>
      </c>
      <c r="D298" s="14">
        <f>'A) Base RI'!AO289</f>
        <v>689</v>
      </c>
      <c r="E298" s="10">
        <f t="shared" si="12"/>
        <v>473385.14957091754</v>
      </c>
      <c r="F298" s="14">
        <f>'F) Population'!K290</f>
        <v>86558.224346076458</v>
      </c>
      <c r="G298" s="10">
        <f>'G) Solidarité'!I287</f>
        <v>175794.38947371379</v>
      </c>
      <c r="H298" s="14">
        <f t="shared" si="13"/>
        <v>262352.61381979025</v>
      </c>
      <c r="I298" s="57">
        <f t="shared" si="14"/>
        <v>211032.53575112729</v>
      </c>
    </row>
    <row r="299" spans="1:9" x14ac:dyDescent="0.25">
      <c r="A299" s="49">
        <f>'A) Base RI'!A290</f>
        <v>5907</v>
      </c>
      <c r="B299" s="32" t="str">
        <f>'A) Base RI'!B290</f>
        <v>Chavannes-le-Chêne</v>
      </c>
      <c r="C299" s="31">
        <f>'D) Ecrêtage'!C288</f>
        <v>9481.5466666666634</v>
      </c>
      <c r="D299" s="14">
        <f>'A) Base RI'!AO290</f>
        <v>311</v>
      </c>
      <c r="E299" s="10">
        <f t="shared" si="12"/>
        <v>189694.37345278944</v>
      </c>
      <c r="F299" s="14">
        <f>'F) Population'!K291</f>
        <v>39070.548289738428</v>
      </c>
      <c r="G299" s="10">
        <f>'G) Solidarité'!I288</f>
        <v>124642.75607610511</v>
      </c>
      <c r="H299" s="14">
        <f t="shared" si="13"/>
        <v>163713.30436584353</v>
      </c>
      <c r="I299" s="57">
        <f t="shared" si="14"/>
        <v>25981.069086945907</v>
      </c>
    </row>
    <row r="300" spans="1:9" x14ac:dyDescent="0.25">
      <c r="A300" s="49">
        <f>'A) Base RI'!A291</f>
        <v>5908</v>
      </c>
      <c r="B300" s="32" t="str">
        <f>'A) Base RI'!B291</f>
        <v>Chêne-Pâquier</v>
      </c>
      <c r="C300" s="31">
        <f>'D) Ecrêtage'!C289</f>
        <v>3375.4056962025325</v>
      </c>
      <c r="D300" s="14">
        <f>'A) Base RI'!AO291</f>
        <v>153</v>
      </c>
      <c r="E300" s="10">
        <f t="shared" si="12"/>
        <v>67530.698439858912</v>
      </c>
      <c r="F300" s="14">
        <f>'F) Population'!K292</f>
        <v>19221.202213279677</v>
      </c>
      <c r="G300" s="10">
        <f>'G) Solidarité'!I289</f>
        <v>94757.595024946262</v>
      </c>
      <c r="H300" s="14">
        <f t="shared" si="13"/>
        <v>113978.79723822593</v>
      </c>
      <c r="I300" s="57">
        <f t="shared" si="14"/>
        <v>-46448.09879836702</v>
      </c>
    </row>
    <row r="301" spans="1:9" x14ac:dyDescent="0.25">
      <c r="A301" s="49">
        <f>'A) Base RI'!A292</f>
        <v>5909</v>
      </c>
      <c r="B301" s="32" t="str">
        <f>'A) Base RI'!B292</f>
        <v>Cheseaux-Noréaz</v>
      </c>
      <c r="C301" s="31">
        <f>'D) Ecrêtage'!C290</f>
        <v>32349.342000000001</v>
      </c>
      <c r="D301" s="14">
        <f>'A) Base RI'!AO292</f>
        <v>725</v>
      </c>
      <c r="E301" s="10">
        <f t="shared" si="12"/>
        <v>647203.28634498548</v>
      </c>
      <c r="F301" s="14">
        <f>'F) Population'!K293</f>
        <v>91080.860160965793</v>
      </c>
      <c r="G301" s="10">
        <f>'G) Solidarité'!I290</f>
        <v>35234.082719346319</v>
      </c>
      <c r="H301" s="14">
        <f t="shared" si="13"/>
        <v>126314.94288031211</v>
      </c>
      <c r="I301" s="57">
        <f t="shared" si="14"/>
        <v>520888.34346467338</v>
      </c>
    </row>
    <row r="302" spans="1:9" x14ac:dyDescent="0.25">
      <c r="A302" s="49">
        <f>'A) Base RI'!A293</f>
        <v>5910</v>
      </c>
      <c r="B302" s="32" t="str">
        <f>'A) Base RI'!B293</f>
        <v>Cronay</v>
      </c>
      <c r="C302" s="31">
        <f>'D) Ecrêtage'!C291</f>
        <v>10200.577848101264</v>
      </c>
      <c r="D302" s="14">
        <f>'A) Base RI'!AO293</f>
        <v>394</v>
      </c>
      <c r="E302" s="10">
        <f t="shared" si="12"/>
        <v>204079.80805016059</v>
      </c>
      <c r="F302" s="14">
        <f>'F) Population'!K294</f>
        <v>49497.736418511064</v>
      </c>
      <c r="G302" s="10">
        <f>'G) Solidarité'!I291</f>
        <v>206743.72775504805</v>
      </c>
      <c r="H302" s="14">
        <f t="shared" si="13"/>
        <v>256241.4641735591</v>
      </c>
      <c r="I302" s="57">
        <f t="shared" si="14"/>
        <v>-52161.656123398512</v>
      </c>
    </row>
    <row r="303" spans="1:9" x14ac:dyDescent="0.25">
      <c r="A303" s="49">
        <f>'A) Base RI'!A294</f>
        <v>5911</v>
      </c>
      <c r="B303" s="32" t="str">
        <f>'A) Base RI'!B294</f>
        <v>Cuarny</v>
      </c>
      <c r="C303" s="31">
        <f>'D) Ecrêtage'!C292</f>
        <v>7836.9853164556971</v>
      </c>
      <c r="D303" s="14">
        <f>'A) Base RI'!AO294</f>
        <v>239</v>
      </c>
      <c r="E303" s="10">
        <f t="shared" si="12"/>
        <v>156792.14284629104</v>
      </c>
      <c r="F303" s="14">
        <f>'F) Population'!K295</f>
        <v>30025.276659959756</v>
      </c>
      <c r="G303" s="10">
        <f>'G) Solidarité'!I292</f>
        <v>84654.540870034019</v>
      </c>
      <c r="H303" s="14">
        <f t="shared" si="13"/>
        <v>114679.81752999377</v>
      </c>
      <c r="I303" s="57">
        <f t="shared" si="14"/>
        <v>42112.325316297269</v>
      </c>
    </row>
    <row r="304" spans="1:9" x14ac:dyDescent="0.25">
      <c r="A304" s="49">
        <f>'A) Base RI'!A295</f>
        <v>5912</v>
      </c>
      <c r="B304" s="32" t="str">
        <f>'A) Base RI'!B295</f>
        <v>Démoret</v>
      </c>
      <c r="C304" s="31">
        <f>'D) Ecrêtage'!C293</f>
        <v>3965.4814814814822</v>
      </c>
      <c r="D304" s="14">
        <f>'A) Base RI'!AO295</f>
        <v>156</v>
      </c>
      <c r="E304" s="10">
        <f t="shared" si="12"/>
        <v>79336.162285928309</v>
      </c>
      <c r="F304" s="14">
        <f>'F) Population'!K296</f>
        <v>19598.088531187121</v>
      </c>
      <c r="G304" s="10">
        <f>'G) Solidarité'!I293</f>
        <v>87959.934464970007</v>
      </c>
      <c r="H304" s="14">
        <f t="shared" si="13"/>
        <v>107558.02299615713</v>
      </c>
      <c r="I304" s="57">
        <f t="shared" si="14"/>
        <v>-28221.860710228822</v>
      </c>
    </row>
    <row r="305" spans="1:9" x14ac:dyDescent="0.25">
      <c r="A305" s="49">
        <f>'A) Base RI'!A296</f>
        <v>5913</v>
      </c>
      <c r="B305" s="32" t="str">
        <f>'A) Base RI'!B296</f>
        <v>Donneloye</v>
      </c>
      <c r="C305" s="31">
        <f>'D) Ecrêtage'!C294</f>
        <v>21603.148082191776</v>
      </c>
      <c r="D305" s="14">
        <f>'A) Base RI'!AO296</f>
        <v>823</v>
      </c>
      <c r="E305" s="10">
        <f t="shared" si="12"/>
        <v>432207.5062358884</v>
      </c>
      <c r="F305" s="14">
        <f>'F) Population'!K297</f>
        <v>103392.47987927565</v>
      </c>
      <c r="G305" s="10">
        <f>'G) Solidarité'!I294</f>
        <v>362503.80289619364</v>
      </c>
      <c r="H305" s="14">
        <f t="shared" si="13"/>
        <v>465896.2827754693</v>
      </c>
      <c r="I305" s="57">
        <f t="shared" si="14"/>
        <v>-33688.776539580896</v>
      </c>
    </row>
    <row r="306" spans="1:9" x14ac:dyDescent="0.25">
      <c r="A306" s="49">
        <f>'A) Base RI'!A297</f>
        <v>5914</v>
      </c>
      <c r="B306" s="32" t="str">
        <f>'A) Base RI'!B297</f>
        <v>Ependes</v>
      </c>
      <c r="C306" s="31">
        <f>'D) Ecrêtage'!C295</f>
        <v>10115.447866666666</v>
      </c>
      <c r="D306" s="14">
        <f>'A) Base RI'!AO297</f>
        <v>357</v>
      </c>
      <c r="E306" s="10">
        <f t="shared" si="12"/>
        <v>202376.63882492689</v>
      </c>
      <c r="F306" s="14">
        <f>'F) Population'!K298</f>
        <v>44849.471830985916</v>
      </c>
      <c r="G306" s="10">
        <f>'G) Solidarité'!I295</f>
        <v>149400.38813784582</v>
      </c>
      <c r="H306" s="14">
        <f t="shared" si="13"/>
        <v>194249.85996883173</v>
      </c>
      <c r="I306" s="57">
        <f t="shared" si="14"/>
        <v>8126.7788560951594</v>
      </c>
    </row>
    <row r="307" spans="1:9" x14ac:dyDescent="0.25">
      <c r="A307" s="49">
        <f>'A) Base RI'!A298</f>
        <v>5919</v>
      </c>
      <c r="B307" s="32" t="str">
        <f>'A) Base RI'!B298</f>
        <v>Mathod</v>
      </c>
      <c r="C307" s="31">
        <f>'D) Ecrêtage'!C296</f>
        <v>17475.442962962959</v>
      </c>
      <c r="D307" s="14">
        <f>'A) Base RI'!AO298</f>
        <v>601</v>
      </c>
      <c r="E307" s="10">
        <f t="shared" si="12"/>
        <v>349625.78577221069</v>
      </c>
      <c r="F307" s="14">
        <f>'F) Population'!K299</f>
        <v>75502.89235412475</v>
      </c>
      <c r="G307" s="10">
        <f>'G) Solidarité'!I296</f>
        <v>222631.34896572257</v>
      </c>
      <c r="H307" s="14">
        <f t="shared" si="13"/>
        <v>298134.24131984729</v>
      </c>
      <c r="I307" s="57">
        <f t="shared" si="14"/>
        <v>51491.544452363392</v>
      </c>
    </row>
    <row r="308" spans="1:9" x14ac:dyDescent="0.25">
      <c r="A308" s="49">
        <f>'A) Base RI'!A299</f>
        <v>5921</v>
      </c>
      <c r="B308" s="32" t="str">
        <f>'A) Base RI'!B299</f>
        <v>Molondin</v>
      </c>
      <c r="C308" s="31">
        <f>'D) Ecrêtage'!C297</f>
        <v>5665.6146913580242</v>
      </c>
      <c r="D308" s="14">
        <f>'A) Base RI'!AO299</f>
        <v>240</v>
      </c>
      <c r="E308" s="10">
        <f t="shared" si="12"/>
        <v>113350.20191172184</v>
      </c>
      <c r="F308" s="14">
        <f>'F) Population'!K300</f>
        <v>30150.905432595573</v>
      </c>
      <c r="G308" s="10">
        <f>'G) Solidarité'!I297</f>
        <v>146626.55974510012</v>
      </c>
      <c r="H308" s="14">
        <f t="shared" si="13"/>
        <v>176777.4651776957</v>
      </c>
      <c r="I308" s="57">
        <f t="shared" si="14"/>
        <v>-63427.263265973859</v>
      </c>
    </row>
    <row r="309" spans="1:9" x14ac:dyDescent="0.25">
      <c r="A309" s="49">
        <f>'A) Base RI'!A300</f>
        <v>5922</v>
      </c>
      <c r="B309" s="32" t="str">
        <f>'A) Base RI'!B300</f>
        <v>Montagny-près-Yverdon</v>
      </c>
      <c r="C309" s="31">
        <f>'D) Ecrêtage'!C298</f>
        <v>37619.371576923077</v>
      </c>
      <c r="D309" s="14">
        <f>'A) Base RI'!AO300</f>
        <v>747</v>
      </c>
      <c r="E309" s="10">
        <f t="shared" si="12"/>
        <v>752639.13914594462</v>
      </c>
      <c r="F309" s="14">
        <f>'F) Population'!K301</f>
        <v>93844.693158953713</v>
      </c>
      <c r="G309" s="10">
        <f>'G) Solidarité'!I298</f>
        <v>0</v>
      </c>
      <c r="H309" s="14">
        <f t="shared" si="13"/>
        <v>93844.693158953713</v>
      </c>
      <c r="I309" s="57">
        <f t="shared" si="14"/>
        <v>658794.44598699093</v>
      </c>
    </row>
    <row r="310" spans="1:9" x14ac:dyDescent="0.25">
      <c r="A310" s="49">
        <f>'A) Base RI'!A301</f>
        <v>5923</v>
      </c>
      <c r="B310" s="32" t="str">
        <f>'A) Base RI'!B301</f>
        <v>Oppens</v>
      </c>
      <c r="C310" s="31">
        <f>'D) Ecrêtage'!C299</f>
        <v>5399.502592592592</v>
      </c>
      <c r="D310" s="14">
        <f>'A) Base RI'!AO301</f>
        <v>202</v>
      </c>
      <c r="E310" s="10">
        <f t="shared" si="12"/>
        <v>108026.17940588079</v>
      </c>
      <c r="F310" s="14">
        <f>'F) Population'!K302</f>
        <v>25377.012072434605</v>
      </c>
      <c r="G310" s="10">
        <f>'G) Solidarité'!I299</f>
        <v>107020.21122389332</v>
      </c>
      <c r="H310" s="14">
        <f t="shared" si="13"/>
        <v>132397.22329632792</v>
      </c>
      <c r="I310" s="57">
        <f t="shared" si="14"/>
        <v>-24371.043890447138</v>
      </c>
    </row>
    <row r="311" spans="1:9" x14ac:dyDescent="0.25">
      <c r="A311" s="49">
        <f>'A) Base RI'!A302</f>
        <v>5924</v>
      </c>
      <c r="B311" s="32" t="str">
        <f>'A) Base RI'!B302</f>
        <v>Orges</v>
      </c>
      <c r="C311" s="31">
        <f>'D) Ecrêtage'!C300</f>
        <v>11911.353243243244</v>
      </c>
      <c r="D311" s="14">
        <f>'A) Base RI'!AO302</f>
        <v>332</v>
      </c>
      <c r="E311" s="10">
        <f t="shared" si="12"/>
        <v>238306.76258710388</v>
      </c>
      <c r="F311" s="14">
        <f>'F) Population'!K303</f>
        <v>41708.752515090542</v>
      </c>
      <c r="G311" s="10">
        <f>'G) Solidarité'!I300</f>
        <v>80960.88327506253</v>
      </c>
      <c r="H311" s="14">
        <f t="shared" si="13"/>
        <v>122669.63579015307</v>
      </c>
      <c r="I311" s="57">
        <f t="shared" si="14"/>
        <v>115637.1267969508</v>
      </c>
    </row>
    <row r="312" spans="1:9" x14ac:dyDescent="0.25">
      <c r="A312" s="49">
        <f>'A) Base RI'!A303</f>
        <v>5925</v>
      </c>
      <c r="B312" s="32" t="str">
        <f>'A) Base RI'!B303</f>
        <v>Orzens</v>
      </c>
      <c r="C312" s="31">
        <f>'D) Ecrêtage'!C301</f>
        <v>5348.3883544303808</v>
      </c>
      <c r="D312" s="14">
        <f>'A) Base RI'!AO303</f>
        <v>208</v>
      </c>
      <c r="E312" s="10">
        <f t="shared" si="12"/>
        <v>107003.55264217094</v>
      </c>
      <c r="F312" s="14">
        <f>'F) Population'!K304</f>
        <v>26130.784708249495</v>
      </c>
      <c r="G312" s="10">
        <f>'G) Solidarité'!I301</f>
        <v>110050.49021380585</v>
      </c>
      <c r="H312" s="14">
        <f t="shared" si="13"/>
        <v>136181.27492205534</v>
      </c>
      <c r="I312" s="57">
        <f t="shared" si="14"/>
        <v>-29177.722279884401</v>
      </c>
    </row>
    <row r="313" spans="1:9" x14ac:dyDescent="0.25">
      <c r="A313" s="49">
        <f>'A) Base RI'!A304</f>
        <v>5926</v>
      </c>
      <c r="B313" s="32" t="str">
        <f>'A) Base RI'!B304</f>
        <v>Pomy</v>
      </c>
      <c r="C313" s="31">
        <f>'D) Ecrêtage'!C302</f>
        <v>27563.954929577467</v>
      </c>
      <c r="D313" s="14">
        <f>'A) Base RI'!AO304</f>
        <v>793</v>
      </c>
      <c r="E313" s="10">
        <f t="shared" si="12"/>
        <v>551463.5263705703</v>
      </c>
      <c r="F313" s="14">
        <f>'F) Population'!K305</f>
        <v>99623.616700201208</v>
      </c>
      <c r="G313" s="10">
        <f>'G) Solidarité'!I302</f>
        <v>195721.03084987614</v>
      </c>
      <c r="H313" s="14">
        <f t="shared" si="13"/>
        <v>295344.64755007735</v>
      </c>
      <c r="I313" s="57">
        <f t="shared" si="14"/>
        <v>256118.87882049294</v>
      </c>
    </row>
    <row r="314" spans="1:9" x14ac:dyDescent="0.25">
      <c r="A314" s="49">
        <f>'A) Base RI'!A305</f>
        <v>5928</v>
      </c>
      <c r="B314" s="32" t="str">
        <f>'A) Base RI'!B305</f>
        <v>Rovray</v>
      </c>
      <c r="C314" s="31">
        <f>'D) Ecrêtage'!C303</f>
        <v>6002.0193150684927</v>
      </c>
      <c r="D314" s="14">
        <f>'A) Base RI'!AO305</f>
        <v>185</v>
      </c>
      <c r="E314" s="10">
        <f t="shared" si="12"/>
        <v>120080.5452370069</v>
      </c>
      <c r="F314" s="14">
        <f>'F) Population'!K306</f>
        <v>23241.322937625755</v>
      </c>
      <c r="G314" s="10">
        <f>'G) Solidarité'!I303</f>
        <v>57308.004152696609</v>
      </c>
      <c r="H314" s="14">
        <f t="shared" si="13"/>
        <v>80549.32709032236</v>
      </c>
      <c r="I314" s="57">
        <f t="shared" si="14"/>
        <v>39531.218146684536</v>
      </c>
    </row>
    <row r="315" spans="1:9" x14ac:dyDescent="0.25">
      <c r="A315" s="49">
        <f>'A) Base RI'!A306</f>
        <v>5929</v>
      </c>
      <c r="B315" s="32" t="str">
        <f>'A) Base RI'!B306</f>
        <v>Suchy</v>
      </c>
      <c r="C315" s="31">
        <f>'D) Ecrêtage'!C304</f>
        <v>17258.460214285715</v>
      </c>
      <c r="D315" s="14">
        <f>'A) Base RI'!AO306</f>
        <v>645</v>
      </c>
      <c r="E315" s="10">
        <f t="shared" si="12"/>
        <v>345284.67898790323</v>
      </c>
      <c r="F315" s="14">
        <f>'F) Population'!K307</f>
        <v>81030.558350100604</v>
      </c>
      <c r="G315" s="10">
        <f>'G) Solidarité'!I304</f>
        <v>254872.45175695865</v>
      </c>
      <c r="H315" s="14">
        <f t="shared" si="13"/>
        <v>335903.01010705926</v>
      </c>
      <c r="I315" s="57">
        <f t="shared" si="14"/>
        <v>9381.6688808439649</v>
      </c>
    </row>
    <row r="316" spans="1:9" x14ac:dyDescent="0.25">
      <c r="A316" s="49">
        <f>'A) Base RI'!A307</f>
        <v>5930</v>
      </c>
      <c r="B316" s="32" t="str">
        <f>'A) Base RI'!B307</f>
        <v>Suscévaz</v>
      </c>
      <c r="C316" s="31">
        <f>'D) Ecrêtage'!C305</f>
        <v>5852.6869444444428</v>
      </c>
      <c r="D316" s="14">
        <f>'A) Base RI'!AO307</f>
        <v>215</v>
      </c>
      <c r="E316" s="10">
        <f t="shared" si="12"/>
        <v>117092.89865595518</v>
      </c>
      <c r="F316" s="14">
        <f>'F) Population'!K308</f>
        <v>27010.186116700199</v>
      </c>
      <c r="G316" s="10">
        <f>'G) Solidarité'!I305</f>
        <v>87831.722077478276</v>
      </c>
      <c r="H316" s="14">
        <f t="shared" si="13"/>
        <v>114841.90819417848</v>
      </c>
      <c r="I316" s="57">
        <f t="shared" si="14"/>
        <v>2250.9904617767024</v>
      </c>
    </row>
    <row r="317" spans="1:9" x14ac:dyDescent="0.25">
      <c r="A317" s="49">
        <f>'A) Base RI'!A308</f>
        <v>5931</v>
      </c>
      <c r="B317" s="32" t="str">
        <f>'A) Base RI'!B308</f>
        <v>Treycovagnes</v>
      </c>
      <c r="C317" s="31">
        <f>'D) Ecrêtage'!C306</f>
        <v>12202.115733333332</v>
      </c>
      <c r="D317" s="14">
        <f>'A) Base RI'!AO308</f>
        <v>492</v>
      </c>
      <c r="E317" s="10">
        <f t="shared" si="12"/>
        <v>244123.9578528424</v>
      </c>
      <c r="F317" s="14">
        <f>'F) Population'!K309</f>
        <v>61809.356136820919</v>
      </c>
      <c r="G317" s="10">
        <f>'G) Solidarité'!I306</f>
        <v>244615.733885422</v>
      </c>
      <c r="H317" s="14">
        <f t="shared" si="13"/>
        <v>306425.09002224292</v>
      </c>
      <c r="I317" s="57">
        <f t="shared" si="14"/>
        <v>-62301.132169400516</v>
      </c>
    </row>
    <row r="318" spans="1:9" x14ac:dyDescent="0.25">
      <c r="A318" s="49">
        <f>'A) Base RI'!A309</f>
        <v>5932</v>
      </c>
      <c r="B318" s="32" t="str">
        <f>'A) Base RI'!B309</f>
        <v>Ursins</v>
      </c>
      <c r="C318" s="31">
        <f>'D) Ecrêtage'!C307</f>
        <v>8278.3758441558457</v>
      </c>
      <c r="D318" s="14">
        <f>'A) Base RI'!AO309</f>
        <v>225</v>
      </c>
      <c r="E318" s="10">
        <f t="shared" si="12"/>
        <v>165622.90670198505</v>
      </c>
      <c r="F318" s="14">
        <f>'F) Population'!K310</f>
        <v>28266.473843058349</v>
      </c>
      <c r="G318" s="10">
        <f>'G) Solidarité'!I307</f>
        <v>54572.898977987199</v>
      </c>
      <c r="H318" s="14">
        <f t="shared" si="13"/>
        <v>82839.372821045545</v>
      </c>
      <c r="I318" s="57">
        <f t="shared" si="14"/>
        <v>82783.533880939503</v>
      </c>
    </row>
    <row r="319" spans="1:9" x14ac:dyDescent="0.25">
      <c r="A319" s="49">
        <f>'A) Base RI'!A310</f>
        <v>5933</v>
      </c>
      <c r="B319" s="32" t="str">
        <f>'A) Base RI'!B310</f>
        <v>Valeyres-sous-Montagny</v>
      </c>
      <c r="C319" s="31">
        <f>'D) Ecrêtage'!C308</f>
        <v>22135.641944444447</v>
      </c>
      <c r="D319" s="14">
        <f>'A) Base RI'!AO310</f>
        <v>709</v>
      </c>
      <c r="E319" s="10">
        <f t="shared" si="12"/>
        <v>442860.94634630741</v>
      </c>
      <c r="F319" s="14">
        <f>'F) Population'!K311</f>
        <v>89070.799798792752</v>
      </c>
      <c r="G319" s="10">
        <f>'G) Solidarité'!I308</f>
        <v>231442.40384607119</v>
      </c>
      <c r="H319" s="14">
        <f t="shared" si="13"/>
        <v>320513.20364486391</v>
      </c>
      <c r="I319" s="57">
        <f t="shared" si="14"/>
        <v>122347.74270144349</v>
      </c>
    </row>
    <row r="320" spans="1:9" x14ac:dyDescent="0.25">
      <c r="A320" s="49">
        <f>'A) Base RI'!A311</f>
        <v>5934</v>
      </c>
      <c r="B320" s="32" t="str">
        <f>'A) Base RI'!B311</f>
        <v>Valeyres-sous-Ursins</v>
      </c>
      <c r="C320" s="31">
        <f>'D) Ecrêtage'!C309</f>
        <v>7563.0520253164568</v>
      </c>
      <c r="D320" s="14">
        <f>'A) Base RI'!AO311</f>
        <v>227</v>
      </c>
      <c r="E320" s="10">
        <f t="shared" si="12"/>
        <v>151311.64416212574</v>
      </c>
      <c r="F320" s="14">
        <f>'F) Population'!K312</f>
        <v>28517.731388329979</v>
      </c>
      <c r="G320" s="10">
        <f>'G) Solidarité'!I309</f>
        <v>77449.802172168347</v>
      </c>
      <c r="H320" s="14">
        <f t="shared" si="13"/>
        <v>105967.53356049833</v>
      </c>
      <c r="I320" s="57">
        <f t="shared" si="14"/>
        <v>45344.110601627413</v>
      </c>
    </row>
    <row r="321" spans="1:9" x14ac:dyDescent="0.25">
      <c r="A321" s="49">
        <f>'A) Base RI'!A312</f>
        <v>5935</v>
      </c>
      <c r="B321" s="32" t="str">
        <f>'A) Base RI'!B312</f>
        <v>Villars-Epeney</v>
      </c>
      <c r="C321" s="31">
        <f>'D) Ecrêtage'!C310</f>
        <v>4858.9101666666666</v>
      </c>
      <c r="D321" s="14">
        <f>'A) Base RI'!AO312</f>
        <v>102</v>
      </c>
      <c r="E321" s="10">
        <f t="shared" si="12"/>
        <v>97210.713835283808</v>
      </c>
      <c r="F321" s="14">
        <f>'F) Population'!K313</f>
        <v>12814.134808853118</v>
      </c>
      <c r="G321" s="10">
        <f>'G) Solidarité'!I310</f>
        <v>0</v>
      </c>
      <c r="H321" s="14">
        <f t="shared" si="13"/>
        <v>12814.134808853118</v>
      </c>
      <c r="I321" s="57">
        <f t="shared" si="14"/>
        <v>84396.579026430685</v>
      </c>
    </row>
    <row r="322" spans="1:9" x14ac:dyDescent="0.25">
      <c r="A322" s="49">
        <f>'A) Base RI'!A313</f>
        <v>5937</v>
      </c>
      <c r="B322" s="32" t="str">
        <f>'A) Base RI'!B313</f>
        <v>Vugelles-La Mothe</v>
      </c>
      <c r="C322" s="31">
        <f>'D) Ecrêtage'!C311</f>
        <v>2984.3882040816329</v>
      </c>
      <c r="D322" s="14">
        <f>'A) Base RI'!AO313</f>
        <v>135</v>
      </c>
      <c r="E322" s="10">
        <f t="shared" si="12"/>
        <v>59707.732336900139</v>
      </c>
      <c r="F322" s="14">
        <f>'F) Population'!K314</f>
        <v>16959.88430583501</v>
      </c>
      <c r="G322" s="10">
        <f>'G) Solidarité'!I311</f>
        <v>65526.353240073397</v>
      </c>
      <c r="H322" s="14">
        <f t="shared" si="13"/>
        <v>82486.2375459084</v>
      </c>
      <c r="I322" s="57">
        <f t="shared" si="14"/>
        <v>-22778.505209008261</v>
      </c>
    </row>
    <row r="323" spans="1:9" x14ac:dyDescent="0.25">
      <c r="A323" s="49">
        <f>'A) Base RI'!A314</f>
        <v>5938</v>
      </c>
      <c r="B323" s="32" t="str">
        <f>'A) Base RI'!B314</f>
        <v>Yverdon-les-Bains</v>
      </c>
      <c r="C323" s="31">
        <f>'D) Ecrêtage'!C312</f>
        <v>788422.31346405216</v>
      </c>
      <c r="D323" s="14">
        <f>'A) Base RI'!AO314</f>
        <v>30189</v>
      </c>
      <c r="E323" s="10">
        <f t="shared" si="12"/>
        <v>15773721.527369887</v>
      </c>
      <c r="F323" s="14">
        <f>'F) Population'!K315</f>
        <v>25852843.611670021</v>
      </c>
      <c r="G323" s="10">
        <f>'G) Solidarité'!I312</f>
        <v>14695959.675065259</v>
      </c>
      <c r="H323" s="14">
        <f t="shared" si="13"/>
        <v>40548803.286735281</v>
      </c>
      <c r="I323" s="57">
        <f t="shared" si="14"/>
        <v>-24775081.759365395</v>
      </c>
    </row>
    <row r="324" spans="1:9" x14ac:dyDescent="0.25">
      <c r="A324" s="49">
        <f>'A) Base RI'!A315</f>
        <v>5939</v>
      </c>
      <c r="B324" s="32" t="str">
        <f>'A) Base RI'!B315</f>
        <v>Yvonand</v>
      </c>
      <c r="C324" s="31">
        <f>'D) Ecrêtage'!C313</f>
        <v>95122.764246575331</v>
      </c>
      <c r="D324" s="14">
        <f>'A) Base RI'!AO315</f>
        <v>3434</v>
      </c>
      <c r="E324" s="10">
        <f t="shared" si="12"/>
        <v>1903091.7422247054</v>
      </c>
      <c r="F324" s="14">
        <f>'F) Population'!K316</f>
        <v>1047241.4486921529</v>
      </c>
      <c r="G324" s="10">
        <f>'G) Solidarité'!I313</f>
        <v>1407426.244816331</v>
      </c>
      <c r="H324" s="14">
        <f t="shared" si="13"/>
        <v>2454667.6935084839</v>
      </c>
      <c r="I324" s="57">
        <f t="shared" si="14"/>
        <v>-551575.95128377853</v>
      </c>
    </row>
    <row r="325" spans="1:9" x14ac:dyDescent="0.25">
      <c r="A325" s="30"/>
      <c r="B325" s="123">
        <f>COUNTA(B16:B324)</f>
        <v>309</v>
      </c>
      <c r="C325" s="124">
        <f>SUM(C16:C324)</f>
        <v>37986675.400474928</v>
      </c>
      <c r="D325" s="11">
        <f>SUM(D16:D324)</f>
        <v>806088</v>
      </c>
      <c r="E325" s="11">
        <f>SUM(E16:E324)</f>
        <v>759987673.21164012</v>
      </c>
      <c r="F325" s="11">
        <f>SUM(F16:F324)</f>
        <v>429582839.26056331</v>
      </c>
      <c r="G325" s="11">
        <f>SUM(G16:G324)</f>
        <v>138343598.26896447</v>
      </c>
      <c r="H325" s="11">
        <f>F325+G325</f>
        <v>567926437.52952778</v>
      </c>
      <c r="I325" s="37">
        <f>E325-H325</f>
        <v>192061235.68211234</v>
      </c>
    </row>
    <row r="326" spans="1:9" x14ac:dyDescent="0.25">
      <c r="C326" s="464"/>
      <c r="D326" s="464"/>
      <c r="E326" s="464"/>
      <c r="F326" s="464"/>
      <c r="G326" s="464"/>
      <c r="H326" s="464"/>
      <c r="I326" s="464"/>
    </row>
    <row r="327" spans="1:9" x14ac:dyDescent="0.25">
      <c r="C327" s="5"/>
      <c r="D327" s="5"/>
      <c r="E327" s="6"/>
      <c r="F327" s="6"/>
      <c r="G327" s="6"/>
      <c r="H327" s="6"/>
      <c r="I327" s="6"/>
    </row>
    <row r="328" spans="1:9" x14ac:dyDescent="0.25">
      <c r="G328" s="12"/>
    </row>
    <row r="330" spans="1:9" x14ac:dyDescent="0.25">
      <c r="F330" s="12"/>
    </row>
    <row r="331" spans="1:9" x14ac:dyDescent="0.25">
      <c r="F331" s="12"/>
    </row>
    <row r="333" spans="1:9" x14ac:dyDescent="0.25">
      <c r="F333" s="111"/>
      <c r="G333" s="111"/>
      <c r="H333" s="111"/>
      <c r="I333" s="111"/>
    </row>
    <row r="334" spans="1:9" x14ac:dyDescent="0.25">
      <c r="E334" s="111"/>
      <c r="F334" s="111"/>
      <c r="G334" s="111"/>
      <c r="H334" s="111"/>
      <c r="I334" s="111"/>
    </row>
    <row r="335" spans="1:9" x14ac:dyDescent="0.25">
      <c r="E335" s="120"/>
      <c r="F335" s="120"/>
      <c r="G335" s="120"/>
      <c r="H335" s="120"/>
      <c r="I335" s="120"/>
    </row>
    <row r="342" spans="3:3" x14ac:dyDescent="0.25">
      <c r="C342" s="48"/>
    </row>
    <row r="343" spans="3:3" x14ac:dyDescent="0.25">
      <c r="C343" s="48"/>
    </row>
    <row r="344" spans="3:3" x14ac:dyDescent="0.25">
      <c r="C344" s="48"/>
    </row>
  </sheetData>
  <mergeCells count="4">
    <mergeCell ref="D14:D15"/>
    <mergeCell ref="C14:C15"/>
    <mergeCell ref="B14:B15"/>
    <mergeCell ref="A14:A15"/>
  </mergeCells>
  <phoneticPr fontId="15" type="noConversion"/>
  <pageMargins left="0.25" right="0.25" top="0.75" bottom="0.75" header="0.3" footer="0.3"/>
  <pageSetup paperSize="9"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00B050"/>
  </sheetPr>
  <dimension ref="A1:Q315"/>
  <sheetViews>
    <sheetView workbookViewId="0">
      <pane ySplit="4" topLeftCell="A5" activePane="bottomLeft" state="frozen"/>
      <selection pane="bottomLeft"/>
    </sheetView>
  </sheetViews>
  <sheetFormatPr baseColWidth="10" defaultColWidth="10.75" defaultRowHeight="15" x14ac:dyDescent="0.25"/>
  <cols>
    <col min="1" max="1" width="7.25" style="13" customWidth="1"/>
    <col min="2" max="2" width="20.25" style="13" bestFit="1" customWidth="1"/>
    <col min="3" max="3" width="14.25" style="6" bestFit="1" customWidth="1"/>
    <col min="4" max="5" width="13.125" style="6" bestFit="1" customWidth="1"/>
    <col min="6" max="6" width="12.25" style="6" bestFit="1" customWidth="1"/>
    <col min="7" max="7" width="13.125" style="6" bestFit="1" customWidth="1"/>
    <col min="8" max="8" width="16.875" style="6" bestFit="1" customWidth="1"/>
    <col min="9" max="9" width="13.25" style="6" bestFit="1" customWidth="1"/>
    <col min="10" max="10" width="12.125" style="6" customWidth="1"/>
    <col min="11" max="11" width="10" style="6" customWidth="1"/>
    <col min="12" max="12" width="11.375" style="6" customWidth="1"/>
    <col min="13" max="13" width="11.875" style="6" customWidth="1"/>
    <col min="14" max="14" width="12.5" style="6" customWidth="1"/>
    <col min="15" max="15" width="12.875" style="6" customWidth="1"/>
    <col min="16" max="16" width="10" style="15" customWidth="1"/>
    <col min="17" max="17" width="2.5" style="13" customWidth="1"/>
    <col min="18" max="16384" width="10.75" style="13"/>
  </cols>
  <sheetData>
    <row r="1" spans="1:17" s="43" customFormat="1" ht="20.25" customHeight="1" x14ac:dyDescent="0.25">
      <c r="A1" s="51" t="s">
        <v>139</v>
      </c>
      <c r="B1" s="42"/>
      <c r="C1" s="44"/>
      <c r="D1" s="44"/>
      <c r="E1" s="44"/>
      <c r="F1" s="44"/>
      <c r="G1" s="44"/>
      <c r="H1" s="44"/>
      <c r="I1" s="44"/>
      <c r="J1" s="44"/>
      <c r="K1" s="280"/>
      <c r="L1" s="44"/>
      <c r="M1" s="280"/>
      <c r="N1" s="44"/>
      <c r="O1" s="44"/>
      <c r="P1" s="139"/>
      <c r="Q1" s="13"/>
    </row>
    <row r="3" spans="1:17" ht="60" customHeight="1" x14ac:dyDescent="0.25">
      <c r="A3" s="559" t="s">
        <v>46</v>
      </c>
      <c r="B3" s="559" t="s">
        <v>96</v>
      </c>
      <c r="C3" s="556" t="s">
        <v>545</v>
      </c>
      <c r="D3" s="556" t="s">
        <v>329</v>
      </c>
      <c r="E3" s="556" t="s">
        <v>330</v>
      </c>
      <c r="F3" s="556" t="s">
        <v>331</v>
      </c>
      <c r="G3" s="556" t="s">
        <v>302</v>
      </c>
      <c r="H3" s="556" t="s">
        <v>44</v>
      </c>
      <c r="I3" s="275" t="s">
        <v>303</v>
      </c>
      <c r="J3" s="275" t="s">
        <v>213</v>
      </c>
      <c r="K3" s="583" t="s">
        <v>214</v>
      </c>
      <c r="L3" s="556" t="s">
        <v>45</v>
      </c>
      <c r="M3" s="275" t="s">
        <v>215</v>
      </c>
      <c r="N3" s="275" t="s">
        <v>213</v>
      </c>
      <c r="O3" s="281" t="s">
        <v>368</v>
      </c>
      <c r="P3" s="318" t="s">
        <v>531</v>
      </c>
    </row>
    <row r="4" spans="1:17" x14ac:dyDescent="0.25">
      <c r="A4" s="560"/>
      <c r="B4" s="561"/>
      <c r="C4" s="557"/>
      <c r="D4" s="558"/>
      <c r="E4" s="557"/>
      <c r="F4" s="558"/>
      <c r="G4" s="557"/>
      <c r="H4" s="558"/>
      <c r="I4" s="278">
        <f>Paramètres!B41</f>
        <v>8</v>
      </c>
      <c r="J4" s="317">
        <f>+Paramètres!C41</f>
        <v>0.74371453219442851</v>
      </c>
      <c r="K4" s="584"/>
      <c r="L4" s="557"/>
      <c r="M4" s="276">
        <f>Paramètres!B42</f>
        <v>1</v>
      </c>
      <c r="N4" s="463">
        <f>+Paramètres!C42</f>
        <v>0.74371453219442851</v>
      </c>
      <c r="O4" s="282" t="s">
        <v>453</v>
      </c>
      <c r="P4" s="320" t="s">
        <v>454</v>
      </c>
    </row>
    <row r="5" spans="1:17" x14ac:dyDescent="0.25">
      <c r="A5" s="46">
        <f>+'A) Base RI'!A7</f>
        <v>5401</v>
      </c>
      <c r="B5" s="427" t="str">
        <f>+'A) Base RI'!B7</f>
        <v>Aigle</v>
      </c>
      <c r="C5" s="298">
        <f>+'D) Ecrêtage'!C5</f>
        <v>277789.63254320994</v>
      </c>
      <c r="D5" s="428">
        <v>4220028</v>
      </c>
      <c r="E5" s="429">
        <v>1945596</v>
      </c>
      <c r="F5" s="428">
        <v>46041</v>
      </c>
      <c r="G5" s="298">
        <f>SUM(D5:F5)</f>
        <v>6211665</v>
      </c>
      <c r="H5" s="277">
        <f>+C5*$I$4</f>
        <v>2222317.0603456795</v>
      </c>
      <c r="I5" s="54">
        <f>IF(G5&gt;H5,G5-H5,0)</f>
        <v>3989347.9396543205</v>
      </c>
      <c r="J5" s="296">
        <f>-I5*J$4</f>
        <v>-2966936.0367008201</v>
      </c>
      <c r="K5" s="431">
        <v>296671</v>
      </c>
      <c r="L5" s="54">
        <f>C5*M$4</f>
        <v>277789.63254320994</v>
      </c>
      <c r="M5" s="72">
        <f>IF(K5&gt;L5,K5-L5,0)</f>
        <v>18881.36745679006</v>
      </c>
      <c r="N5" s="133">
        <f>-M5*N$4</f>
        <v>-14042.347365317726</v>
      </c>
      <c r="O5" s="134">
        <f>N5+J5</f>
        <v>-2980978.384066138</v>
      </c>
      <c r="P5" s="33">
        <f>O5/'D) Ecrêtage'!C5</f>
        <v>-10.73106421134147</v>
      </c>
      <c r="Q5" s="129"/>
    </row>
    <row r="6" spans="1:17" x14ac:dyDescent="0.25">
      <c r="A6" s="49">
        <f>+'A) Base RI'!A8</f>
        <v>5402</v>
      </c>
      <c r="B6" s="427" t="str">
        <f>+'A) Base RI'!B8</f>
        <v>Bex</v>
      </c>
      <c r="C6" s="299">
        <f>+'D) Ecrêtage'!C6</f>
        <v>185729.53788732394</v>
      </c>
      <c r="D6" s="428">
        <v>3046657</v>
      </c>
      <c r="E6" s="430">
        <v>607116</v>
      </c>
      <c r="F6" s="428">
        <v>232138</v>
      </c>
      <c r="G6" s="299">
        <f t="shared" ref="G6:G69" si="0">SUM(D6:F6)</f>
        <v>3885911</v>
      </c>
      <c r="H6" s="277">
        <f t="shared" ref="H6:H69" si="1">+C6*$I$4</f>
        <v>1485836.3030985915</v>
      </c>
      <c r="I6" s="10">
        <f t="shared" ref="I6:I69" si="2">IF(G6&gt;H6,G6-H6,0)</f>
        <v>2400074.6969014085</v>
      </c>
      <c r="J6" s="296">
        <f t="shared" ref="J6:J69" si="3">-I6*J$4</f>
        <v>-1784970.4304377157</v>
      </c>
      <c r="K6" s="432">
        <v>391991</v>
      </c>
      <c r="L6" s="10">
        <f t="shared" ref="L6:L69" si="4">C6*M$4</f>
        <v>185729.53788732394</v>
      </c>
      <c r="M6" s="14">
        <f t="shared" ref="M6:M69" si="5">IF(K6&gt;L6,K6-L6,0)</f>
        <v>206261.46211267606</v>
      </c>
      <c r="N6" s="2">
        <f t="shared" ref="N6:N69" si="6">-M6*N$4</f>
        <v>-153399.64680486772</v>
      </c>
      <c r="O6" s="135">
        <f t="shared" ref="O6:O69" si="7">N6+J6</f>
        <v>-1938370.0772425835</v>
      </c>
      <c r="P6" s="33">
        <f>O6/'D) Ecrêtage'!C6</f>
        <v>-10.436520218009315</v>
      </c>
      <c r="Q6" s="129"/>
    </row>
    <row r="7" spans="1:17" x14ac:dyDescent="0.25">
      <c r="A7" s="49">
        <f>+'A) Base RI'!A9</f>
        <v>5403</v>
      </c>
      <c r="B7" s="427" t="str">
        <f>+'A) Base RI'!B9</f>
        <v>Chessel</v>
      </c>
      <c r="C7" s="299">
        <f>+'D) Ecrêtage'!C7</f>
        <v>10653.993243243245</v>
      </c>
      <c r="D7" s="428">
        <v>76422</v>
      </c>
      <c r="E7" s="430">
        <v>23583</v>
      </c>
      <c r="F7" s="428">
        <v>17320</v>
      </c>
      <c r="G7" s="299">
        <f t="shared" si="0"/>
        <v>117325</v>
      </c>
      <c r="H7" s="277">
        <f t="shared" si="1"/>
        <v>85231.945945945961</v>
      </c>
      <c r="I7" s="10">
        <f t="shared" si="2"/>
        <v>32093.054054054039</v>
      </c>
      <c r="J7" s="296">
        <f t="shared" si="3"/>
        <v>-23868.070682501308</v>
      </c>
      <c r="K7" s="432">
        <v>44036</v>
      </c>
      <c r="L7" s="10">
        <f t="shared" si="4"/>
        <v>10653.993243243245</v>
      </c>
      <c r="M7" s="14">
        <f t="shared" si="5"/>
        <v>33382.006756756753</v>
      </c>
      <c r="N7" s="2">
        <f t="shared" si="6"/>
        <v>-24826.683538812602</v>
      </c>
      <c r="O7" s="135">
        <f t="shared" si="7"/>
        <v>-48694.75422131391</v>
      </c>
      <c r="P7" s="33">
        <f>O7/'D) Ecrêtage'!C7</f>
        <v>-4.5705636477849358</v>
      </c>
      <c r="Q7" s="131"/>
    </row>
    <row r="8" spans="1:17" x14ac:dyDescent="0.25">
      <c r="A8" s="49">
        <f>+'A) Base RI'!A10</f>
        <v>5404</v>
      </c>
      <c r="B8" s="427" t="str">
        <f>+'A) Base RI'!B10</f>
        <v>Corbeyrier</v>
      </c>
      <c r="C8" s="299">
        <f>+'D) Ecrêtage'!C8</f>
        <v>14595.552612612611</v>
      </c>
      <c r="D8" s="428">
        <v>225596</v>
      </c>
      <c r="E8" s="430">
        <v>16165</v>
      </c>
      <c r="F8" s="428">
        <v>51629</v>
      </c>
      <c r="G8" s="299">
        <f t="shared" si="0"/>
        <v>293390</v>
      </c>
      <c r="H8" s="277">
        <f t="shared" si="1"/>
        <v>116764.42090090089</v>
      </c>
      <c r="I8" s="10">
        <f t="shared" si="2"/>
        <v>176625.57909909909</v>
      </c>
      <c r="J8" s="296">
        <f t="shared" si="3"/>
        <v>-131359.00993325652</v>
      </c>
      <c r="K8" s="432">
        <v>26752</v>
      </c>
      <c r="L8" s="10">
        <f t="shared" si="4"/>
        <v>14595.552612612611</v>
      </c>
      <c r="M8" s="14">
        <f t="shared" si="5"/>
        <v>12156.447387387389</v>
      </c>
      <c r="N8" s="2">
        <f t="shared" si="6"/>
        <v>-9040.9265818569947</v>
      </c>
      <c r="O8" s="135">
        <f t="shared" si="7"/>
        <v>-140399.93651511351</v>
      </c>
      <c r="P8" s="33">
        <f>O8/'D) Ecrêtage'!C8</f>
        <v>-9.6193642160412764</v>
      </c>
      <c r="Q8" s="131"/>
    </row>
    <row r="9" spans="1:17" x14ac:dyDescent="0.25">
      <c r="A9" s="49">
        <f>+'A) Base RI'!A11</f>
        <v>5405</v>
      </c>
      <c r="B9" s="427" t="str">
        <f>+'A) Base RI'!B11</f>
        <v>Gryon</v>
      </c>
      <c r="C9" s="299">
        <f>+'D) Ecrêtage'!C9</f>
        <v>65705.555822222203</v>
      </c>
      <c r="D9" s="428">
        <v>1723686</v>
      </c>
      <c r="E9" s="430">
        <v>139960</v>
      </c>
      <c r="F9" s="428">
        <v>72234</v>
      </c>
      <c r="G9" s="299">
        <f t="shared" si="0"/>
        <v>1935880</v>
      </c>
      <c r="H9" s="277">
        <f t="shared" si="1"/>
        <v>525644.44657777762</v>
      </c>
      <c r="I9" s="10">
        <f t="shared" si="2"/>
        <v>1410235.5534222224</v>
      </c>
      <c r="J9" s="296">
        <f t="shared" si="3"/>
        <v>-1048812.6748973592</v>
      </c>
      <c r="K9" s="432">
        <v>30566</v>
      </c>
      <c r="L9" s="10">
        <f t="shared" si="4"/>
        <v>65705.555822222203</v>
      </c>
      <c r="M9" s="14">
        <f t="shared" si="5"/>
        <v>0</v>
      </c>
      <c r="N9" s="2">
        <f t="shared" si="6"/>
        <v>0</v>
      </c>
      <c r="O9" s="135">
        <f t="shared" si="7"/>
        <v>-1048812.6748973592</v>
      </c>
      <c r="P9" s="33">
        <f>O9/'D) Ecrêtage'!C9</f>
        <v>-15.962313411290578</v>
      </c>
      <c r="Q9" s="131"/>
    </row>
    <row r="10" spans="1:17" x14ac:dyDescent="0.25">
      <c r="A10" s="49">
        <f>+'A) Base RI'!A12</f>
        <v>5406</v>
      </c>
      <c r="B10" s="427" t="str">
        <f>+'A) Base RI'!B12</f>
        <v>Lavey-Morcles</v>
      </c>
      <c r="C10" s="299">
        <f>+'D) Ecrêtage'!C10</f>
        <v>24857.219750812561</v>
      </c>
      <c r="D10" s="428">
        <v>279634</v>
      </c>
      <c r="E10" s="430">
        <v>34914</v>
      </c>
      <c r="F10" s="428">
        <v>41234</v>
      </c>
      <c r="G10" s="299">
        <f t="shared" si="0"/>
        <v>355782</v>
      </c>
      <c r="H10" s="277">
        <f t="shared" si="1"/>
        <v>198857.75800650049</v>
      </c>
      <c r="I10" s="10">
        <f t="shared" si="2"/>
        <v>156924.24199349951</v>
      </c>
      <c r="J10" s="296">
        <f t="shared" si="3"/>
        <v>-116706.83922416078</v>
      </c>
      <c r="K10" s="432">
        <v>24093</v>
      </c>
      <c r="L10" s="10">
        <f t="shared" si="4"/>
        <v>24857.219750812561</v>
      </c>
      <c r="M10" s="14">
        <f t="shared" si="5"/>
        <v>0</v>
      </c>
      <c r="N10" s="2">
        <f t="shared" si="6"/>
        <v>0</v>
      </c>
      <c r="O10" s="135">
        <f t="shared" si="7"/>
        <v>-116706.83922416078</v>
      </c>
      <c r="P10" s="33">
        <f>O10/'D) Ecrêtage'!C10</f>
        <v>-4.6950882035126122</v>
      </c>
      <c r="Q10" s="131"/>
    </row>
    <row r="11" spans="1:17" x14ac:dyDescent="0.25">
      <c r="A11" s="49">
        <f>+'A) Base RI'!A13</f>
        <v>5407</v>
      </c>
      <c r="B11" s="427" t="str">
        <f>+'A) Base RI'!B13</f>
        <v>Leysin</v>
      </c>
      <c r="C11" s="299">
        <f>+'D) Ecrêtage'!C11</f>
        <v>90593.766196581171</v>
      </c>
      <c r="D11" s="428">
        <v>2570728</v>
      </c>
      <c r="E11" s="430">
        <v>746509</v>
      </c>
      <c r="F11" s="428">
        <v>237058</v>
      </c>
      <c r="G11" s="299">
        <f t="shared" si="0"/>
        <v>3554295</v>
      </c>
      <c r="H11" s="277">
        <f t="shared" si="1"/>
        <v>724750.12957264937</v>
      </c>
      <c r="I11" s="10">
        <f t="shared" si="2"/>
        <v>2829544.8704273505</v>
      </c>
      <c r="J11" s="296">
        <f t="shared" si="3"/>
        <v>-2104373.6396330218</v>
      </c>
      <c r="K11" s="432">
        <v>164106</v>
      </c>
      <c r="L11" s="10">
        <f t="shared" si="4"/>
        <v>90593.766196581171</v>
      </c>
      <c r="M11" s="14">
        <f t="shared" si="5"/>
        <v>73512.233803418829</v>
      </c>
      <c r="N11" s="2">
        <f t="shared" si="6"/>
        <v>-54672.116573677085</v>
      </c>
      <c r="O11" s="135">
        <f t="shared" si="7"/>
        <v>-2159045.7562066987</v>
      </c>
      <c r="P11" s="33">
        <f>O11/'D) Ecrêtage'!C11</f>
        <v>-23.832166901216397</v>
      </c>
      <c r="Q11" s="131"/>
    </row>
    <row r="12" spans="1:17" x14ac:dyDescent="0.25">
      <c r="A12" s="49">
        <f>+'A) Base RI'!A14</f>
        <v>5408</v>
      </c>
      <c r="B12" s="427" t="str">
        <f>+'A) Base RI'!B14</f>
        <v>Noville</v>
      </c>
      <c r="C12" s="299">
        <f>+'D) Ecrêtage'!C12</f>
        <v>28671.623864118894</v>
      </c>
      <c r="D12" s="428">
        <v>449583</v>
      </c>
      <c r="E12" s="430">
        <v>61617</v>
      </c>
      <c r="F12" s="428">
        <v>53834</v>
      </c>
      <c r="G12" s="299">
        <f t="shared" si="0"/>
        <v>565034</v>
      </c>
      <c r="H12" s="277">
        <f t="shared" si="1"/>
        <v>229372.99091295115</v>
      </c>
      <c r="I12" s="10">
        <f t="shared" si="2"/>
        <v>335661.00908704882</v>
      </c>
      <c r="J12" s="296">
        <f t="shared" si="3"/>
        <v>-249635.97034908432</v>
      </c>
      <c r="K12" s="432">
        <v>68138</v>
      </c>
      <c r="L12" s="10">
        <f t="shared" si="4"/>
        <v>28671.623864118894</v>
      </c>
      <c r="M12" s="14">
        <f t="shared" si="5"/>
        <v>39466.376135881103</v>
      </c>
      <c r="N12" s="2">
        <f t="shared" si="6"/>
        <v>-29351.71746530617</v>
      </c>
      <c r="O12" s="135">
        <f t="shared" si="7"/>
        <v>-278987.68781439052</v>
      </c>
      <c r="P12" s="33">
        <f>O12/'D) Ecrêtage'!C12</f>
        <v>-9.7304460025206208</v>
      </c>
      <c r="Q12" s="131"/>
    </row>
    <row r="13" spans="1:17" x14ac:dyDescent="0.25">
      <c r="A13" s="49">
        <f>+'A) Base RI'!A15</f>
        <v>5409</v>
      </c>
      <c r="B13" s="427" t="str">
        <f>+'A) Base RI'!B15</f>
        <v>Ollon</v>
      </c>
      <c r="C13" s="299">
        <f>+'D) Ecrêtage'!C13</f>
        <v>399776.03154977376</v>
      </c>
      <c r="D13" s="428">
        <v>4123886</v>
      </c>
      <c r="E13" s="430">
        <v>1388970</v>
      </c>
      <c r="F13" s="428">
        <v>610115</v>
      </c>
      <c r="G13" s="299">
        <f t="shared" si="0"/>
        <v>6122971</v>
      </c>
      <c r="H13" s="277">
        <f t="shared" si="1"/>
        <v>3198208.2523981901</v>
      </c>
      <c r="I13" s="10">
        <f t="shared" si="2"/>
        <v>2924762.7476018099</v>
      </c>
      <c r="J13" s="296">
        <f t="shared" si="3"/>
        <v>-2175188.5586123713</v>
      </c>
      <c r="K13" s="432">
        <v>664395</v>
      </c>
      <c r="L13" s="10">
        <f t="shared" si="4"/>
        <v>399776.03154977376</v>
      </c>
      <c r="M13" s="14">
        <f t="shared" si="5"/>
        <v>264618.96845022624</v>
      </c>
      <c r="N13" s="2">
        <f t="shared" si="6"/>
        <v>-196800.97233073224</v>
      </c>
      <c r="O13" s="135">
        <f t="shared" si="7"/>
        <v>-2371989.5309431036</v>
      </c>
      <c r="P13" s="33">
        <f>O13/'D) Ecrêtage'!C13</f>
        <v>-5.9332960051352686</v>
      </c>
      <c r="Q13" s="131"/>
    </row>
    <row r="14" spans="1:17" x14ac:dyDescent="0.25">
      <c r="A14" s="49">
        <f>+'A) Base RI'!A16</f>
        <v>5410</v>
      </c>
      <c r="B14" s="427" t="str">
        <f>+'A) Base RI'!B16</f>
        <v>Ormont-Dessous</v>
      </c>
      <c r="C14" s="299">
        <f>+'D) Ecrêtage'!C14</f>
        <v>38431.903864118896</v>
      </c>
      <c r="D14" s="428">
        <v>1461428</v>
      </c>
      <c r="E14" s="430">
        <v>82746</v>
      </c>
      <c r="F14" s="428">
        <v>79883</v>
      </c>
      <c r="G14" s="299">
        <f t="shared" si="0"/>
        <v>1624057</v>
      </c>
      <c r="H14" s="277">
        <f t="shared" si="1"/>
        <v>307455.23091295117</v>
      </c>
      <c r="I14" s="10">
        <f t="shared" si="2"/>
        <v>1316601.7690870487</v>
      </c>
      <c r="J14" s="296">
        <f t="shared" si="3"/>
        <v>-979175.86878293147</v>
      </c>
      <c r="K14" s="432">
        <v>61832</v>
      </c>
      <c r="L14" s="10">
        <f t="shared" si="4"/>
        <v>38431.903864118896</v>
      </c>
      <c r="M14" s="14">
        <f t="shared" si="5"/>
        <v>23400.096135881104</v>
      </c>
      <c r="N14" s="2">
        <f t="shared" si="6"/>
        <v>-17402.991551001469</v>
      </c>
      <c r="O14" s="135">
        <f t="shared" si="7"/>
        <v>-996578.86033393291</v>
      </c>
      <c r="P14" s="33">
        <f>O14/'D) Ecrêtage'!C14</f>
        <v>-25.931030215351026</v>
      </c>
      <c r="Q14" s="131"/>
    </row>
    <row r="15" spans="1:17" x14ac:dyDescent="0.25">
      <c r="A15" s="49">
        <f>+'A) Base RI'!A17</f>
        <v>5411</v>
      </c>
      <c r="B15" s="427" t="str">
        <f>+'A) Base RI'!B17</f>
        <v>Ormont-Dessus</v>
      </c>
      <c r="C15" s="299">
        <f>+'D) Ecrêtage'!C15</f>
        <v>73250.08368421052</v>
      </c>
      <c r="D15" s="428">
        <v>1490473</v>
      </c>
      <c r="E15" s="430">
        <v>201617</v>
      </c>
      <c r="F15" s="428">
        <v>81193</v>
      </c>
      <c r="G15" s="299">
        <f t="shared" si="0"/>
        <v>1773283</v>
      </c>
      <c r="H15" s="277">
        <f t="shared" si="1"/>
        <v>586000.66947368416</v>
      </c>
      <c r="I15" s="10">
        <f t="shared" si="2"/>
        <v>1187282.3305263158</v>
      </c>
      <c r="J15" s="296">
        <f t="shared" si="3"/>
        <v>-882999.12303008989</v>
      </c>
      <c r="K15" s="432">
        <v>139703</v>
      </c>
      <c r="L15" s="10">
        <f t="shared" si="4"/>
        <v>73250.08368421052</v>
      </c>
      <c r="M15" s="14">
        <f t="shared" si="5"/>
        <v>66452.91631578948</v>
      </c>
      <c r="N15" s="2">
        <f t="shared" si="6"/>
        <v>-49421.99957075288</v>
      </c>
      <c r="O15" s="135">
        <f t="shared" si="7"/>
        <v>-932421.12260084273</v>
      </c>
      <c r="P15" s="33">
        <f>O15/'D) Ecrêtage'!C15</f>
        <v>-12.729284059532501</v>
      </c>
      <c r="Q15" s="131"/>
    </row>
    <row r="16" spans="1:17" x14ac:dyDescent="0.25">
      <c r="A16" s="49">
        <f>+'A) Base RI'!A18</f>
        <v>5412</v>
      </c>
      <c r="B16" s="427" t="str">
        <f>+'A) Base RI'!B18</f>
        <v>Rennaz</v>
      </c>
      <c r="C16" s="299">
        <f>+'D) Ecrêtage'!C16</f>
        <v>24302.490518518523</v>
      </c>
      <c r="D16" s="428">
        <v>223633</v>
      </c>
      <c r="E16" s="430">
        <v>45728</v>
      </c>
      <c r="F16" s="428">
        <v>36521</v>
      </c>
      <c r="G16" s="299">
        <f t="shared" si="0"/>
        <v>305882</v>
      </c>
      <c r="H16" s="277">
        <f t="shared" si="1"/>
        <v>194419.92414814819</v>
      </c>
      <c r="I16" s="10">
        <f t="shared" si="2"/>
        <v>111462.07585185181</v>
      </c>
      <c r="J16" s="296">
        <f t="shared" si="3"/>
        <v>-82895.965599579882</v>
      </c>
      <c r="K16" s="432">
        <v>30803</v>
      </c>
      <c r="L16" s="10">
        <f t="shared" si="4"/>
        <v>24302.490518518523</v>
      </c>
      <c r="M16" s="14">
        <f t="shared" si="5"/>
        <v>6500.5094814814765</v>
      </c>
      <c r="N16" s="2">
        <f t="shared" si="6"/>
        <v>-4834.523368045443</v>
      </c>
      <c r="O16" s="135">
        <f t="shared" si="7"/>
        <v>-87730.488967625322</v>
      </c>
      <c r="P16" s="33">
        <f>O16/'D) Ecrêtage'!C16</f>
        <v>-3.6099382036904655</v>
      </c>
      <c r="Q16" s="131"/>
    </row>
    <row r="17" spans="1:17" x14ac:dyDescent="0.25">
      <c r="A17" s="49">
        <f>+'A) Base RI'!A19</f>
        <v>5413</v>
      </c>
      <c r="B17" s="427" t="str">
        <f>+'A) Base RI'!B19</f>
        <v>Roche</v>
      </c>
      <c r="C17" s="299">
        <f>+'D) Ecrêtage'!C17</f>
        <v>45084.327818627447</v>
      </c>
      <c r="D17" s="428">
        <v>167886</v>
      </c>
      <c r="E17" s="430">
        <v>101856</v>
      </c>
      <c r="F17" s="428">
        <v>79842</v>
      </c>
      <c r="G17" s="299">
        <f t="shared" si="0"/>
        <v>349584</v>
      </c>
      <c r="H17" s="277">
        <f t="shared" si="1"/>
        <v>360674.62254901958</v>
      </c>
      <c r="I17" s="10">
        <f t="shared" si="2"/>
        <v>0</v>
      </c>
      <c r="J17" s="296">
        <f t="shared" si="3"/>
        <v>0</v>
      </c>
      <c r="K17" s="432">
        <v>43155</v>
      </c>
      <c r="L17" s="10">
        <f t="shared" si="4"/>
        <v>45084.327818627447</v>
      </c>
      <c r="M17" s="14">
        <f t="shared" si="5"/>
        <v>0</v>
      </c>
      <c r="N17" s="2">
        <f t="shared" si="6"/>
        <v>0</v>
      </c>
      <c r="O17" s="135">
        <f t="shared" si="7"/>
        <v>0</v>
      </c>
      <c r="P17" s="33">
        <f>O17/'D) Ecrêtage'!C17</f>
        <v>0</v>
      </c>
      <c r="Q17" s="131"/>
    </row>
    <row r="18" spans="1:17" x14ac:dyDescent="0.25">
      <c r="A18" s="49">
        <f>+'A) Base RI'!A20</f>
        <v>5414</v>
      </c>
      <c r="B18" s="427" t="str">
        <f>+'A) Base RI'!B20</f>
        <v>Villeneuve</v>
      </c>
      <c r="C18" s="299">
        <f>+'D) Ecrêtage'!C18</f>
        <v>167595.35260869566</v>
      </c>
      <c r="D18" s="428">
        <v>2490831</v>
      </c>
      <c r="E18" s="430">
        <v>1165606</v>
      </c>
      <c r="F18" s="428">
        <v>256275</v>
      </c>
      <c r="G18" s="299">
        <f t="shared" si="0"/>
        <v>3912712</v>
      </c>
      <c r="H18" s="277">
        <f t="shared" si="1"/>
        <v>1340762.8208695652</v>
      </c>
      <c r="I18" s="10">
        <f t="shared" si="2"/>
        <v>2571949.179130435</v>
      </c>
      <c r="J18" s="296">
        <f t="shared" si="3"/>
        <v>-1912795.9805848359</v>
      </c>
      <c r="K18" s="432">
        <v>-14952</v>
      </c>
      <c r="L18" s="10">
        <f t="shared" si="4"/>
        <v>167595.35260869566</v>
      </c>
      <c r="M18" s="14">
        <f t="shared" si="5"/>
        <v>0</v>
      </c>
      <c r="N18" s="2">
        <f t="shared" si="6"/>
        <v>0</v>
      </c>
      <c r="O18" s="135">
        <f t="shared" si="7"/>
        <v>-1912795.9805848359</v>
      </c>
      <c r="P18" s="33">
        <f>O18/'D) Ecrêtage'!C18</f>
        <v>-11.413180322791305</v>
      </c>
      <c r="Q18" s="131"/>
    </row>
    <row r="19" spans="1:17" x14ac:dyDescent="0.25">
      <c r="A19" s="49">
        <f>+'A) Base RI'!A21</f>
        <v>5415</v>
      </c>
      <c r="B19" s="427" t="str">
        <f>+'A) Base RI'!B21</f>
        <v>Yvorne</v>
      </c>
      <c r="C19" s="299">
        <f>+'D) Ecrêtage'!C19</f>
        <v>39170.690675990678</v>
      </c>
      <c r="D19" s="428">
        <v>307435</v>
      </c>
      <c r="E19" s="430">
        <v>59215</v>
      </c>
      <c r="F19" s="428">
        <v>164306</v>
      </c>
      <c r="G19" s="299">
        <f t="shared" si="0"/>
        <v>530956</v>
      </c>
      <c r="H19" s="277">
        <f t="shared" si="1"/>
        <v>313365.52540792542</v>
      </c>
      <c r="I19" s="10">
        <f t="shared" si="2"/>
        <v>217590.47459207458</v>
      </c>
      <c r="J19" s="296">
        <f t="shared" si="3"/>
        <v>-161825.19802120843</v>
      </c>
      <c r="K19" s="432">
        <v>62798</v>
      </c>
      <c r="L19" s="10">
        <f t="shared" si="4"/>
        <v>39170.690675990678</v>
      </c>
      <c r="M19" s="14">
        <f t="shared" si="5"/>
        <v>23627.309324009322</v>
      </c>
      <c r="N19" s="2">
        <f t="shared" si="6"/>
        <v>-17571.973300918653</v>
      </c>
      <c r="O19" s="135">
        <f t="shared" si="7"/>
        <v>-179397.17132212708</v>
      </c>
      <c r="P19" s="33">
        <f>O19/'D) Ecrêtage'!C19</f>
        <v>-4.5798827701572025</v>
      </c>
      <c r="Q19" s="131"/>
    </row>
    <row r="20" spans="1:17" x14ac:dyDescent="0.25">
      <c r="A20" s="49">
        <f>+'A) Base RI'!A22</f>
        <v>5421</v>
      </c>
      <c r="B20" s="427" t="str">
        <f>+'A) Base RI'!B22</f>
        <v>Apples</v>
      </c>
      <c r="C20" s="299">
        <f>+'D) Ecrêtage'!C20</f>
        <v>70612.156710526324</v>
      </c>
      <c r="D20" s="428">
        <v>531649</v>
      </c>
      <c r="E20" s="430">
        <v>125726</v>
      </c>
      <c r="F20" s="428">
        <v>214580</v>
      </c>
      <c r="G20" s="299">
        <f t="shared" si="0"/>
        <v>871955</v>
      </c>
      <c r="H20" s="277">
        <f t="shared" si="1"/>
        <v>564897.25368421059</v>
      </c>
      <c r="I20" s="10">
        <f t="shared" si="2"/>
        <v>307057.74631578941</v>
      </c>
      <c r="J20" s="296">
        <f t="shared" si="3"/>
        <v>-228363.30815792282</v>
      </c>
      <c r="K20" s="432">
        <v>105800</v>
      </c>
      <c r="L20" s="10">
        <f t="shared" si="4"/>
        <v>70612.156710526324</v>
      </c>
      <c r="M20" s="14">
        <f t="shared" si="5"/>
        <v>35187.843289473676</v>
      </c>
      <c r="N20" s="2">
        <f t="shared" si="6"/>
        <v>-26169.710410961776</v>
      </c>
      <c r="O20" s="135">
        <f t="shared" si="7"/>
        <v>-254533.01856888458</v>
      </c>
      <c r="P20" s="33">
        <f>O20/'D) Ecrêtage'!C20</f>
        <v>-3.6046628573085453</v>
      </c>
      <c r="Q20" s="131"/>
    </row>
    <row r="21" spans="1:17" x14ac:dyDescent="0.25">
      <c r="A21" s="49">
        <f>+'A) Base RI'!A23</f>
        <v>5422</v>
      </c>
      <c r="B21" s="427" t="str">
        <f>+'A) Base RI'!B23</f>
        <v>Aubonne</v>
      </c>
      <c r="C21" s="299">
        <f>+'D) Ecrêtage'!C21</f>
        <v>231171.83385714272</v>
      </c>
      <c r="D21" s="428">
        <v>1112312</v>
      </c>
      <c r="E21" s="430">
        <v>128142</v>
      </c>
      <c r="F21" s="428">
        <v>338470</v>
      </c>
      <c r="G21" s="299">
        <f t="shared" si="0"/>
        <v>1578924</v>
      </c>
      <c r="H21" s="277">
        <f t="shared" si="1"/>
        <v>1849374.6708571417</v>
      </c>
      <c r="I21" s="10">
        <f t="shared" si="2"/>
        <v>0</v>
      </c>
      <c r="J21" s="296">
        <f t="shared" si="3"/>
        <v>0</v>
      </c>
      <c r="K21" s="432">
        <v>-116220</v>
      </c>
      <c r="L21" s="10">
        <f t="shared" si="4"/>
        <v>231171.83385714272</v>
      </c>
      <c r="M21" s="14">
        <f t="shared" si="5"/>
        <v>0</v>
      </c>
      <c r="N21" s="2">
        <f t="shared" si="6"/>
        <v>0</v>
      </c>
      <c r="O21" s="135">
        <f t="shared" si="7"/>
        <v>0</v>
      </c>
      <c r="P21" s="33">
        <f>O21/'D) Ecrêtage'!C21</f>
        <v>0</v>
      </c>
      <c r="Q21" s="131"/>
    </row>
    <row r="22" spans="1:17" x14ac:dyDescent="0.25">
      <c r="A22" s="49">
        <f>+'A) Base RI'!A24</f>
        <v>5423</v>
      </c>
      <c r="B22" s="427" t="str">
        <f>+'A) Base RI'!B24</f>
        <v>Ballens</v>
      </c>
      <c r="C22" s="299">
        <f>+'D) Ecrêtage'!C22</f>
        <v>16262.42684931507</v>
      </c>
      <c r="D22" s="428">
        <v>114197</v>
      </c>
      <c r="E22" s="430">
        <v>45874</v>
      </c>
      <c r="F22" s="428">
        <v>78775</v>
      </c>
      <c r="G22" s="299">
        <f t="shared" si="0"/>
        <v>238846</v>
      </c>
      <c r="H22" s="277">
        <f t="shared" si="1"/>
        <v>130099.41479452056</v>
      </c>
      <c r="I22" s="10">
        <f t="shared" si="2"/>
        <v>108746.58520547944</v>
      </c>
      <c r="J22" s="296">
        <f t="shared" si="3"/>
        <v>-80876.415743834703</v>
      </c>
      <c r="K22" s="432">
        <v>-840</v>
      </c>
      <c r="L22" s="10">
        <f t="shared" si="4"/>
        <v>16262.42684931507</v>
      </c>
      <c r="M22" s="14">
        <f t="shared" si="5"/>
        <v>0</v>
      </c>
      <c r="N22" s="2">
        <f t="shared" si="6"/>
        <v>0</v>
      </c>
      <c r="O22" s="135">
        <f t="shared" si="7"/>
        <v>-80876.415743834703</v>
      </c>
      <c r="P22" s="33">
        <f>O22/'D) Ecrêtage'!C22</f>
        <v>-4.9732070430337405</v>
      </c>
      <c r="Q22" s="131"/>
    </row>
    <row r="23" spans="1:17" x14ac:dyDescent="0.25">
      <c r="A23" s="49">
        <f>+'A) Base RI'!A25</f>
        <v>5424</v>
      </c>
      <c r="B23" s="427" t="str">
        <f>+'A) Base RI'!B25</f>
        <v>Berolle</v>
      </c>
      <c r="C23" s="299">
        <f>+'D) Ecrêtage'!C23</f>
        <v>9281.7425974025955</v>
      </c>
      <c r="D23" s="428">
        <v>69257</v>
      </c>
      <c r="E23" s="430">
        <v>10852</v>
      </c>
      <c r="F23" s="428">
        <v>40072</v>
      </c>
      <c r="G23" s="299">
        <f t="shared" si="0"/>
        <v>120181</v>
      </c>
      <c r="H23" s="277">
        <f t="shared" si="1"/>
        <v>74253.940779220764</v>
      </c>
      <c r="I23" s="10">
        <f t="shared" si="2"/>
        <v>45927.059220779236</v>
      </c>
      <c r="J23" s="296">
        <f t="shared" si="3"/>
        <v>-34156.621363447644</v>
      </c>
      <c r="K23" s="432">
        <v>17897</v>
      </c>
      <c r="L23" s="10">
        <f t="shared" si="4"/>
        <v>9281.7425974025955</v>
      </c>
      <c r="M23" s="14">
        <f t="shared" si="5"/>
        <v>8615.2574025974045</v>
      </c>
      <c r="N23" s="2">
        <f t="shared" si="6"/>
        <v>-6407.2921289073156</v>
      </c>
      <c r="O23" s="135">
        <f t="shared" si="7"/>
        <v>-40563.913492354957</v>
      </c>
      <c r="P23" s="33">
        <f>O23/'D) Ecrêtage'!C23</f>
        <v>-4.3702907149899168</v>
      </c>
      <c r="Q23" s="131"/>
    </row>
    <row r="24" spans="1:17" x14ac:dyDescent="0.25">
      <c r="A24" s="49">
        <f>+'A) Base RI'!A26</f>
        <v>5425</v>
      </c>
      <c r="B24" s="427" t="str">
        <f>+'A) Base RI'!B26</f>
        <v>Bière</v>
      </c>
      <c r="C24" s="299">
        <f>+'D) Ecrêtage'!C24</f>
        <v>39522.239817733993</v>
      </c>
      <c r="D24" s="428">
        <v>676645</v>
      </c>
      <c r="E24" s="430">
        <v>137416</v>
      </c>
      <c r="F24" s="428">
        <v>239673</v>
      </c>
      <c r="G24" s="299">
        <f t="shared" si="0"/>
        <v>1053734</v>
      </c>
      <c r="H24" s="277">
        <f t="shared" si="1"/>
        <v>316177.91854187194</v>
      </c>
      <c r="I24" s="10">
        <f t="shared" si="2"/>
        <v>737556.08145812806</v>
      </c>
      <c r="J24" s="296">
        <f t="shared" si="3"/>
        <v>-548531.1760887875</v>
      </c>
      <c r="K24" s="432">
        <v>83065</v>
      </c>
      <c r="L24" s="10">
        <f t="shared" si="4"/>
        <v>39522.239817733993</v>
      </c>
      <c r="M24" s="14">
        <f t="shared" si="5"/>
        <v>43542.760182266007</v>
      </c>
      <c r="N24" s="2">
        <f t="shared" si="6"/>
        <v>-32383.383519408151</v>
      </c>
      <c r="O24" s="135">
        <f t="shared" si="7"/>
        <v>-580914.55960819568</v>
      </c>
      <c r="P24" s="33">
        <f>O24/'D) Ecrêtage'!C24</f>
        <v>-14.698422009663885</v>
      </c>
      <c r="Q24" s="131"/>
    </row>
    <row r="25" spans="1:17" x14ac:dyDescent="0.25">
      <c r="A25" s="49">
        <f>+'A) Base RI'!A27</f>
        <v>5426</v>
      </c>
      <c r="B25" s="427" t="str">
        <f>+'A) Base RI'!B27</f>
        <v>Bougy-Villars</v>
      </c>
      <c r="C25" s="299">
        <f>+'D) Ecrêtage'!C25</f>
        <v>52073.160505050502</v>
      </c>
      <c r="D25" s="428">
        <v>112004</v>
      </c>
      <c r="E25" s="430">
        <v>18320</v>
      </c>
      <c r="F25" s="428">
        <v>41327</v>
      </c>
      <c r="G25" s="299">
        <f t="shared" si="0"/>
        <v>171651</v>
      </c>
      <c r="H25" s="277">
        <f t="shared" si="1"/>
        <v>416585.28404040402</v>
      </c>
      <c r="I25" s="10">
        <f t="shared" si="2"/>
        <v>0</v>
      </c>
      <c r="J25" s="296">
        <f t="shared" si="3"/>
        <v>0</v>
      </c>
      <c r="K25" s="432">
        <v>12721</v>
      </c>
      <c r="L25" s="10">
        <f t="shared" si="4"/>
        <v>52073.160505050502</v>
      </c>
      <c r="M25" s="14">
        <f t="shared" si="5"/>
        <v>0</v>
      </c>
      <c r="N25" s="2">
        <f t="shared" si="6"/>
        <v>0</v>
      </c>
      <c r="O25" s="135">
        <f t="shared" si="7"/>
        <v>0</v>
      </c>
      <c r="P25" s="33">
        <f>O25/'D) Ecrêtage'!C25</f>
        <v>0</v>
      </c>
      <c r="Q25" s="131"/>
    </row>
    <row r="26" spans="1:17" x14ac:dyDescent="0.25">
      <c r="A26" s="49">
        <f>+'A) Base RI'!A28</f>
        <v>5427</v>
      </c>
      <c r="B26" s="427" t="str">
        <f>+'A) Base RI'!B28</f>
        <v>Féchy</v>
      </c>
      <c r="C26" s="299">
        <f>+'D) Ecrêtage'!C26</f>
        <v>86749.440144230772</v>
      </c>
      <c r="D26" s="428">
        <v>141524</v>
      </c>
      <c r="E26" s="430">
        <v>33992</v>
      </c>
      <c r="F26" s="428">
        <v>94248</v>
      </c>
      <c r="G26" s="299">
        <f t="shared" si="0"/>
        <v>269764</v>
      </c>
      <c r="H26" s="277">
        <f t="shared" si="1"/>
        <v>693995.52115384617</v>
      </c>
      <c r="I26" s="10">
        <f t="shared" si="2"/>
        <v>0</v>
      </c>
      <c r="J26" s="296">
        <f t="shared" si="3"/>
        <v>0</v>
      </c>
      <c r="K26" s="432">
        <v>14326</v>
      </c>
      <c r="L26" s="10">
        <f t="shared" si="4"/>
        <v>86749.440144230772</v>
      </c>
      <c r="M26" s="14">
        <f t="shared" si="5"/>
        <v>0</v>
      </c>
      <c r="N26" s="2">
        <f t="shared" si="6"/>
        <v>0</v>
      </c>
      <c r="O26" s="135">
        <f t="shared" si="7"/>
        <v>0</v>
      </c>
      <c r="P26" s="33">
        <f>O26/'D) Ecrêtage'!C26</f>
        <v>0</v>
      </c>
      <c r="Q26" s="131"/>
    </row>
    <row r="27" spans="1:17" x14ac:dyDescent="0.25">
      <c r="A27" s="49">
        <f>+'A) Base RI'!A29</f>
        <v>5428</v>
      </c>
      <c r="B27" s="427" t="str">
        <f>+'A) Base RI'!B29</f>
        <v>Gimel</v>
      </c>
      <c r="C27" s="299">
        <f>+'D) Ecrêtage'!C27</f>
        <v>66171.009865771834</v>
      </c>
      <c r="D27" s="428">
        <v>507571</v>
      </c>
      <c r="E27" s="430">
        <v>125668</v>
      </c>
      <c r="F27" s="428">
        <v>249391</v>
      </c>
      <c r="G27" s="299">
        <f t="shared" si="0"/>
        <v>882630</v>
      </c>
      <c r="H27" s="277">
        <f t="shared" si="1"/>
        <v>529368.07892617467</v>
      </c>
      <c r="I27" s="10">
        <f t="shared" si="2"/>
        <v>353261.92107382533</v>
      </c>
      <c r="J27" s="296">
        <f t="shared" si="3"/>
        <v>-262726.02437352511</v>
      </c>
      <c r="K27" s="432">
        <v>37045</v>
      </c>
      <c r="L27" s="10">
        <f t="shared" si="4"/>
        <v>66171.009865771834</v>
      </c>
      <c r="M27" s="14">
        <f t="shared" si="5"/>
        <v>0</v>
      </c>
      <c r="N27" s="2">
        <f t="shared" si="6"/>
        <v>0</v>
      </c>
      <c r="O27" s="135">
        <f t="shared" si="7"/>
        <v>-262726.02437352511</v>
      </c>
      <c r="P27" s="33">
        <f>O27/'D) Ecrêtage'!C27</f>
        <v>-3.9704097747104954</v>
      </c>
      <c r="Q27" s="131"/>
    </row>
    <row r="28" spans="1:17" x14ac:dyDescent="0.25">
      <c r="A28" s="49">
        <f>+'A) Base RI'!A30</f>
        <v>5429</v>
      </c>
      <c r="B28" s="427" t="str">
        <f>+'A) Base RI'!B30</f>
        <v>Longirod</v>
      </c>
      <c r="C28" s="299">
        <f>+'D) Ecrêtage'!C28</f>
        <v>15311.416666666666</v>
      </c>
      <c r="D28" s="428">
        <v>155524</v>
      </c>
      <c r="E28" s="430">
        <v>18893</v>
      </c>
      <c r="F28" s="428">
        <v>45621</v>
      </c>
      <c r="G28" s="299">
        <f t="shared" si="0"/>
        <v>220038</v>
      </c>
      <c r="H28" s="277">
        <f t="shared" si="1"/>
        <v>122491.33333333333</v>
      </c>
      <c r="I28" s="10">
        <f t="shared" si="2"/>
        <v>97546.666666666672</v>
      </c>
      <c r="J28" s="296">
        <f t="shared" si="3"/>
        <v>-72546.873567125862</v>
      </c>
      <c r="K28" s="432">
        <v>-162432</v>
      </c>
      <c r="L28" s="10">
        <f t="shared" si="4"/>
        <v>15311.416666666666</v>
      </c>
      <c r="M28" s="14">
        <f t="shared" si="5"/>
        <v>0</v>
      </c>
      <c r="N28" s="2">
        <f t="shared" si="6"/>
        <v>0</v>
      </c>
      <c r="O28" s="135">
        <f t="shared" si="7"/>
        <v>-72546.873567125862</v>
      </c>
      <c r="P28" s="33">
        <f>O28/'D) Ecrêtage'!C28</f>
        <v>-4.7380902202904718</v>
      </c>
      <c r="Q28" s="131"/>
    </row>
    <row r="29" spans="1:17" x14ac:dyDescent="0.25">
      <c r="A29" s="49">
        <f>+'A) Base RI'!A31</f>
        <v>5430</v>
      </c>
      <c r="B29" s="427" t="str">
        <f>+'A) Base RI'!B31</f>
        <v>Marchissy</v>
      </c>
      <c r="C29" s="299">
        <f>+'D) Ecrêtage'!C29</f>
        <v>14827.393037974683</v>
      </c>
      <c r="D29" s="428">
        <v>147967</v>
      </c>
      <c r="E29" s="430">
        <v>18755</v>
      </c>
      <c r="F29" s="428">
        <v>48806</v>
      </c>
      <c r="G29" s="299">
        <f t="shared" si="0"/>
        <v>215528</v>
      </c>
      <c r="H29" s="277">
        <f t="shared" si="1"/>
        <v>118619.14430379747</v>
      </c>
      <c r="I29" s="10">
        <f t="shared" si="2"/>
        <v>96908.855696202532</v>
      </c>
      <c r="J29" s="296">
        <f t="shared" si="3"/>
        <v>-72072.524279598641</v>
      </c>
      <c r="K29" s="432">
        <v>-1035</v>
      </c>
      <c r="L29" s="10">
        <f t="shared" si="4"/>
        <v>14827.393037974683</v>
      </c>
      <c r="M29" s="14">
        <f t="shared" si="5"/>
        <v>0</v>
      </c>
      <c r="N29" s="2">
        <f t="shared" si="6"/>
        <v>0</v>
      </c>
      <c r="O29" s="135">
        <f t="shared" si="7"/>
        <v>-72072.524279598641</v>
      </c>
      <c r="P29" s="33">
        <f>O29/'D) Ecrêtage'!C29</f>
        <v>-4.8607684503278827</v>
      </c>
      <c r="Q29" s="131"/>
    </row>
    <row r="30" spans="1:17" x14ac:dyDescent="0.25">
      <c r="A30" s="49">
        <f>+'A) Base RI'!A32</f>
        <v>5431</v>
      </c>
      <c r="B30" s="427" t="str">
        <f>+'A) Base RI'!B32</f>
        <v>Mollens</v>
      </c>
      <c r="C30" s="299">
        <f>+'D) Ecrêtage'!C30</f>
        <v>10626.755405405405</v>
      </c>
      <c r="D30" s="428">
        <v>75005</v>
      </c>
      <c r="E30" s="430">
        <v>9688</v>
      </c>
      <c r="F30" s="428">
        <v>37103</v>
      </c>
      <c r="G30" s="299">
        <f t="shared" si="0"/>
        <v>121796</v>
      </c>
      <c r="H30" s="277">
        <f t="shared" si="1"/>
        <v>85014.043243243243</v>
      </c>
      <c r="I30" s="10">
        <f t="shared" si="2"/>
        <v>36781.956756756757</v>
      </c>
      <c r="J30" s="296">
        <f t="shared" si="3"/>
        <v>-27355.275762547051</v>
      </c>
      <c r="K30" s="432">
        <v>7789</v>
      </c>
      <c r="L30" s="10">
        <f t="shared" si="4"/>
        <v>10626.755405405405</v>
      </c>
      <c r="M30" s="14">
        <f t="shared" si="5"/>
        <v>0</v>
      </c>
      <c r="N30" s="2">
        <f t="shared" si="6"/>
        <v>0</v>
      </c>
      <c r="O30" s="135">
        <f t="shared" si="7"/>
        <v>-27355.275762547051</v>
      </c>
      <c r="P30" s="33">
        <f>O30/'D) Ecrêtage'!C30</f>
        <v>-2.5741888957595203</v>
      </c>
      <c r="Q30" s="131"/>
    </row>
    <row r="31" spans="1:17" x14ac:dyDescent="0.25">
      <c r="A31" s="49">
        <f>+'A) Base RI'!A33</f>
        <v>5432</v>
      </c>
      <c r="B31" s="427" t="str">
        <f>+'A) Base RI'!B33</f>
        <v>Montherod</v>
      </c>
      <c r="C31" s="299">
        <f>+'D) Ecrêtage'!C31</f>
        <v>16078.014230769231</v>
      </c>
      <c r="D31" s="428">
        <v>100590</v>
      </c>
      <c r="E31" s="430">
        <v>21186</v>
      </c>
      <c r="F31" s="428">
        <v>63363</v>
      </c>
      <c r="G31" s="299">
        <f t="shared" si="0"/>
        <v>185139</v>
      </c>
      <c r="H31" s="277">
        <f t="shared" si="1"/>
        <v>128624.11384615385</v>
      </c>
      <c r="I31" s="10">
        <f t="shared" si="2"/>
        <v>56514.88615384615</v>
      </c>
      <c r="J31" s="296">
        <f t="shared" si="3"/>
        <v>-42030.942117929073</v>
      </c>
      <c r="K31" s="432">
        <v>2283</v>
      </c>
      <c r="L31" s="10">
        <f t="shared" si="4"/>
        <v>16078.014230769231</v>
      </c>
      <c r="M31" s="14">
        <f t="shared" si="5"/>
        <v>0</v>
      </c>
      <c r="N31" s="2">
        <f t="shared" si="6"/>
        <v>0</v>
      </c>
      <c r="O31" s="135">
        <f t="shared" si="7"/>
        <v>-42030.942117929073</v>
      </c>
      <c r="P31" s="33">
        <f>O31/'D) Ecrêtage'!C31</f>
        <v>-2.6141873937076467</v>
      </c>
      <c r="Q31" s="131"/>
    </row>
    <row r="32" spans="1:17" x14ac:dyDescent="0.25">
      <c r="A32" s="49">
        <f>+'A) Base RI'!A34</f>
        <v>5434</v>
      </c>
      <c r="B32" s="427" t="str">
        <f>+'A) Base RI'!B34</f>
        <v>Saint-George</v>
      </c>
      <c r="C32" s="299">
        <f>+'D) Ecrêtage'!C32</f>
        <v>39905.96180751174</v>
      </c>
      <c r="D32" s="428">
        <v>196081</v>
      </c>
      <c r="E32" s="430">
        <v>55652</v>
      </c>
      <c r="F32" s="428">
        <v>124453</v>
      </c>
      <c r="G32" s="299">
        <f t="shared" si="0"/>
        <v>376186</v>
      </c>
      <c r="H32" s="277">
        <f t="shared" si="1"/>
        <v>319247.69446009392</v>
      </c>
      <c r="I32" s="10">
        <f t="shared" si="2"/>
        <v>56938.305539906083</v>
      </c>
      <c r="J32" s="296">
        <f t="shared" si="3"/>
        <v>-42345.845268554687</v>
      </c>
      <c r="K32" s="432">
        <v>65492</v>
      </c>
      <c r="L32" s="10">
        <f t="shared" si="4"/>
        <v>39905.96180751174</v>
      </c>
      <c r="M32" s="14">
        <f t="shared" si="5"/>
        <v>25586.03819248826</v>
      </c>
      <c r="N32" s="2">
        <f t="shared" si="6"/>
        <v>-19028.708425035187</v>
      </c>
      <c r="O32" s="135">
        <f t="shared" si="7"/>
        <v>-61374.553693589871</v>
      </c>
      <c r="P32" s="33">
        <f>O32/'D) Ecrêtage'!C32</f>
        <v>-1.5379795627939725</v>
      </c>
      <c r="Q32" s="131"/>
    </row>
    <row r="33" spans="1:17" x14ac:dyDescent="0.25">
      <c r="A33" s="49">
        <f>+'A) Base RI'!A35</f>
        <v>5435</v>
      </c>
      <c r="B33" s="427" t="str">
        <f>+'A) Base RI'!B35</f>
        <v>Saint-Livres</v>
      </c>
      <c r="C33" s="299">
        <f>+'D) Ecrêtage'!C33</f>
        <v>24331.716956521734</v>
      </c>
      <c r="D33" s="428">
        <v>156396</v>
      </c>
      <c r="E33" s="430">
        <v>39439</v>
      </c>
      <c r="F33" s="428">
        <v>77232</v>
      </c>
      <c r="G33" s="299">
        <f t="shared" si="0"/>
        <v>273067</v>
      </c>
      <c r="H33" s="277">
        <f t="shared" si="1"/>
        <v>194653.73565217387</v>
      </c>
      <c r="I33" s="10">
        <f t="shared" si="2"/>
        <v>78413.264347826131</v>
      </c>
      <c r="J33" s="296">
        <f t="shared" si="3"/>
        <v>-58317.084212281574</v>
      </c>
      <c r="K33" s="432">
        <v>38276</v>
      </c>
      <c r="L33" s="10">
        <f t="shared" si="4"/>
        <v>24331.716956521734</v>
      </c>
      <c r="M33" s="14">
        <f t="shared" si="5"/>
        <v>13944.283043478266</v>
      </c>
      <c r="N33" s="2">
        <f t="shared" si="6"/>
        <v>-10370.565940467141</v>
      </c>
      <c r="O33" s="135">
        <f t="shared" si="7"/>
        <v>-68687.650152748713</v>
      </c>
      <c r="P33" s="33">
        <f>O33/'D) Ecrêtage'!C33</f>
        <v>-2.8229676629679052</v>
      </c>
      <c r="Q33" s="131"/>
    </row>
    <row r="34" spans="1:17" x14ac:dyDescent="0.25">
      <c r="A34" s="49">
        <f>+'A) Base RI'!A36</f>
        <v>5436</v>
      </c>
      <c r="B34" s="427" t="str">
        <f>+'A) Base RI'!B36</f>
        <v>Saint-Oyens</v>
      </c>
      <c r="C34" s="299">
        <f>+'D) Ecrêtage'!C34</f>
        <v>16564.840617283953</v>
      </c>
      <c r="D34" s="428">
        <v>45842</v>
      </c>
      <c r="E34" s="430">
        <v>18165</v>
      </c>
      <c r="F34" s="428">
        <v>29233</v>
      </c>
      <c r="G34" s="299">
        <f t="shared" si="0"/>
        <v>93240</v>
      </c>
      <c r="H34" s="277">
        <f t="shared" si="1"/>
        <v>132518.72493827163</v>
      </c>
      <c r="I34" s="10">
        <f t="shared" si="2"/>
        <v>0</v>
      </c>
      <c r="J34" s="296">
        <f t="shared" si="3"/>
        <v>0</v>
      </c>
      <c r="K34" s="432">
        <v>7898</v>
      </c>
      <c r="L34" s="10">
        <f t="shared" si="4"/>
        <v>16564.840617283953</v>
      </c>
      <c r="M34" s="14">
        <f t="shared" si="5"/>
        <v>0</v>
      </c>
      <c r="N34" s="2">
        <f t="shared" si="6"/>
        <v>0</v>
      </c>
      <c r="O34" s="135">
        <f t="shared" si="7"/>
        <v>0</v>
      </c>
      <c r="P34" s="33">
        <f>O34/'D) Ecrêtage'!C34</f>
        <v>0</v>
      </c>
      <c r="Q34" s="131"/>
    </row>
    <row r="35" spans="1:17" x14ac:dyDescent="0.25">
      <c r="A35" s="49">
        <f>+'A) Base RI'!A37</f>
        <v>5437</v>
      </c>
      <c r="B35" s="427" t="str">
        <f>+'A) Base RI'!B37</f>
        <v>Saubraz</v>
      </c>
      <c r="C35" s="299">
        <f>+'D) Ecrêtage'!C35</f>
        <v>13155.785124999999</v>
      </c>
      <c r="D35" s="428">
        <v>63871</v>
      </c>
      <c r="E35" s="430">
        <v>11014</v>
      </c>
      <c r="F35" s="428">
        <v>52823</v>
      </c>
      <c r="G35" s="299">
        <f t="shared" si="0"/>
        <v>127708</v>
      </c>
      <c r="H35" s="277">
        <f t="shared" si="1"/>
        <v>105246.28099999999</v>
      </c>
      <c r="I35" s="10">
        <f t="shared" si="2"/>
        <v>22461.719000000012</v>
      </c>
      <c r="J35" s="296">
        <f t="shared" si="3"/>
        <v>-16705.106838367716</v>
      </c>
      <c r="K35" s="432">
        <v>10772</v>
      </c>
      <c r="L35" s="10">
        <f t="shared" si="4"/>
        <v>13155.785124999999</v>
      </c>
      <c r="M35" s="14">
        <f t="shared" si="5"/>
        <v>0</v>
      </c>
      <c r="N35" s="2">
        <f t="shared" si="6"/>
        <v>0</v>
      </c>
      <c r="O35" s="135">
        <f t="shared" si="7"/>
        <v>-16705.106838367716</v>
      </c>
      <c r="P35" s="33">
        <f>O35/'D) Ecrêtage'!C35</f>
        <v>-1.2697917060550743</v>
      </c>
      <c r="Q35" s="131"/>
    </row>
    <row r="36" spans="1:17" x14ac:dyDescent="0.25">
      <c r="A36" s="49">
        <f>+'A) Base RI'!A38</f>
        <v>5451</v>
      </c>
      <c r="B36" s="427" t="str">
        <f>+'A) Base RI'!B38</f>
        <v>Avenches</v>
      </c>
      <c r="C36" s="299">
        <f>+'D) Ecrêtage'!C36</f>
        <v>129378.19823529426</v>
      </c>
      <c r="D36" s="428">
        <v>1763212</v>
      </c>
      <c r="E36" s="430">
        <v>620316</v>
      </c>
      <c r="F36" s="428">
        <v>504589</v>
      </c>
      <c r="G36" s="299">
        <f t="shared" si="0"/>
        <v>2888117</v>
      </c>
      <c r="H36" s="277">
        <f t="shared" si="1"/>
        <v>1035025.5858823541</v>
      </c>
      <c r="I36" s="10">
        <f t="shared" si="2"/>
        <v>1853091.4141176459</v>
      </c>
      <c r="J36" s="296">
        <f t="shared" si="3"/>
        <v>-1378171.014164017</v>
      </c>
      <c r="K36" s="432">
        <v>125633</v>
      </c>
      <c r="L36" s="10">
        <f t="shared" si="4"/>
        <v>129378.19823529426</v>
      </c>
      <c r="M36" s="14">
        <f t="shared" si="5"/>
        <v>0</v>
      </c>
      <c r="N36" s="2">
        <f t="shared" si="6"/>
        <v>0</v>
      </c>
      <c r="O36" s="135">
        <f t="shared" si="7"/>
        <v>-1378171.014164017</v>
      </c>
      <c r="P36" s="33">
        <f>O36/'D) Ecrêtage'!C36</f>
        <v>-10.652266247034914</v>
      </c>
      <c r="Q36" s="131"/>
    </row>
    <row r="37" spans="1:17" x14ac:dyDescent="0.25">
      <c r="A37" s="49">
        <f>+'A) Base RI'!A39</f>
        <v>5456</v>
      </c>
      <c r="B37" s="427" t="str">
        <f>+'A) Base RI'!B39</f>
        <v>Cudrefin</v>
      </c>
      <c r="C37" s="299">
        <f>+'D) Ecrêtage'!C37</f>
        <v>57755.250790960446</v>
      </c>
      <c r="D37" s="428">
        <v>620953</v>
      </c>
      <c r="E37" s="430">
        <v>81882</v>
      </c>
      <c r="F37" s="428">
        <v>215031</v>
      </c>
      <c r="G37" s="299">
        <f t="shared" si="0"/>
        <v>917866</v>
      </c>
      <c r="H37" s="277">
        <f t="shared" si="1"/>
        <v>462042.00632768357</v>
      </c>
      <c r="I37" s="10">
        <f t="shared" si="2"/>
        <v>455823.99367231643</v>
      </c>
      <c r="J37" s="296">
        <f t="shared" si="3"/>
        <v>-339002.92821700295</v>
      </c>
      <c r="K37" s="432">
        <v>22104</v>
      </c>
      <c r="L37" s="10">
        <f t="shared" si="4"/>
        <v>57755.250790960446</v>
      </c>
      <c r="M37" s="14">
        <f t="shared" si="5"/>
        <v>0</v>
      </c>
      <c r="N37" s="2">
        <f t="shared" si="6"/>
        <v>0</v>
      </c>
      <c r="O37" s="135">
        <f t="shared" si="7"/>
        <v>-339002.92821700295</v>
      </c>
      <c r="P37" s="33">
        <f>O37/'D) Ecrêtage'!C37</f>
        <v>-5.869646890531067</v>
      </c>
      <c r="Q37" s="131"/>
    </row>
    <row r="38" spans="1:17" x14ac:dyDescent="0.25">
      <c r="A38" s="49">
        <f>+'A) Base RI'!A40</f>
        <v>5458</v>
      </c>
      <c r="B38" s="427" t="str">
        <f>+'A) Base RI'!B40</f>
        <v>Faoug</v>
      </c>
      <c r="C38" s="299">
        <f>+'D) Ecrêtage'!C38</f>
        <v>33143.605656565654</v>
      </c>
      <c r="D38" s="428">
        <v>176718</v>
      </c>
      <c r="E38" s="430">
        <v>75548</v>
      </c>
      <c r="F38" s="428">
        <v>98511</v>
      </c>
      <c r="G38" s="299">
        <f t="shared" si="0"/>
        <v>350777</v>
      </c>
      <c r="H38" s="277">
        <f t="shared" si="1"/>
        <v>265148.84525252524</v>
      </c>
      <c r="I38" s="10">
        <f t="shared" si="2"/>
        <v>85628.154747474764</v>
      </c>
      <c r="J38" s="296">
        <f t="shared" si="3"/>
        <v>-63682.903050690329</v>
      </c>
      <c r="K38" s="432">
        <v>-23694</v>
      </c>
      <c r="L38" s="10">
        <f t="shared" si="4"/>
        <v>33143.605656565654</v>
      </c>
      <c r="M38" s="14">
        <f t="shared" si="5"/>
        <v>0</v>
      </c>
      <c r="N38" s="2">
        <f t="shared" si="6"/>
        <v>0</v>
      </c>
      <c r="O38" s="135">
        <f t="shared" si="7"/>
        <v>-63682.903050690329</v>
      </c>
      <c r="P38" s="33">
        <f>O38/'D) Ecrêtage'!C38</f>
        <v>-1.9214235080688913</v>
      </c>
      <c r="Q38" s="131"/>
    </row>
    <row r="39" spans="1:17" x14ac:dyDescent="0.25">
      <c r="A39" s="49">
        <f>+'A) Base RI'!A41</f>
        <v>5464</v>
      </c>
      <c r="B39" s="427" t="str">
        <f>+'A) Base RI'!B41</f>
        <v>Vully-les-Lacs</v>
      </c>
      <c r="C39" s="299">
        <f>+'D) Ecrêtage'!C39</f>
        <v>112741.2284079602</v>
      </c>
      <c r="D39" s="428">
        <v>1063792</v>
      </c>
      <c r="E39" s="430">
        <v>158601</v>
      </c>
      <c r="F39" s="428">
        <v>361837</v>
      </c>
      <c r="G39" s="299">
        <f t="shared" si="0"/>
        <v>1584230</v>
      </c>
      <c r="H39" s="277">
        <f t="shared" si="1"/>
        <v>901929.82726368157</v>
      </c>
      <c r="I39" s="10">
        <f t="shared" si="2"/>
        <v>682300.17273631843</v>
      </c>
      <c r="J39" s="296">
        <f t="shared" si="3"/>
        <v>-507436.55378276884</v>
      </c>
      <c r="K39" s="432">
        <v>29933</v>
      </c>
      <c r="L39" s="10">
        <f t="shared" si="4"/>
        <v>112741.2284079602</v>
      </c>
      <c r="M39" s="14">
        <f t="shared" si="5"/>
        <v>0</v>
      </c>
      <c r="N39" s="2">
        <f t="shared" si="6"/>
        <v>0</v>
      </c>
      <c r="O39" s="135">
        <f t="shared" si="7"/>
        <v>-507436.55378276884</v>
      </c>
      <c r="P39" s="33">
        <f>O39/'D) Ecrêtage'!C39</f>
        <v>-4.5008960869805534</v>
      </c>
      <c r="Q39" s="131"/>
    </row>
    <row r="40" spans="1:17" x14ac:dyDescent="0.25">
      <c r="A40" s="49">
        <f>+'A) Base RI'!A42</f>
        <v>5471</v>
      </c>
      <c r="B40" s="427" t="str">
        <f>+'A) Base RI'!B42</f>
        <v>Bettens</v>
      </c>
      <c r="C40" s="299">
        <f>+'D) Ecrêtage'!C40</f>
        <v>21708.019984126982</v>
      </c>
      <c r="D40" s="428">
        <v>104468</v>
      </c>
      <c r="E40" s="430">
        <v>17459</v>
      </c>
      <c r="F40" s="428">
        <v>51836</v>
      </c>
      <c r="G40" s="299">
        <f t="shared" si="0"/>
        <v>173763</v>
      </c>
      <c r="H40" s="277">
        <f t="shared" si="1"/>
        <v>173664.15987301586</v>
      </c>
      <c r="I40" s="10">
        <f t="shared" si="2"/>
        <v>98.840126984141534</v>
      </c>
      <c r="J40" s="296">
        <f t="shared" si="3"/>
        <v>-73.508838802048729</v>
      </c>
      <c r="K40" s="432">
        <v>-243</v>
      </c>
      <c r="L40" s="10">
        <f t="shared" si="4"/>
        <v>21708.019984126982</v>
      </c>
      <c r="M40" s="14">
        <f t="shared" si="5"/>
        <v>0</v>
      </c>
      <c r="N40" s="2">
        <f t="shared" si="6"/>
        <v>0</v>
      </c>
      <c r="O40" s="135">
        <f t="shared" si="7"/>
        <v>-73.508838802048729</v>
      </c>
      <c r="P40" s="33">
        <f>O40/'D) Ecrêtage'!C40</f>
        <v>-3.3862525857171117E-3</v>
      </c>
      <c r="Q40" s="131"/>
    </row>
    <row r="41" spans="1:17" x14ac:dyDescent="0.25">
      <c r="A41" s="49">
        <f>+'A) Base RI'!A43</f>
        <v>5472</v>
      </c>
      <c r="B41" s="427" t="str">
        <f>+'A) Base RI'!B43</f>
        <v>Bournens</v>
      </c>
      <c r="C41" s="299">
        <f>+'D) Ecrêtage'!C41</f>
        <v>15065.660131578947</v>
      </c>
      <c r="D41" s="428">
        <v>54478</v>
      </c>
      <c r="E41" s="430">
        <v>11915</v>
      </c>
      <c r="F41" s="428">
        <v>19987</v>
      </c>
      <c r="G41" s="299">
        <f t="shared" si="0"/>
        <v>86380</v>
      </c>
      <c r="H41" s="277">
        <f t="shared" si="1"/>
        <v>120525.28105263157</v>
      </c>
      <c r="I41" s="10">
        <f t="shared" si="2"/>
        <v>0</v>
      </c>
      <c r="J41" s="296">
        <f t="shared" si="3"/>
        <v>0</v>
      </c>
      <c r="K41" s="432">
        <v>21273</v>
      </c>
      <c r="L41" s="10">
        <f t="shared" si="4"/>
        <v>15065.660131578947</v>
      </c>
      <c r="M41" s="14">
        <f t="shared" si="5"/>
        <v>6207.3398684210533</v>
      </c>
      <c r="N41" s="2">
        <f t="shared" si="6"/>
        <v>-4616.4888664145892</v>
      </c>
      <c r="O41" s="135">
        <f t="shared" si="7"/>
        <v>-4616.4888664145892</v>
      </c>
      <c r="P41" s="33">
        <f>O41/'D) Ecrêtage'!C41</f>
        <v>-0.30642459912778885</v>
      </c>
      <c r="Q41" s="131"/>
    </row>
    <row r="42" spans="1:17" x14ac:dyDescent="0.25">
      <c r="A42" s="49">
        <f>+'A) Base RI'!A44</f>
        <v>5473</v>
      </c>
      <c r="B42" s="427" t="str">
        <f>+'A) Base RI'!B44</f>
        <v>Boussens</v>
      </c>
      <c r="C42" s="299">
        <f>+'D) Ecrêtage'!C42</f>
        <v>34350.684492753629</v>
      </c>
      <c r="D42" s="428">
        <v>52940</v>
      </c>
      <c r="E42" s="430">
        <v>42823</v>
      </c>
      <c r="F42" s="428">
        <v>45234</v>
      </c>
      <c r="G42" s="299">
        <f t="shared" si="0"/>
        <v>140997</v>
      </c>
      <c r="H42" s="277">
        <f t="shared" si="1"/>
        <v>274805.47594202904</v>
      </c>
      <c r="I42" s="10">
        <f t="shared" si="2"/>
        <v>0</v>
      </c>
      <c r="J42" s="296">
        <f t="shared" si="3"/>
        <v>0</v>
      </c>
      <c r="K42" s="432">
        <v>12774</v>
      </c>
      <c r="L42" s="10">
        <f t="shared" si="4"/>
        <v>34350.684492753629</v>
      </c>
      <c r="M42" s="14">
        <f t="shared" si="5"/>
        <v>0</v>
      </c>
      <c r="N42" s="2">
        <f t="shared" si="6"/>
        <v>0</v>
      </c>
      <c r="O42" s="135">
        <f t="shared" si="7"/>
        <v>0</v>
      </c>
      <c r="P42" s="33">
        <f>O42/'D) Ecrêtage'!C42</f>
        <v>0</v>
      </c>
      <c r="Q42" s="131"/>
    </row>
    <row r="43" spans="1:17" x14ac:dyDescent="0.25">
      <c r="A43" s="49">
        <f>+'A) Base RI'!A45</f>
        <v>5474</v>
      </c>
      <c r="B43" s="427" t="str">
        <f>+'A) Base RI'!B45</f>
        <v>La Chaux (Cossonay)</v>
      </c>
      <c r="C43" s="299">
        <f>+'D) Ecrêtage'!C43</f>
        <v>15323.423073593074</v>
      </c>
      <c r="D43" s="428">
        <v>256195</v>
      </c>
      <c r="E43" s="430">
        <v>14036</v>
      </c>
      <c r="F43" s="428">
        <v>53560</v>
      </c>
      <c r="G43" s="299">
        <f t="shared" si="0"/>
        <v>323791</v>
      </c>
      <c r="H43" s="277">
        <f t="shared" si="1"/>
        <v>122587.38458874459</v>
      </c>
      <c r="I43" s="10">
        <f t="shared" si="2"/>
        <v>201203.61541125539</v>
      </c>
      <c r="J43" s="296">
        <f t="shared" si="3"/>
        <v>-149638.05271140952</v>
      </c>
      <c r="K43" s="432">
        <v>-27100</v>
      </c>
      <c r="L43" s="10">
        <f t="shared" si="4"/>
        <v>15323.423073593074</v>
      </c>
      <c r="M43" s="14">
        <f t="shared" si="5"/>
        <v>0</v>
      </c>
      <c r="N43" s="2">
        <f t="shared" si="6"/>
        <v>0</v>
      </c>
      <c r="O43" s="135">
        <f t="shared" si="7"/>
        <v>-149638.05271140952</v>
      </c>
      <c r="P43" s="33">
        <f>O43/'D) Ecrêtage'!C43</f>
        <v>-9.7653149686431</v>
      </c>
      <c r="Q43" s="131"/>
    </row>
    <row r="44" spans="1:17" x14ac:dyDescent="0.25">
      <c r="A44" s="49">
        <f>+'A) Base RI'!A46</f>
        <v>5475</v>
      </c>
      <c r="B44" s="427" t="str">
        <f>+'A) Base RI'!B46</f>
        <v>Chavannes-le-Veyron</v>
      </c>
      <c r="C44" s="299">
        <f>+'D) Ecrêtage'!C44</f>
        <v>3045.9346753246755</v>
      </c>
      <c r="D44" s="428">
        <v>19362</v>
      </c>
      <c r="E44" s="430">
        <v>4861</v>
      </c>
      <c r="F44" s="428">
        <v>24445</v>
      </c>
      <c r="G44" s="299">
        <f t="shared" si="0"/>
        <v>48668</v>
      </c>
      <c r="H44" s="277">
        <f t="shared" si="1"/>
        <v>24367.477402597404</v>
      </c>
      <c r="I44" s="10">
        <f t="shared" si="2"/>
        <v>24300.522597402596</v>
      </c>
      <c r="J44" s="296">
        <f t="shared" si="3"/>
        <v>-18072.651795607409</v>
      </c>
      <c r="K44" s="432">
        <v>1795</v>
      </c>
      <c r="L44" s="10">
        <f t="shared" si="4"/>
        <v>3045.9346753246755</v>
      </c>
      <c r="M44" s="14">
        <f t="shared" si="5"/>
        <v>0</v>
      </c>
      <c r="N44" s="2">
        <f t="shared" si="6"/>
        <v>0</v>
      </c>
      <c r="O44" s="135">
        <f t="shared" si="7"/>
        <v>-18072.651795607409</v>
      </c>
      <c r="P44" s="33">
        <f>O44/'D) Ecrêtage'!C44</f>
        <v>-5.9333681519880237</v>
      </c>
      <c r="Q44" s="131"/>
    </row>
    <row r="45" spans="1:17" x14ac:dyDescent="0.25">
      <c r="A45" s="49">
        <f>+'A) Base RI'!A47</f>
        <v>5476</v>
      </c>
      <c r="B45" s="427" t="str">
        <f>+'A) Base RI'!B47</f>
        <v>Chevilly</v>
      </c>
      <c r="C45" s="299">
        <f>+'D) Ecrêtage'!C45</f>
        <v>12632.544999999996</v>
      </c>
      <c r="D45" s="428">
        <v>26557</v>
      </c>
      <c r="E45" s="430">
        <v>31420</v>
      </c>
      <c r="F45" s="428">
        <v>57226</v>
      </c>
      <c r="G45" s="299">
        <f t="shared" si="0"/>
        <v>115203</v>
      </c>
      <c r="H45" s="277">
        <f t="shared" si="1"/>
        <v>101060.35999999997</v>
      </c>
      <c r="I45" s="10">
        <f t="shared" si="2"/>
        <v>14142.640000000029</v>
      </c>
      <c r="J45" s="296">
        <f t="shared" si="3"/>
        <v>-10518.086891594234</v>
      </c>
      <c r="K45" s="432">
        <v>3789</v>
      </c>
      <c r="L45" s="10">
        <f t="shared" si="4"/>
        <v>12632.544999999996</v>
      </c>
      <c r="M45" s="14">
        <f t="shared" si="5"/>
        <v>0</v>
      </c>
      <c r="N45" s="2">
        <f t="shared" si="6"/>
        <v>0</v>
      </c>
      <c r="O45" s="135">
        <f t="shared" si="7"/>
        <v>-10518.086891594234</v>
      </c>
      <c r="P45" s="33">
        <f>O45/'D) Ecrêtage'!C45</f>
        <v>-0.83261820097171524</v>
      </c>
      <c r="Q45" s="131"/>
    </row>
    <row r="46" spans="1:17" x14ac:dyDescent="0.25">
      <c r="A46" s="49">
        <f>+'A) Base RI'!A48</f>
        <v>5477</v>
      </c>
      <c r="B46" s="427" t="str">
        <f>+'A) Base RI'!B48</f>
        <v>Cossonay</v>
      </c>
      <c r="C46" s="299">
        <f>+'D) Ecrêtage'!C46</f>
        <v>144389.2549295775</v>
      </c>
      <c r="D46" s="428">
        <v>1090386</v>
      </c>
      <c r="E46" s="430">
        <v>352859</v>
      </c>
      <c r="F46" s="428">
        <v>446261</v>
      </c>
      <c r="G46" s="299">
        <f t="shared" si="0"/>
        <v>1889506</v>
      </c>
      <c r="H46" s="277">
        <f t="shared" si="1"/>
        <v>1155114.03943662</v>
      </c>
      <c r="I46" s="10">
        <f t="shared" si="2"/>
        <v>734391.96056338004</v>
      </c>
      <c r="J46" s="296">
        <f t="shared" si="3"/>
        <v>-546177.97339774342</v>
      </c>
      <c r="K46" s="432">
        <v>18099</v>
      </c>
      <c r="L46" s="10">
        <f t="shared" si="4"/>
        <v>144389.2549295775</v>
      </c>
      <c r="M46" s="14">
        <f t="shared" si="5"/>
        <v>0</v>
      </c>
      <c r="N46" s="2">
        <f t="shared" si="6"/>
        <v>0</v>
      </c>
      <c r="O46" s="135">
        <f t="shared" si="7"/>
        <v>-546177.97339774342</v>
      </c>
      <c r="P46" s="33">
        <f>O46/'D) Ecrêtage'!C46</f>
        <v>-3.7826774136630115</v>
      </c>
      <c r="Q46" s="131"/>
    </row>
    <row r="47" spans="1:17" x14ac:dyDescent="0.25">
      <c r="A47" s="49">
        <f>+'A) Base RI'!A49</f>
        <v>5478</v>
      </c>
      <c r="B47" s="427" t="str">
        <f>+'A) Base RI'!B49</f>
        <v>Cottens</v>
      </c>
      <c r="C47" s="299">
        <f>+'D) Ecrêtage'!C47</f>
        <v>17566.345945945945</v>
      </c>
      <c r="D47" s="428">
        <v>781026</v>
      </c>
      <c r="E47" s="430">
        <v>16638</v>
      </c>
      <c r="F47" s="428">
        <v>79438</v>
      </c>
      <c r="G47" s="299">
        <f t="shared" si="0"/>
        <v>877102</v>
      </c>
      <c r="H47" s="277">
        <f t="shared" si="1"/>
        <v>140530.76756756756</v>
      </c>
      <c r="I47" s="10">
        <f t="shared" si="2"/>
        <v>736571.23243243247</v>
      </c>
      <c r="J47" s="296">
        <f t="shared" si="3"/>
        <v>-547798.72955636017</v>
      </c>
      <c r="K47" s="432">
        <v>5170</v>
      </c>
      <c r="L47" s="10">
        <f t="shared" si="4"/>
        <v>17566.345945945945</v>
      </c>
      <c r="M47" s="14">
        <f t="shared" si="5"/>
        <v>0</v>
      </c>
      <c r="N47" s="2">
        <f t="shared" si="6"/>
        <v>0</v>
      </c>
      <c r="O47" s="135">
        <f t="shared" si="7"/>
        <v>-547798.72955636017</v>
      </c>
      <c r="P47" s="33">
        <f>O47/'D) Ecrêtage'!C47</f>
        <v>-31.184557747069992</v>
      </c>
      <c r="Q47" s="131"/>
    </row>
    <row r="48" spans="1:17" x14ac:dyDescent="0.25">
      <c r="A48" s="49">
        <f>+'A) Base RI'!A50</f>
        <v>5479</v>
      </c>
      <c r="B48" s="427" t="str">
        <f>+'A) Base RI'!B50</f>
        <v>Cuarnens</v>
      </c>
      <c r="C48" s="299">
        <f>+'D) Ecrêtage'!C48</f>
        <v>17277.023636363636</v>
      </c>
      <c r="D48" s="428">
        <v>384109</v>
      </c>
      <c r="E48" s="430">
        <v>16398</v>
      </c>
      <c r="F48" s="428">
        <v>94541</v>
      </c>
      <c r="G48" s="299">
        <f t="shared" si="0"/>
        <v>495048</v>
      </c>
      <c r="H48" s="277">
        <f t="shared" si="1"/>
        <v>138216.18909090909</v>
      </c>
      <c r="I48" s="10">
        <f t="shared" si="2"/>
        <v>356831.81090909091</v>
      </c>
      <c r="J48" s="296">
        <f t="shared" si="3"/>
        <v>-265381.00332234532</v>
      </c>
      <c r="K48" s="432">
        <v>67532</v>
      </c>
      <c r="L48" s="10">
        <f t="shared" si="4"/>
        <v>17277.023636363636</v>
      </c>
      <c r="M48" s="14">
        <f t="shared" si="5"/>
        <v>50254.976363636364</v>
      </c>
      <c r="N48" s="2">
        <f t="shared" si="6"/>
        <v>-37375.356236723877</v>
      </c>
      <c r="O48" s="135">
        <f t="shared" si="7"/>
        <v>-302756.35955906921</v>
      </c>
      <c r="P48" s="33">
        <f>O48/'D) Ecrêtage'!C48</f>
        <v>-17.523640988824365</v>
      </c>
      <c r="Q48" s="131"/>
    </row>
    <row r="49" spans="1:17" x14ac:dyDescent="0.25">
      <c r="A49" s="49">
        <f>+'A) Base RI'!A51</f>
        <v>5480</v>
      </c>
      <c r="B49" s="427" t="str">
        <f>+'A) Base RI'!B51</f>
        <v>Daillens</v>
      </c>
      <c r="C49" s="299">
        <f>+'D) Ecrêtage'!C49</f>
        <v>40568.804343434349</v>
      </c>
      <c r="D49" s="428">
        <v>714871</v>
      </c>
      <c r="E49" s="430">
        <v>75605</v>
      </c>
      <c r="F49" s="428">
        <v>102803</v>
      </c>
      <c r="G49" s="299">
        <f t="shared" si="0"/>
        <v>893279</v>
      </c>
      <c r="H49" s="277">
        <f t="shared" si="1"/>
        <v>324550.43474747479</v>
      </c>
      <c r="I49" s="10">
        <f t="shared" si="2"/>
        <v>568728.56525252527</v>
      </c>
      <c r="J49" s="296">
        <f t="shared" si="3"/>
        <v>-422971.69885239034</v>
      </c>
      <c r="K49" s="432">
        <v>8715</v>
      </c>
      <c r="L49" s="10">
        <f t="shared" si="4"/>
        <v>40568.804343434349</v>
      </c>
      <c r="M49" s="14">
        <f t="shared" si="5"/>
        <v>0</v>
      </c>
      <c r="N49" s="2">
        <f t="shared" si="6"/>
        <v>0</v>
      </c>
      <c r="O49" s="135">
        <f t="shared" si="7"/>
        <v>-422971.69885239034</v>
      </c>
      <c r="P49" s="33">
        <f>O49/'D) Ecrêtage'!C49</f>
        <v>-10.426033147827884</v>
      </c>
      <c r="Q49" s="131"/>
    </row>
    <row r="50" spans="1:17" x14ac:dyDescent="0.25">
      <c r="A50" s="49">
        <f>+'A) Base RI'!A52</f>
        <v>5481</v>
      </c>
      <c r="B50" s="427" t="str">
        <f>+'A) Base RI'!B52</f>
        <v>Dizy</v>
      </c>
      <c r="C50" s="299">
        <f>+'D) Ecrêtage'!C50</f>
        <v>9658.8267088607608</v>
      </c>
      <c r="D50" s="428">
        <v>68341</v>
      </c>
      <c r="E50" s="430">
        <v>0</v>
      </c>
      <c r="F50" s="428">
        <v>28120</v>
      </c>
      <c r="G50" s="299">
        <f t="shared" si="0"/>
        <v>96461</v>
      </c>
      <c r="H50" s="277">
        <f t="shared" si="1"/>
        <v>77270.613670886087</v>
      </c>
      <c r="I50" s="10">
        <f t="shared" si="2"/>
        <v>19190.386329113913</v>
      </c>
      <c r="J50" s="296">
        <f t="shared" si="3"/>
        <v>-14272.169191387311</v>
      </c>
      <c r="K50" s="432">
        <v>3763</v>
      </c>
      <c r="L50" s="10">
        <f t="shared" si="4"/>
        <v>9658.8267088607608</v>
      </c>
      <c r="M50" s="14">
        <f t="shared" si="5"/>
        <v>0</v>
      </c>
      <c r="N50" s="2">
        <f t="shared" si="6"/>
        <v>0</v>
      </c>
      <c r="O50" s="135">
        <f t="shared" si="7"/>
        <v>-14272.169191387311</v>
      </c>
      <c r="P50" s="33">
        <f>O50/'D) Ecrêtage'!C50</f>
        <v>-1.4776296978487446</v>
      </c>
      <c r="Q50" s="131"/>
    </row>
    <row r="51" spans="1:17" x14ac:dyDescent="0.25">
      <c r="A51" s="49">
        <f>+'A) Base RI'!A53</f>
        <v>5482</v>
      </c>
      <c r="B51" s="427" t="str">
        <f>+'A) Base RI'!B53</f>
        <v>Eclépens</v>
      </c>
      <c r="C51" s="299">
        <f>+'D) Ecrêtage'!C51</f>
        <v>60116.695217391316</v>
      </c>
      <c r="D51" s="428">
        <v>232225</v>
      </c>
      <c r="E51" s="430">
        <v>103644</v>
      </c>
      <c r="F51" s="428">
        <v>208034</v>
      </c>
      <c r="G51" s="299">
        <f t="shared" si="0"/>
        <v>543903</v>
      </c>
      <c r="H51" s="277">
        <f t="shared" si="1"/>
        <v>480933.56173913053</v>
      </c>
      <c r="I51" s="10">
        <f t="shared" si="2"/>
        <v>62969.438260869472</v>
      </c>
      <c r="J51" s="296">
        <f t="shared" si="3"/>
        <v>-46831.286318728489</v>
      </c>
      <c r="K51" s="432">
        <v>78934</v>
      </c>
      <c r="L51" s="10">
        <f t="shared" si="4"/>
        <v>60116.695217391316</v>
      </c>
      <c r="M51" s="14">
        <f t="shared" si="5"/>
        <v>18817.304782608684</v>
      </c>
      <c r="N51" s="2">
        <f t="shared" si="6"/>
        <v>-13994.7030235578</v>
      </c>
      <c r="O51" s="135">
        <f t="shared" si="7"/>
        <v>-60825.989342286288</v>
      </c>
      <c r="P51" s="33">
        <f>O51/'D) Ecrêtage'!C51</f>
        <v>-1.0117986213701544</v>
      </c>
      <c r="Q51" s="131"/>
    </row>
    <row r="52" spans="1:17" x14ac:dyDescent="0.25">
      <c r="A52" s="49">
        <f>+'A) Base RI'!A54</f>
        <v>5483</v>
      </c>
      <c r="B52" s="427" t="str">
        <f>+'A) Base RI'!B54</f>
        <v>Ferreyres</v>
      </c>
      <c r="C52" s="299">
        <f>+'D) Ecrêtage'!C52</f>
        <v>11167.980394736842</v>
      </c>
      <c r="D52" s="428">
        <v>22208</v>
      </c>
      <c r="E52" s="430">
        <v>10613</v>
      </c>
      <c r="F52" s="428">
        <v>59110</v>
      </c>
      <c r="G52" s="299">
        <f t="shared" si="0"/>
        <v>91931</v>
      </c>
      <c r="H52" s="277">
        <f t="shared" si="1"/>
        <v>89343.843157894735</v>
      </c>
      <c r="I52" s="10">
        <f t="shared" si="2"/>
        <v>2587.1568421052652</v>
      </c>
      <c r="J52" s="296">
        <f t="shared" si="3"/>
        <v>-1924.1061405399323</v>
      </c>
      <c r="K52" s="432">
        <v>4370</v>
      </c>
      <c r="L52" s="10">
        <f t="shared" si="4"/>
        <v>11167.980394736842</v>
      </c>
      <c r="M52" s="14">
        <f t="shared" si="5"/>
        <v>0</v>
      </c>
      <c r="N52" s="2">
        <f t="shared" si="6"/>
        <v>0</v>
      </c>
      <c r="O52" s="135">
        <f t="shared" si="7"/>
        <v>-1924.1061405399323</v>
      </c>
      <c r="P52" s="33">
        <f>O52/'D) Ecrêtage'!C52</f>
        <v>-0.17228774339957742</v>
      </c>
      <c r="Q52" s="131"/>
    </row>
    <row r="53" spans="1:17" x14ac:dyDescent="0.25">
      <c r="A53" s="49">
        <f>+'A) Base RI'!A55</f>
        <v>5484</v>
      </c>
      <c r="B53" s="427" t="str">
        <f>+'A) Base RI'!B55</f>
        <v>Gollion</v>
      </c>
      <c r="C53" s="299">
        <f>+'D) Ecrêtage'!C53</f>
        <v>33995.543783783789</v>
      </c>
      <c r="D53" s="428">
        <v>278331</v>
      </c>
      <c r="E53" s="430">
        <v>63566</v>
      </c>
      <c r="F53" s="428">
        <v>51860</v>
      </c>
      <c r="G53" s="299">
        <f t="shared" si="0"/>
        <v>393757</v>
      </c>
      <c r="H53" s="277">
        <f t="shared" si="1"/>
        <v>271964.35027027031</v>
      </c>
      <c r="I53" s="10">
        <f t="shared" si="2"/>
        <v>121792.64972972969</v>
      </c>
      <c r="J53" s="296">
        <f t="shared" si="3"/>
        <v>-90578.963518465811</v>
      </c>
      <c r="K53" s="432">
        <v>71267</v>
      </c>
      <c r="L53" s="10">
        <f t="shared" si="4"/>
        <v>33995.543783783789</v>
      </c>
      <c r="M53" s="14">
        <f t="shared" si="5"/>
        <v>37271.456216216211</v>
      </c>
      <c r="N53" s="2">
        <f t="shared" si="6"/>
        <v>-27719.323624048364</v>
      </c>
      <c r="O53" s="135">
        <f t="shared" si="7"/>
        <v>-118298.28714251418</v>
      </c>
      <c r="P53" s="33">
        <f>O53/'D) Ecrêtage'!C53</f>
        <v>-3.4798174694573833</v>
      </c>
      <c r="Q53" s="131"/>
    </row>
    <row r="54" spans="1:17" x14ac:dyDescent="0.25">
      <c r="A54" s="49">
        <f>+'A) Base RI'!A56</f>
        <v>5485</v>
      </c>
      <c r="B54" s="427" t="str">
        <f>+'A) Base RI'!B56</f>
        <v>Grancy</v>
      </c>
      <c r="C54" s="299">
        <f>+'D) Ecrêtage'!C54</f>
        <v>16957.048857142858</v>
      </c>
      <c r="D54" s="428">
        <v>-91653</v>
      </c>
      <c r="E54" s="430">
        <v>13625</v>
      </c>
      <c r="F54" s="428">
        <v>47373</v>
      </c>
      <c r="G54" s="299">
        <f t="shared" si="0"/>
        <v>-30655</v>
      </c>
      <c r="H54" s="277">
        <f t="shared" si="1"/>
        <v>135656.39085714286</v>
      </c>
      <c r="I54" s="10">
        <f t="shared" si="2"/>
        <v>0</v>
      </c>
      <c r="J54" s="296">
        <f t="shared" si="3"/>
        <v>0</v>
      </c>
      <c r="K54" s="432">
        <v>55810</v>
      </c>
      <c r="L54" s="10">
        <f t="shared" si="4"/>
        <v>16957.048857142858</v>
      </c>
      <c r="M54" s="14">
        <f t="shared" si="5"/>
        <v>38852.951142857142</v>
      </c>
      <c r="N54" s="2">
        <f t="shared" si="6"/>
        <v>-28895.504383582986</v>
      </c>
      <c r="O54" s="135">
        <f t="shared" si="7"/>
        <v>-28895.504383582986</v>
      </c>
      <c r="P54" s="33">
        <f>O54/'D) Ecrêtage'!C54</f>
        <v>-1.7040408756864118</v>
      </c>
      <c r="Q54" s="131"/>
    </row>
    <row r="55" spans="1:17" x14ac:dyDescent="0.25">
      <c r="A55" s="49">
        <f>+'A) Base RI'!A57</f>
        <v>5486</v>
      </c>
      <c r="B55" s="427" t="str">
        <f>+'A) Base RI'!B57</f>
        <v>L'Isle</v>
      </c>
      <c r="C55" s="299">
        <f>+'D) Ecrêtage'!C55</f>
        <v>35667.648026315794</v>
      </c>
      <c r="D55" s="428">
        <v>349956</v>
      </c>
      <c r="E55" s="430">
        <v>70117</v>
      </c>
      <c r="F55" s="428">
        <v>161648</v>
      </c>
      <c r="G55" s="299">
        <f t="shared" si="0"/>
        <v>581721</v>
      </c>
      <c r="H55" s="277">
        <f t="shared" si="1"/>
        <v>285341.18421052635</v>
      </c>
      <c r="I55" s="10">
        <f t="shared" si="2"/>
        <v>296379.81578947365</v>
      </c>
      <c r="J55" s="296">
        <f t="shared" si="3"/>
        <v>-220421.9760517393</v>
      </c>
      <c r="K55" s="432">
        <v>125535</v>
      </c>
      <c r="L55" s="10">
        <f t="shared" si="4"/>
        <v>35667.648026315794</v>
      </c>
      <c r="M55" s="14">
        <f t="shared" si="5"/>
        <v>89867.351973684214</v>
      </c>
      <c r="N55" s="2">
        <f t="shared" si="6"/>
        <v>-66835.655632660608</v>
      </c>
      <c r="O55" s="135">
        <f t="shared" si="7"/>
        <v>-287257.63168439991</v>
      </c>
      <c r="P55" s="33">
        <f>O55/'D) Ecrêtage'!C55</f>
        <v>-8.0537306937777231</v>
      </c>
      <c r="Q55" s="131"/>
    </row>
    <row r="56" spans="1:17" x14ac:dyDescent="0.25">
      <c r="A56" s="49">
        <f>+'A) Base RI'!A58</f>
        <v>5487</v>
      </c>
      <c r="B56" s="427" t="str">
        <f>+'A) Base RI'!B58</f>
        <v>Lussery-Villars</v>
      </c>
      <c r="C56" s="299">
        <f>+'D) Ecrêtage'!C56</f>
        <v>15504.095066666665</v>
      </c>
      <c r="D56" s="428">
        <v>106547</v>
      </c>
      <c r="E56" s="430">
        <v>34365</v>
      </c>
      <c r="F56" s="428">
        <v>37855</v>
      </c>
      <c r="G56" s="299">
        <f t="shared" si="0"/>
        <v>178767</v>
      </c>
      <c r="H56" s="277">
        <f t="shared" si="1"/>
        <v>124032.76053333332</v>
      </c>
      <c r="I56" s="10">
        <f t="shared" si="2"/>
        <v>54734.239466666681</v>
      </c>
      <c r="J56" s="296">
        <f t="shared" si="3"/>
        <v>-40706.649299969838</v>
      </c>
      <c r="K56" s="432">
        <v>9066</v>
      </c>
      <c r="L56" s="10">
        <f t="shared" si="4"/>
        <v>15504.095066666665</v>
      </c>
      <c r="M56" s="14">
        <f t="shared" si="5"/>
        <v>0</v>
      </c>
      <c r="N56" s="2">
        <f t="shared" si="6"/>
        <v>0</v>
      </c>
      <c r="O56" s="135">
        <f t="shared" si="7"/>
        <v>-40706.649299969838</v>
      </c>
      <c r="P56" s="33">
        <f>O56/'D) Ecrêtage'!C56</f>
        <v>-2.6255417762167816</v>
      </c>
      <c r="Q56" s="131"/>
    </row>
    <row r="57" spans="1:17" x14ac:dyDescent="0.25">
      <c r="A57" s="49">
        <f>+'A) Base RI'!A59</f>
        <v>5488</v>
      </c>
      <c r="B57" s="427" t="str">
        <f>+'A) Base RI'!B59</f>
        <v>Mauraz</v>
      </c>
      <c r="C57" s="299">
        <f>+'D) Ecrêtage'!C57</f>
        <v>1751.8621794871794</v>
      </c>
      <c r="D57" s="428">
        <v>1998</v>
      </c>
      <c r="E57" s="430">
        <v>0</v>
      </c>
      <c r="F57" s="428">
        <v>9413</v>
      </c>
      <c r="G57" s="299">
        <f t="shared" si="0"/>
        <v>11411</v>
      </c>
      <c r="H57" s="277">
        <f t="shared" si="1"/>
        <v>14014.897435897436</v>
      </c>
      <c r="I57" s="10">
        <f t="shared" si="2"/>
        <v>0</v>
      </c>
      <c r="J57" s="296">
        <f t="shared" si="3"/>
        <v>0</v>
      </c>
      <c r="K57" s="432">
        <v>0</v>
      </c>
      <c r="L57" s="10">
        <f t="shared" si="4"/>
        <v>1751.8621794871794</v>
      </c>
      <c r="M57" s="14">
        <f t="shared" si="5"/>
        <v>0</v>
      </c>
      <c r="N57" s="2">
        <f t="shared" si="6"/>
        <v>0</v>
      </c>
      <c r="O57" s="135">
        <f t="shared" si="7"/>
        <v>0</v>
      </c>
      <c r="P57" s="33">
        <f>O57/'D) Ecrêtage'!C57</f>
        <v>0</v>
      </c>
      <c r="Q57" s="131"/>
    </row>
    <row r="58" spans="1:17" x14ac:dyDescent="0.25">
      <c r="A58" s="49">
        <f>+'A) Base RI'!A60</f>
        <v>5489</v>
      </c>
      <c r="B58" s="427" t="str">
        <f>+'A) Base RI'!B60</f>
        <v>Mex</v>
      </c>
      <c r="C58" s="299">
        <f>+'D) Ecrêtage'!C58</f>
        <v>62953.268196721314</v>
      </c>
      <c r="D58" s="428">
        <v>252429</v>
      </c>
      <c r="E58" s="430">
        <v>21382</v>
      </c>
      <c r="F58" s="428">
        <v>56408</v>
      </c>
      <c r="G58" s="299">
        <f t="shared" si="0"/>
        <v>330219</v>
      </c>
      <c r="H58" s="277">
        <f t="shared" si="1"/>
        <v>503626.14557377051</v>
      </c>
      <c r="I58" s="10">
        <f t="shared" si="2"/>
        <v>0</v>
      </c>
      <c r="J58" s="296">
        <f t="shared" si="3"/>
        <v>0</v>
      </c>
      <c r="K58" s="432">
        <v>30702</v>
      </c>
      <c r="L58" s="10">
        <f t="shared" si="4"/>
        <v>62953.268196721314</v>
      </c>
      <c r="M58" s="14">
        <f t="shared" si="5"/>
        <v>0</v>
      </c>
      <c r="N58" s="2">
        <f t="shared" si="6"/>
        <v>0</v>
      </c>
      <c r="O58" s="135">
        <f t="shared" si="7"/>
        <v>0</v>
      </c>
      <c r="P58" s="33">
        <f>O58/'D) Ecrêtage'!C58</f>
        <v>0</v>
      </c>
      <c r="Q58" s="131"/>
    </row>
    <row r="59" spans="1:17" x14ac:dyDescent="0.25">
      <c r="A59" s="49">
        <f>+'A) Base RI'!A61</f>
        <v>5490</v>
      </c>
      <c r="B59" s="427" t="str">
        <f>+'A) Base RI'!B61</f>
        <v>Moiry</v>
      </c>
      <c r="C59" s="299">
        <f>+'D) Ecrêtage'!C59</f>
        <v>8346.3239490445867</v>
      </c>
      <c r="D59" s="428">
        <v>88239</v>
      </c>
      <c r="E59" s="430">
        <v>10612</v>
      </c>
      <c r="F59" s="428">
        <v>53168</v>
      </c>
      <c r="G59" s="299">
        <f t="shared" si="0"/>
        <v>152019</v>
      </c>
      <c r="H59" s="277">
        <f t="shared" si="1"/>
        <v>66770.591592356694</v>
      </c>
      <c r="I59" s="10">
        <f t="shared" si="2"/>
        <v>85248.408407643306</v>
      </c>
      <c r="J59" s="296">
        <f t="shared" si="3"/>
        <v>-63400.480179210026</v>
      </c>
      <c r="K59" s="432">
        <v>-3546</v>
      </c>
      <c r="L59" s="10">
        <f t="shared" si="4"/>
        <v>8346.3239490445867</v>
      </c>
      <c r="M59" s="14">
        <f t="shared" si="5"/>
        <v>0</v>
      </c>
      <c r="N59" s="2">
        <f t="shared" si="6"/>
        <v>0</v>
      </c>
      <c r="O59" s="135">
        <f t="shared" si="7"/>
        <v>-63400.480179210026</v>
      </c>
      <c r="P59" s="33">
        <f>O59/'D) Ecrêtage'!C59</f>
        <v>-7.596216078632744</v>
      </c>
      <c r="Q59" s="131"/>
    </row>
    <row r="60" spans="1:17" x14ac:dyDescent="0.25">
      <c r="A60" s="49">
        <f>+'A) Base RI'!A62</f>
        <v>5491</v>
      </c>
      <c r="B60" s="427" t="str">
        <f>+'A) Base RI'!B62</f>
        <v>Mont-la-Ville</v>
      </c>
      <c r="C60" s="299">
        <f>+'D) Ecrêtage'!C60</f>
        <v>14105.600657894736</v>
      </c>
      <c r="D60" s="428">
        <v>130250</v>
      </c>
      <c r="E60" s="430">
        <v>23495</v>
      </c>
      <c r="F60" s="428">
        <v>80675</v>
      </c>
      <c r="G60" s="299">
        <f t="shared" si="0"/>
        <v>234420</v>
      </c>
      <c r="H60" s="277">
        <f t="shared" si="1"/>
        <v>112844.80526315789</v>
      </c>
      <c r="I60" s="10">
        <f t="shared" si="2"/>
        <v>121575.19473684211</v>
      </c>
      <c r="J60" s="296">
        <f t="shared" si="3"/>
        <v>-90417.239080157073</v>
      </c>
      <c r="K60" s="432">
        <v>22745</v>
      </c>
      <c r="L60" s="10">
        <f t="shared" si="4"/>
        <v>14105.600657894736</v>
      </c>
      <c r="M60" s="14">
        <f t="shared" si="5"/>
        <v>8639.3993421052637</v>
      </c>
      <c r="N60" s="2">
        <f t="shared" si="6"/>
        <v>-6425.2468401546694</v>
      </c>
      <c r="O60" s="135">
        <f t="shared" si="7"/>
        <v>-96842.485920311738</v>
      </c>
      <c r="P60" s="33">
        <f>O60/'D) Ecrêtage'!C60</f>
        <v>-6.8655343553987649</v>
      </c>
      <c r="Q60" s="131"/>
    </row>
    <row r="61" spans="1:17" x14ac:dyDescent="0.25">
      <c r="A61" s="49">
        <f>+'A) Base RI'!A63</f>
        <v>5492</v>
      </c>
      <c r="B61" s="427" t="str">
        <f>+'A) Base RI'!B63</f>
        <v>Montricher</v>
      </c>
      <c r="C61" s="299">
        <f>+'D) Ecrêtage'!C61</f>
        <v>190092.85661458335</v>
      </c>
      <c r="D61" s="428">
        <v>204736</v>
      </c>
      <c r="E61" s="430">
        <v>64361</v>
      </c>
      <c r="F61" s="428">
        <v>135701</v>
      </c>
      <c r="G61" s="299">
        <f t="shared" si="0"/>
        <v>404798</v>
      </c>
      <c r="H61" s="277">
        <f t="shared" si="1"/>
        <v>1520742.8529166668</v>
      </c>
      <c r="I61" s="10">
        <f t="shared" si="2"/>
        <v>0</v>
      </c>
      <c r="J61" s="296">
        <f t="shared" si="3"/>
        <v>0</v>
      </c>
      <c r="K61" s="432">
        <v>382367</v>
      </c>
      <c r="L61" s="10">
        <f t="shared" si="4"/>
        <v>190092.85661458335</v>
      </c>
      <c r="M61" s="14">
        <f t="shared" si="5"/>
        <v>192274.14338541665</v>
      </c>
      <c r="N61" s="2">
        <f t="shared" si="6"/>
        <v>-142997.07460096962</v>
      </c>
      <c r="O61" s="135">
        <f t="shared" si="7"/>
        <v>-142997.07460096962</v>
      </c>
      <c r="P61" s="33">
        <f>O61/'D) Ecrêtage'!C61</f>
        <v>-0.7522485439360761</v>
      </c>
      <c r="Q61" s="131"/>
    </row>
    <row r="62" spans="1:17" x14ac:dyDescent="0.25">
      <c r="A62" s="49">
        <f>+'A) Base RI'!A64</f>
        <v>5493</v>
      </c>
      <c r="B62" s="427" t="str">
        <f>+'A) Base RI'!B64</f>
        <v>Orny</v>
      </c>
      <c r="C62" s="299">
        <f>+'D) Ecrêtage'!C62</f>
        <v>10669.457639620656</v>
      </c>
      <c r="D62" s="428">
        <v>-293201</v>
      </c>
      <c r="E62" s="430">
        <v>0</v>
      </c>
      <c r="F62" s="428">
        <v>66928</v>
      </c>
      <c r="G62" s="299">
        <f t="shared" si="0"/>
        <v>-226273</v>
      </c>
      <c r="H62" s="277">
        <f t="shared" si="1"/>
        <v>85355.661116965246</v>
      </c>
      <c r="I62" s="10">
        <f t="shared" si="2"/>
        <v>0</v>
      </c>
      <c r="J62" s="296">
        <f t="shared" si="3"/>
        <v>0</v>
      </c>
      <c r="K62" s="432">
        <v>9544</v>
      </c>
      <c r="L62" s="10">
        <f t="shared" si="4"/>
        <v>10669.457639620656</v>
      </c>
      <c r="M62" s="14">
        <f t="shared" si="5"/>
        <v>0</v>
      </c>
      <c r="N62" s="2">
        <f t="shared" si="6"/>
        <v>0</v>
      </c>
      <c r="O62" s="135">
        <f t="shared" si="7"/>
        <v>0</v>
      </c>
      <c r="P62" s="33">
        <f>O62/'D) Ecrêtage'!C62</f>
        <v>0</v>
      </c>
      <c r="Q62" s="131"/>
    </row>
    <row r="63" spans="1:17" x14ac:dyDescent="0.25">
      <c r="A63" s="49">
        <f>+'A) Base RI'!A65</f>
        <v>5494</v>
      </c>
      <c r="B63" s="427" t="str">
        <f>+'A) Base RI'!B65</f>
        <v>Pampigny</v>
      </c>
      <c r="C63" s="299">
        <f>+'D) Ecrêtage'!C63</f>
        <v>37008.943269841264</v>
      </c>
      <c r="D63" s="428">
        <v>293055</v>
      </c>
      <c r="E63" s="430">
        <v>76206</v>
      </c>
      <c r="F63" s="428">
        <v>163592</v>
      </c>
      <c r="G63" s="299">
        <f t="shared" si="0"/>
        <v>532853</v>
      </c>
      <c r="H63" s="277">
        <f t="shared" si="1"/>
        <v>296071.54615873011</v>
      </c>
      <c r="I63" s="10">
        <f t="shared" si="2"/>
        <v>236781.45384126989</v>
      </c>
      <c r="J63" s="296">
        <f t="shared" si="3"/>
        <v>-176097.80817587671</v>
      </c>
      <c r="K63" s="432">
        <v>115713</v>
      </c>
      <c r="L63" s="10">
        <f t="shared" si="4"/>
        <v>37008.943269841264</v>
      </c>
      <c r="M63" s="14">
        <f t="shared" si="5"/>
        <v>78704.056730158743</v>
      </c>
      <c r="N63" s="2">
        <f t="shared" si="6"/>
        <v>-58533.350732873776</v>
      </c>
      <c r="O63" s="135">
        <f t="shared" si="7"/>
        <v>-234631.15890875048</v>
      </c>
      <c r="P63" s="33">
        <f>O63/'D) Ecrêtage'!C63</f>
        <v>-6.3398502680283864</v>
      </c>
      <c r="Q63" s="131"/>
    </row>
    <row r="64" spans="1:17" x14ac:dyDescent="0.25">
      <c r="A64" s="49">
        <f>+'A) Base RI'!A66</f>
        <v>5495</v>
      </c>
      <c r="B64" s="427" t="str">
        <f>+'A) Base RI'!B66</f>
        <v>Penthalaz</v>
      </c>
      <c r="C64" s="299">
        <f>+'D) Ecrêtage'!C64</f>
        <v>95334.294459459459</v>
      </c>
      <c r="D64" s="428">
        <v>819212</v>
      </c>
      <c r="E64" s="430">
        <v>408380</v>
      </c>
      <c r="F64" s="428">
        <v>308007</v>
      </c>
      <c r="G64" s="299">
        <f t="shared" si="0"/>
        <v>1535599</v>
      </c>
      <c r="H64" s="277">
        <f t="shared" si="1"/>
        <v>762674.35567567567</v>
      </c>
      <c r="I64" s="10">
        <f t="shared" si="2"/>
        <v>772924.64432432433</v>
      </c>
      <c r="J64" s="296">
        <f t="shared" si="3"/>
        <v>-574835.29027520993</v>
      </c>
      <c r="K64" s="432">
        <v>73928</v>
      </c>
      <c r="L64" s="10">
        <f t="shared" si="4"/>
        <v>95334.294459459459</v>
      </c>
      <c r="M64" s="14">
        <f t="shared" si="5"/>
        <v>0</v>
      </c>
      <c r="N64" s="2">
        <f t="shared" si="6"/>
        <v>0</v>
      </c>
      <c r="O64" s="135">
        <f t="shared" si="7"/>
        <v>-574835.29027520993</v>
      </c>
      <c r="P64" s="33">
        <f>O64/'D) Ecrêtage'!C64</f>
        <v>-6.0296800174008363</v>
      </c>
      <c r="Q64" s="131"/>
    </row>
    <row r="65" spans="1:17" x14ac:dyDescent="0.25">
      <c r="A65" s="49">
        <f>+'A) Base RI'!A67</f>
        <v>5496</v>
      </c>
      <c r="B65" s="427" t="str">
        <f>+'A) Base RI'!B67</f>
        <v>Penthaz</v>
      </c>
      <c r="C65" s="299">
        <f>+'D) Ecrêtage'!C65</f>
        <v>59470.759859154932</v>
      </c>
      <c r="D65" s="428">
        <v>500994</v>
      </c>
      <c r="E65" s="430">
        <v>128652</v>
      </c>
      <c r="F65" s="428">
        <v>171331</v>
      </c>
      <c r="G65" s="299">
        <f t="shared" si="0"/>
        <v>800977</v>
      </c>
      <c r="H65" s="277">
        <f t="shared" si="1"/>
        <v>475766.07887323946</v>
      </c>
      <c r="I65" s="10">
        <f t="shared" si="2"/>
        <v>325210.92112676054</v>
      </c>
      <c r="J65" s="296">
        <f t="shared" si="3"/>
        <v>-241864.08807030792</v>
      </c>
      <c r="K65" s="432">
        <v>81976</v>
      </c>
      <c r="L65" s="10">
        <f t="shared" si="4"/>
        <v>59470.759859154932</v>
      </c>
      <c r="M65" s="14">
        <f t="shared" si="5"/>
        <v>22505.240140845068</v>
      </c>
      <c r="N65" s="2">
        <f t="shared" si="6"/>
        <v>-16737.474143271866</v>
      </c>
      <c r="O65" s="135">
        <f t="shared" si="7"/>
        <v>-258601.56221357977</v>
      </c>
      <c r="P65" s="33">
        <f>O65/'D) Ecrêtage'!C65</f>
        <v>-4.3483816723719002</v>
      </c>
      <c r="Q65" s="131"/>
    </row>
    <row r="66" spans="1:17" x14ac:dyDescent="0.25">
      <c r="A66" s="49">
        <f>+'A) Base RI'!A68</f>
        <v>5497</v>
      </c>
      <c r="B66" s="427" t="str">
        <f>+'A) Base RI'!B68</f>
        <v>Pompaples</v>
      </c>
      <c r="C66" s="299">
        <f>+'D) Ecrêtage'!C66</f>
        <v>22300.858484848486</v>
      </c>
      <c r="D66" s="428">
        <v>231068</v>
      </c>
      <c r="E66" s="430">
        <v>28996</v>
      </c>
      <c r="F66" s="428">
        <v>153406</v>
      </c>
      <c r="G66" s="299">
        <f t="shared" si="0"/>
        <v>413470</v>
      </c>
      <c r="H66" s="277">
        <f t="shared" si="1"/>
        <v>178406.86787878789</v>
      </c>
      <c r="I66" s="10">
        <f t="shared" si="2"/>
        <v>235063.13212121211</v>
      </c>
      <c r="J66" s="296">
        <f t="shared" si="3"/>
        <v>-174819.86734168441</v>
      </c>
      <c r="K66" s="432">
        <v>15113</v>
      </c>
      <c r="L66" s="10">
        <f t="shared" si="4"/>
        <v>22300.858484848486</v>
      </c>
      <c r="M66" s="14">
        <f t="shared" si="5"/>
        <v>0</v>
      </c>
      <c r="N66" s="2">
        <f t="shared" si="6"/>
        <v>0</v>
      </c>
      <c r="O66" s="135">
        <f t="shared" si="7"/>
        <v>-174819.86734168441</v>
      </c>
      <c r="P66" s="33">
        <f>O66/'D) Ecrêtage'!C66</f>
        <v>-7.8391541500727184</v>
      </c>
      <c r="Q66" s="131"/>
    </row>
    <row r="67" spans="1:17" x14ac:dyDescent="0.25">
      <c r="A67" s="49">
        <f>+'A) Base RI'!A69</f>
        <v>5498</v>
      </c>
      <c r="B67" s="427" t="str">
        <f>+'A) Base RI'!B69</f>
        <v>La Sarraz</v>
      </c>
      <c r="C67" s="299">
        <f>+'D) Ecrêtage'!C67</f>
        <v>77649.398333333345</v>
      </c>
      <c r="D67" s="428">
        <v>669826</v>
      </c>
      <c r="E67" s="430">
        <v>240490</v>
      </c>
      <c r="F67" s="428">
        <v>472552</v>
      </c>
      <c r="G67" s="299">
        <f t="shared" si="0"/>
        <v>1382868</v>
      </c>
      <c r="H67" s="277">
        <f t="shared" si="1"/>
        <v>621195.18666666676</v>
      </c>
      <c r="I67" s="10">
        <f t="shared" si="2"/>
        <v>761672.81333333324</v>
      </c>
      <c r="J67" s="296">
        <f t="shared" si="3"/>
        <v>-566467.14005341416</v>
      </c>
      <c r="K67" s="432">
        <v>46356</v>
      </c>
      <c r="L67" s="10">
        <f t="shared" si="4"/>
        <v>77649.398333333345</v>
      </c>
      <c r="M67" s="14">
        <f t="shared" si="5"/>
        <v>0</v>
      </c>
      <c r="N67" s="2">
        <f t="shared" si="6"/>
        <v>0</v>
      </c>
      <c r="O67" s="135">
        <f t="shared" si="7"/>
        <v>-566467.14005341416</v>
      </c>
      <c r="P67" s="33">
        <f>O67/'D) Ecrêtage'!C67</f>
        <v>-7.2951903325983798</v>
      </c>
      <c r="Q67" s="131"/>
    </row>
    <row r="68" spans="1:17" x14ac:dyDescent="0.25">
      <c r="A68" s="49">
        <f>+'A) Base RI'!A70</f>
        <v>5499</v>
      </c>
      <c r="B68" s="427" t="str">
        <f>+'A) Base RI'!B70</f>
        <v>Senarclens</v>
      </c>
      <c r="C68" s="299">
        <f>+'D) Ecrêtage'!C68</f>
        <v>19517.373430656935</v>
      </c>
      <c r="D68" s="428">
        <v>44707</v>
      </c>
      <c r="E68" s="430">
        <v>16824</v>
      </c>
      <c r="F68" s="428">
        <v>61113</v>
      </c>
      <c r="G68" s="299">
        <f t="shared" si="0"/>
        <v>122644</v>
      </c>
      <c r="H68" s="277">
        <f t="shared" si="1"/>
        <v>156138.98744525548</v>
      </c>
      <c r="I68" s="10">
        <f t="shared" si="2"/>
        <v>0</v>
      </c>
      <c r="J68" s="296">
        <f t="shared" si="3"/>
        <v>0</v>
      </c>
      <c r="K68" s="432">
        <v>11412</v>
      </c>
      <c r="L68" s="10">
        <f t="shared" si="4"/>
        <v>19517.373430656935</v>
      </c>
      <c r="M68" s="14">
        <f t="shared" si="5"/>
        <v>0</v>
      </c>
      <c r="N68" s="2">
        <f t="shared" si="6"/>
        <v>0</v>
      </c>
      <c r="O68" s="135">
        <f t="shared" si="7"/>
        <v>0</v>
      </c>
      <c r="P68" s="33">
        <f>O68/'D) Ecrêtage'!C68</f>
        <v>0</v>
      </c>
      <c r="Q68" s="131"/>
    </row>
    <row r="69" spans="1:17" x14ac:dyDescent="0.25">
      <c r="A69" s="49">
        <f>+'A) Base RI'!A71</f>
        <v>5500</v>
      </c>
      <c r="B69" s="427" t="str">
        <f>+'A) Base RI'!B71</f>
        <v>Sévery</v>
      </c>
      <c r="C69" s="299">
        <f>+'D) Ecrêtage'!C69</f>
        <v>6999.0248888888891</v>
      </c>
      <c r="D69" s="428">
        <v>36091</v>
      </c>
      <c r="E69" s="430">
        <v>11554</v>
      </c>
      <c r="F69" s="428">
        <v>28599</v>
      </c>
      <c r="G69" s="299">
        <f t="shared" si="0"/>
        <v>76244</v>
      </c>
      <c r="H69" s="277">
        <f t="shared" si="1"/>
        <v>55992.199111111113</v>
      </c>
      <c r="I69" s="10">
        <f t="shared" si="2"/>
        <v>20251.800888888887</v>
      </c>
      <c r="J69" s="296">
        <f t="shared" si="3"/>
        <v>-15061.55862417471</v>
      </c>
      <c r="K69" s="432">
        <v>10675</v>
      </c>
      <c r="L69" s="10">
        <f t="shared" si="4"/>
        <v>6999.0248888888891</v>
      </c>
      <c r="M69" s="14">
        <f t="shared" si="5"/>
        <v>3675.9751111111109</v>
      </c>
      <c r="N69" s="2">
        <f t="shared" si="6"/>
        <v>-2733.8761101183622</v>
      </c>
      <c r="O69" s="135">
        <f t="shared" si="7"/>
        <v>-17795.434734293071</v>
      </c>
      <c r="P69" s="33">
        <f>O69/'D) Ecrêtage'!C69</f>
        <v>-2.5425591445665132</v>
      </c>
      <c r="Q69" s="131"/>
    </row>
    <row r="70" spans="1:17" x14ac:dyDescent="0.25">
      <c r="A70" s="49">
        <f>+'A) Base RI'!A72</f>
        <v>5501</v>
      </c>
      <c r="B70" s="427" t="str">
        <f>+'A) Base RI'!B72</f>
        <v>Sullens</v>
      </c>
      <c r="C70" s="299">
        <f>+'D) Ecrêtage'!C70</f>
        <v>40473.718571428566</v>
      </c>
      <c r="D70" s="428">
        <v>233836</v>
      </c>
      <c r="E70" s="430">
        <v>30554</v>
      </c>
      <c r="F70" s="428">
        <v>41728</v>
      </c>
      <c r="G70" s="299">
        <f t="shared" ref="G70:G133" si="8">SUM(D70:F70)</f>
        <v>306118</v>
      </c>
      <c r="H70" s="277">
        <f t="shared" ref="H70:H133" si="9">+C70*$I$4</f>
        <v>323789.74857142853</v>
      </c>
      <c r="I70" s="10">
        <f t="shared" ref="I70:I133" si="10">IF(G70&gt;H70,G70-H70,0)</f>
        <v>0</v>
      </c>
      <c r="J70" s="296">
        <f t="shared" ref="J70:J133" si="11">-I70*J$4</f>
        <v>0</v>
      </c>
      <c r="K70" s="432">
        <v>48878</v>
      </c>
      <c r="L70" s="10">
        <f t="shared" ref="L70:L133" si="12">C70*M$4</f>
        <v>40473.718571428566</v>
      </c>
      <c r="M70" s="14">
        <f t="shared" ref="M70:M133" si="13">IF(K70&gt;L70,K70-L70,0)</f>
        <v>8404.2814285714339</v>
      </c>
      <c r="N70" s="2">
        <f t="shared" ref="N70:N133" si="14">-M70*N$4</f>
        <v>-6250.386231080327</v>
      </c>
      <c r="O70" s="135">
        <f t="shared" ref="O70:O133" si="15">N70+J70</f>
        <v>-6250.386231080327</v>
      </c>
      <c r="P70" s="33">
        <f>O70/'D) Ecrêtage'!C70</f>
        <v>-0.15443073806152902</v>
      </c>
      <c r="Q70" s="131"/>
    </row>
    <row r="71" spans="1:17" x14ac:dyDescent="0.25">
      <c r="A71" s="49">
        <f>+'A) Base RI'!A73</f>
        <v>5503</v>
      </c>
      <c r="B71" s="427" t="str">
        <f>+'A) Base RI'!B73</f>
        <v>Vufflens-la-Ville</v>
      </c>
      <c r="C71" s="299">
        <f>+'D) Ecrêtage'!C71</f>
        <v>87926.416417910455</v>
      </c>
      <c r="D71" s="428">
        <v>205261</v>
      </c>
      <c r="E71" s="430">
        <v>111090</v>
      </c>
      <c r="F71" s="428">
        <v>128407</v>
      </c>
      <c r="G71" s="299">
        <f t="shared" si="8"/>
        <v>444758</v>
      </c>
      <c r="H71" s="277">
        <f t="shared" si="9"/>
        <v>703411.33134328364</v>
      </c>
      <c r="I71" s="10">
        <f t="shared" si="10"/>
        <v>0</v>
      </c>
      <c r="J71" s="296">
        <f t="shared" si="11"/>
        <v>0</v>
      </c>
      <c r="K71" s="432">
        <v>46515</v>
      </c>
      <c r="L71" s="10">
        <f t="shared" si="12"/>
        <v>87926.416417910455</v>
      </c>
      <c r="M71" s="14">
        <f t="shared" si="13"/>
        <v>0</v>
      </c>
      <c r="N71" s="2">
        <f t="shared" si="14"/>
        <v>0</v>
      </c>
      <c r="O71" s="135">
        <f t="shared" si="15"/>
        <v>0</v>
      </c>
      <c r="P71" s="33">
        <f>O71/'D) Ecrêtage'!C71</f>
        <v>0</v>
      </c>
      <c r="Q71" s="131"/>
    </row>
    <row r="72" spans="1:17" x14ac:dyDescent="0.25">
      <c r="A72" s="49">
        <f>+'A) Base RI'!A74</f>
        <v>5511</v>
      </c>
      <c r="B72" s="427" t="str">
        <f>+'A) Base RI'!B74</f>
        <v>Assens</v>
      </c>
      <c r="C72" s="299">
        <f>+'D) Ecrêtage'!C72</f>
        <v>50067.904428571426</v>
      </c>
      <c r="D72" s="428">
        <v>513668</v>
      </c>
      <c r="E72" s="430">
        <v>79408</v>
      </c>
      <c r="F72" s="428">
        <v>94302</v>
      </c>
      <c r="G72" s="299">
        <f t="shared" si="8"/>
        <v>687378</v>
      </c>
      <c r="H72" s="277">
        <f t="shared" si="9"/>
        <v>400543.23542857141</v>
      </c>
      <c r="I72" s="10">
        <f t="shared" si="10"/>
        <v>286834.76457142859</v>
      </c>
      <c r="J72" s="296">
        <f t="shared" si="11"/>
        <v>-213323.18275033904</v>
      </c>
      <c r="K72" s="432">
        <v>3435</v>
      </c>
      <c r="L72" s="10">
        <f t="shared" si="12"/>
        <v>50067.904428571426</v>
      </c>
      <c r="M72" s="14">
        <f t="shared" si="13"/>
        <v>0</v>
      </c>
      <c r="N72" s="2">
        <f t="shared" si="14"/>
        <v>0</v>
      </c>
      <c r="O72" s="135">
        <f t="shared" si="15"/>
        <v>-213323.18275033904</v>
      </c>
      <c r="P72" s="33">
        <f>O72/'D) Ecrêtage'!C72</f>
        <v>-4.2606772778891342</v>
      </c>
      <c r="Q72" s="131"/>
    </row>
    <row r="73" spans="1:17" x14ac:dyDescent="0.25">
      <c r="A73" s="49">
        <f>+'A) Base RI'!A75</f>
        <v>5512</v>
      </c>
      <c r="B73" s="427" t="str">
        <f>+'A) Base RI'!B75</f>
        <v>Bercher</v>
      </c>
      <c r="C73" s="299">
        <f>+'D) Ecrêtage'!C73</f>
        <v>40005.59860759494</v>
      </c>
      <c r="D73" s="428">
        <v>436921</v>
      </c>
      <c r="E73" s="430">
        <v>91352</v>
      </c>
      <c r="F73" s="428">
        <v>108487</v>
      </c>
      <c r="G73" s="299">
        <f t="shared" si="8"/>
        <v>636760</v>
      </c>
      <c r="H73" s="277">
        <f t="shared" si="9"/>
        <v>320044.78886075952</v>
      </c>
      <c r="I73" s="10">
        <f t="shared" si="10"/>
        <v>316715.21113924048</v>
      </c>
      <c r="J73" s="296">
        <f t="shared" si="11"/>
        <v>-235545.70509127987</v>
      </c>
      <c r="K73" s="432">
        <v>35650</v>
      </c>
      <c r="L73" s="10">
        <f t="shared" si="12"/>
        <v>40005.59860759494</v>
      </c>
      <c r="M73" s="14">
        <f t="shared" si="13"/>
        <v>0</v>
      </c>
      <c r="N73" s="2">
        <f t="shared" si="14"/>
        <v>0</v>
      </c>
      <c r="O73" s="135">
        <f t="shared" si="15"/>
        <v>-235545.70509127987</v>
      </c>
      <c r="P73" s="33">
        <f>O73/'D) Ecrêtage'!C73</f>
        <v>-5.8878185376424348</v>
      </c>
      <c r="Q73" s="131"/>
    </row>
    <row r="74" spans="1:17" x14ac:dyDescent="0.25">
      <c r="A74" s="49">
        <f>+'A) Base RI'!A76</f>
        <v>5513</v>
      </c>
      <c r="B74" s="427" t="str">
        <f>+'A) Base RI'!B76</f>
        <v>Bioley-Orjulaz</v>
      </c>
      <c r="C74" s="299">
        <f>+'D) Ecrêtage'!C74</f>
        <v>22037.146176470589</v>
      </c>
      <c r="D74" s="428">
        <v>96043</v>
      </c>
      <c r="E74" s="430">
        <v>15218</v>
      </c>
      <c r="F74" s="428">
        <v>45181</v>
      </c>
      <c r="G74" s="299">
        <f t="shared" si="8"/>
        <v>156442</v>
      </c>
      <c r="H74" s="277">
        <f t="shared" si="9"/>
        <v>176297.16941176471</v>
      </c>
      <c r="I74" s="10">
        <f t="shared" si="10"/>
        <v>0</v>
      </c>
      <c r="J74" s="296">
        <f t="shared" si="11"/>
        <v>0</v>
      </c>
      <c r="K74" s="432">
        <v>-8476</v>
      </c>
      <c r="L74" s="10">
        <f t="shared" si="12"/>
        <v>22037.146176470589</v>
      </c>
      <c r="M74" s="14">
        <f t="shared" si="13"/>
        <v>0</v>
      </c>
      <c r="N74" s="2">
        <f t="shared" si="14"/>
        <v>0</v>
      </c>
      <c r="O74" s="135">
        <f t="shared" si="15"/>
        <v>0</v>
      </c>
      <c r="P74" s="33">
        <f>O74/'D) Ecrêtage'!C74</f>
        <v>0</v>
      </c>
      <c r="Q74" s="131"/>
    </row>
    <row r="75" spans="1:17" x14ac:dyDescent="0.25">
      <c r="A75" s="49">
        <f>+'A) Base RI'!A77</f>
        <v>5514</v>
      </c>
      <c r="B75" s="427" t="str">
        <f>+'A) Base RI'!B77</f>
        <v>Bottens</v>
      </c>
      <c r="C75" s="299">
        <f>+'D) Ecrêtage'!C75</f>
        <v>40784.156621621616</v>
      </c>
      <c r="D75" s="428">
        <v>134329</v>
      </c>
      <c r="E75" s="430">
        <v>57421</v>
      </c>
      <c r="F75" s="428">
        <v>113653</v>
      </c>
      <c r="G75" s="299">
        <f t="shared" si="8"/>
        <v>305403</v>
      </c>
      <c r="H75" s="277">
        <f t="shared" si="9"/>
        <v>326273.25297297293</v>
      </c>
      <c r="I75" s="10">
        <f t="shared" si="10"/>
        <v>0</v>
      </c>
      <c r="J75" s="296">
        <f t="shared" si="11"/>
        <v>0</v>
      </c>
      <c r="K75" s="432">
        <v>19851</v>
      </c>
      <c r="L75" s="10">
        <f t="shared" si="12"/>
        <v>40784.156621621616</v>
      </c>
      <c r="M75" s="14">
        <f t="shared" si="13"/>
        <v>0</v>
      </c>
      <c r="N75" s="2">
        <f t="shared" si="14"/>
        <v>0</v>
      </c>
      <c r="O75" s="135">
        <f t="shared" si="15"/>
        <v>0</v>
      </c>
      <c r="P75" s="33">
        <f>O75/'D) Ecrêtage'!C75</f>
        <v>0</v>
      </c>
      <c r="Q75" s="131"/>
    </row>
    <row r="76" spans="1:17" x14ac:dyDescent="0.25">
      <c r="A76" s="49">
        <f>+'A) Base RI'!A78</f>
        <v>5515</v>
      </c>
      <c r="B76" s="427" t="str">
        <f>+'A) Base RI'!B78</f>
        <v>Bretigny-sur-Morrens</v>
      </c>
      <c r="C76" s="299">
        <f>+'D) Ecrêtage'!C76</f>
        <v>28825.846790123462</v>
      </c>
      <c r="D76" s="428">
        <v>214345</v>
      </c>
      <c r="E76" s="430">
        <v>37293</v>
      </c>
      <c r="F76" s="428">
        <v>50610</v>
      </c>
      <c r="G76" s="299">
        <f t="shared" si="8"/>
        <v>302248</v>
      </c>
      <c r="H76" s="277">
        <f t="shared" si="9"/>
        <v>230606.77432098769</v>
      </c>
      <c r="I76" s="10">
        <f t="shared" si="10"/>
        <v>71641.225679012307</v>
      </c>
      <c r="J76" s="296">
        <f t="shared" si="11"/>
        <v>-53280.620641702117</v>
      </c>
      <c r="K76" s="432">
        <v>36528</v>
      </c>
      <c r="L76" s="10">
        <f t="shared" si="12"/>
        <v>28825.846790123462</v>
      </c>
      <c r="M76" s="14">
        <f t="shared" si="13"/>
        <v>7702.1532098765383</v>
      </c>
      <c r="N76" s="2">
        <f t="shared" si="14"/>
        <v>-5728.203271373146</v>
      </c>
      <c r="O76" s="135">
        <f t="shared" si="15"/>
        <v>-59008.823913075263</v>
      </c>
      <c r="P76" s="33">
        <f>O76/'D) Ecrêtage'!C76</f>
        <v>-2.047080328384085</v>
      </c>
      <c r="Q76" s="131"/>
    </row>
    <row r="77" spans="1:17" x14ac:dyDescent="0.25">
      <c r="A77" s="49">
        <f>+'A) Base RI'!A79</f>
        <v>5516</v>
      </c>
      <c r="B77" s="427" t="str">
        <f>+'A) Base RI'!B79</f>
        <v>Cugy</v>
      </c>
      <c r="C77" s="299">
        <f>+'D) Ecrêtage'!C77</f>
        <v>111163.080491453</v>
      </c>
      <c r="D77" s="428">
        <v>837580</v>
      </c>
      <c r="E77" s="430">
        <v>121301</v>
      </c>
      <c r="F77" s="428">
        <v>199472</v>
      </c>
      <c r="G77" s="299">
        <f t="shared" si="8"/>
        <v>1158353</v>
      </c>
      <c r="H77" s="277">
        <f t="shared" si="9"/>
        <v>889304.64393162401</v>
      </c>
      <c r="I77" s="10">
        <f t="shared" si="10"/>
        <v>269048.35606837599</v>
      </c>
      <c r="J77" s="296">
        <f t="shared" si="11"/>
        <v>-200095.17227107228</v>
      </c>
      <c r="K77" s="432">
        <v>1032</v>
      </c>
      <c r="L77" s="10">
        <f t="shared" si="12"/>
        <v>111163.080491453</v>
      </c>
      <c r="M77" s="14">
        <f t="shared" si="13"/>
        <v>0</v>
      </c>
      <c r="N77" s="2">
        <f t="shared" si="14"/>
        <v>0</v>
      </c>
      <c r="O77" s="135">
        <f t="shared" si="15"/>
        <v>-200095.17227107228</v>
      </c>
      <c r="P77" s="33">
        <f>O77/'D) Ecrêtage'!C77</f>
        <v>-1.800014639630799</v>
      </c>
      <c r="Q77" s="131"/>
    </row>
    <row r="78" spans="1:17" x14ac:dyDescent="0.25">
      <c r="A78" s="49">
        <f>+'A) Base RI'!A80</f>
        <v>5518</v>
      </c>
      <c r="B78" s="427" t="str">
        <f>+'A) Base RI'!B80</f>
        <v>Echallens</v>
      </c>
      <c r="C78" s="299">
        <f>+'D) Ecrêtage'!C78</f>
        <v>187816.41499999998</v>
      </c>
      <c r="D78" s="428">
        <v>1932206</v>
      </c>
      <c r="E78" s="430">
        <v>423360</v>
      </c>
      <c r="F78" s="428">
        <v>502770</v>
      </c>
      <c r="G78" s="299">
        <f t="shared" si="8"/>
        <v>2858336</v>
      </c>
      <c r="H78" s="277">
        <f t="shared" si="9"/>
        <v>1502531.3199999998</v>
      </c>
      <c r="I78" s="10">
        <f t="shared" si="10"/>
        <v>1355804.6800000002</v>
      </c>
      <c r="J78" s="296">
        <f t="shared" si="11"/>
        <v>-1008331.643333217</v>
      </c>
      <c r="K78" s="432">
        <v>48309</v>
      </c>
      <c r="L78" s="10">
        <f t="shared" si="12"/>
        <v>187816.41499999998</v>
      </c>
      <c r="M78" s="14">
        <f t="shared" si="13"/>
        <v>0</v>
      </c>
      <c r="N78" s="2">
        <f t="shared" si="14"/>
        <v>0</v>
      </c>
      <c r="O78" s="135">
        <f t="shared" si="15"/>
        <v>-1008331.643333217</v>
      </c>
      <c r="P78" s="33">
        <f>O78/'D) Ecrêtage'!C78</f>
        <v>-5.3687088177740865</v>
      </c>
      <c r="Q78" s="131"/>
    </row>
    <row r="79" spans="1:17" x14ac:dyDescent="0.25">
      <c r="A79" s="49">
        <f>+'A) Base RI'!A81</f>
        <v>5520</v>
      </c>
      <c r="B79" s="427" t="str">
        <f>+'A) Base RI'!B81</f>
        <v>Essertines-sur-Yverdon</v>
      </c>
      <c r="C79" s="299">
        <f>+'D) Ecrêtage'!C79</f>
        <v>29858.34041095891</v>
      </c>
      <c r="D79" s="428">
        <v>124582</v>
      </c>
      <c r="E79" s="430">
        <v>64827</v>
      </c>
      <c r="F79" s="428">
        <v>89661</v>
      </c>
      <c r="G79" s="299">
        <f t="shared" si="8"/>
        <v>279070</v>
      </c>
      <c r="H79" s="277">
        <f t="shared" si="9"/>
        <v>238866.72328767128</v>
      </c>
      <c r="I79" s="10">
        <f t="shared" si="10"/>
        <v>40203.276712328719</v>
      </c>
      <c r="J79" s="296">
        <f t="shared" si="11"/>
        <v>-29899.761132792715</v>
      </c>
      <c r="K79" s="432">
        <v>92420</v>
      </c>
      <c r="L79" s="10">
        <f t="shared" si="12"/>
        <v>29858.34041095891</v>
      </c>
      <c r="M79" s="14">
        <f t="shared" si="13"/>
        <v>62561.65958904109</v>
      </c>
      <c r="N79" s="2">
        <f t="shared" si="14"/>
        <v>-46528.015394570779</v>
      </c>
      <c r="O79" s="135">
        <f t="shared" si="15"/>
        <v>-76427.776527363487</v>
      </c>
      <c r="P79" s="33">
        <f>O79/'D) Ecrêtage'!C79</f>
        <v>-2.5596793216046323</v>
      </c>
      <c r="Q79" s="131"/>
    </row>
    <row r="80" spans="1:17" x14ac:dyDescent="0.25">
      <c r="A80" s="49">
        <f>+'A) Base RI'!A82</f>
        <v>5521</v>
      </c>
      <c r="B80" s="427" t="str">
        <f>+'A) Base RI'!B82</f>
        <v>Etagnières</v>
      </c>
      <c r="C80" s="299">
        <f>+'D) Ecrêtage'!C80</f>
        <v>48278.723150684935</v>
      </c>
      <c r="D80" s="428">
        <v>215165</v>
      </c>
      <c r="E80" s="430">
        <v>82431</v>
      </c>
      <c r="F80" s="428">
        <v>97892</v>
      </c>
      <c r="G80" s="299">
        <f t="shared" si="8"/>
        <v>395488</v>
      </c>
      <c r="H80" s="277">
        <f t="shared" si="9"/>
        <v>386229.78520547948</v>
      </c>
      <c r="I80" s="10">
        <f t="shared" si="10"/>
        <v>9258.2147945205215</v>
      </c>
      <c r="J80" s="296">
        <f t="shared" si="11"/>
        <v>-6885.4688848623664</v>
      </c>
      <c r="K80" s="432">
        <v>16902</v>
      </c>
      <c r="L80" s="10">
        <f t="shared" si="12"/>
        <v>48278.723150684935</v>
      </c>
      <c r="M80" s="14">
        <f t="shared" si="13"/>
        <v>0</v>
      </c>
      <c r="N80" s="2">
        <f t="shared" si="14"/>
        <v>0</v>
      </c>
      <c r="O80" s="135">
        <f t="shared" si="15"/>
        <v>-6885.4688848623664</v>
      </c>
      <c r="P80" s="33">
        <f>O80/'D) Ecrêtage'!C80</f>
        <v>-0.14261911739819244</v>
      </c>
      <c r="Q80" s="131"/>
    </row>
    <row r="81" spans="1:17" x14ac:dyDescent="0.25">
      <c r="A81" s="49">
        <f>+'A) Base RI'!A83</f>
        <v>5522</v>
      </c>
      <c r="B81" s="427" t="str">
        <f>+'A) Base RI'!B83</f>
        <v>Fey</v>
      </c>
      <c r="C81" s="299">
        <f>+'D) Ecrêtage'!C81</f>
        <v>22727.539066666664</v>
      </c>
      <c r="D81" s="428">
        <v>84671</v>
      </c>
      <c r="E81" s="430">
        <v>54118</v>
      </c>
      <c r="F81" s="428">
        <v>64270</v>
      </c>
      <c r="G81" s="299">
        <f t="shared" si="8"/>
        <v>203059</v>
      </c>
      <c r="H81" s="277">
        <f t="shared" si="9"/>
        <v>181820.31253333332</v>
      </c>
      <c r="I81" s="10">
        <f t="shared" si="10"/>
        <v>21238.687466666684</v>
      </c>
      <c r="J81" s="296">
        <f t="shared" si="11"/>
        <v>-15795.520513695685</v>
      </c>
      <c r="K81" s="432">
        <v>6005</v>
      </c>
      <c r="L81" s="10">
        <f t="shared" si="12"/>
        <v>22727.539066666664</v>
      </c>
      <c r="M81" s="14">
        <f t="shared" si="13"/>
        <v>0</v>
      </c>
      <c r="N81" s="2">
        <f t="shared" si="14"/>
        <v>0</v>
      </c>
      <c r="O81" s="135">
        <f t="shared" si="15"/>
        <v>-15795.520513695685</v>
      </c>
      <c r="P81" s="33">
        <f>O81/'D) Ecrêtage'!C81</f>
        <v>-0.69499475800537414</v>
      </c>
      <c r="Q81" s="131"/>
    </row>
    <row r="82" spans="1:17" x14ac:dyDescent="0.25">
      <c r="A82" s="49">
        <f>+'A) Base RI'!A84</f>
        <v>5523</v>
      </c>
      <c r="B82" s="427" t="str">
        <f>+'A) Base RI'!B84</f>
        <v>Froideville</v>
      </c>
      <c r="C82" s="299">
        <f>+'D) Ecrêtage'!C82</f>
        <v>89231.727236842082</v>
      </c>
      <c r="D82" s="428">
        <v>488764</v>
      </c>
      <c r="E82" s="430">
        <v>113958</v>
      </c>
      <c r="F82" s="428">
        <v>184680</v>
      </c>
      <c r="G82" s="299">
        <f t="shared" si="8"/>
        <v>787402</v>
      </c>
      <c r="H82" s="277">
        <f t="shared" si="9"/>
        <v>713853.81789473665</v>
      </c>
      <c r="I82" s="10">
        <f t="shared" si="10"/>
        <v>73548.182105263346</v>
      </c>
      <c r="J82" s="296">
        <f t="shared" si="11"/>
        <v>-54698.851848166567</v>
      </c>
      <c r="K82" s="432">
        <v>7540</v>
      </c>
      <c r="L82" s="10">
        <f t="shared" si="12"/>
        <v>89231.727236842082</v>
      </c>
      <c r="M82" s="14">
        <f t="shared" si="13"/>
        <v>0</v>
      </c>
      <c r="N82" s="2">
        <f t="shared" si="14"/>
        <v>0</v>
      </c>
      <c r="O82" s="135">
        <f t="shared" si="15"/>
        <v>-54698.851848166567</v>
      </c>
      <c r="P82" s="33">
        <f>O82/'D) Ecrêtage'!C82</f>
        <v>-0.612997792847637</v>
      </c>
      <c r="Q82" s="131"/>
    </row>
    <row r="83" spans="1:17" x14ac:dyDescent="0.25">
      <c r="A83" s="49">
        <f>+'A) Base RI'!A85</f>
        <v>5527</v>
      </c>
      <c r="B83" s="427" t="str">
        <f>+'A) Base RI'!B85</f>
        <v>Morrens</v>
      </c>
      <c r="C83" s="299">
        <f>+'D) Ecrêtage'!C83</f>
        <v>40137.160945945958</v>
      </c>
      <c r="D83" s="428">
        <v>192539</v>
      </c>
      <c r="E83" s="430">
        <v>31763</v>
      </c>
      <c r="F83" s="428">
        <v>65495</v>
      </c>
      <c r="G83" s="299">
        <f t="shared" si="8"/>
        <v>289797</v>
      </c>
      <c r="H83" s="277">
        <f t="shared" si="9"/>
        <v>321097.28756756766</v>
      </c>
      <c r="I83" s="10">
        <f t="shared" si="10"/>
        <v>0</v>
      </c>
      <c r="J83" s="296">
        <f t="shared" si="11"/>
        <v>0</v>
      </c>
      <c r="K83" s="432">
        <v>23808</v>
      </c>
      <c r="L83" s="10">
        <f t="shared" si="12"/>
        <v>40137.160945945958</v>
      </c>
      <c r="M83" s="14">
        <f t="shared" si="13"/>
        <v>0</v>
      </c>
      <c r="N83" s="2">
        <f t="shared" si="14"/>
        <v>0</v>
      </c>
      <c r="O83" s="135">
        <f t="shared" si="15"/>
        <v>0</v>
      </c>
      <c r="P83" s="33">
        <f>O83/'D) Ecrêtage'!C83</f>
        <v>0</v>
      </c>
      <c r="Q83" s="131"/>
    </row>
    <row r="84" spans="1:17" x14ac:dyDescent="0.25">
      <c r="A84" s="49">
        <f>+'A) Base RI'!A86</f>
        <v>5529</v>
      </c>
      <c r="B84" s="427" t="str">
        <f>+'A) Base RI'!B86</f>
        <v>Oulens-sous-Echallens</v>
      </c>
      <c r="C84" s="299">
        <f>+'D) Ecrêtage'!C84</f>
        <v>21602.609436619721</v>
      </c>
      <c r="D84" s="428">
        <v>173819</v>
      </c>
      <c r="E84" s="430">
        <v>18020</v>
      </c>
      <c r="F84" s="428">
        <v>53499</v>
      </c>
      <c r="G84" s="299">
        <f t="shared" si="8"/>
        <v>245338</v>
      </c>
      <c r="H84" s="277">
        <f t="shared" si="9"/>
        <v>172820.87549295777</v>
      </c>
      <c r="I84" s="10">
        <f t="shared" si="10"/>
        <v>72517.12450704223</v>
      </c>
      <c r="J84" s="296">
        <f t="shared" si="11"/>
        <v>-53932.039328840037</v>
      </c>
      <c r="K84" s="432">
        <v>-9513</v>
      </c>
      <c r="L84" s="10">
        <f t="shared" si="12"/>
        <v>21602.609436619721</v>
      </c>
      <c r="M84" s="14">
        <f t="shared" si="13"/>
        <v>0</v>
      </c>
      <c r="N84" s="2">
        <f t="shared" si="14"/>
        <v>0</v>
      </c>
      <c r="O84" s="135">
        <f t="shared" si="15"/>
        <v>-53932.039328840037</v>
      </c>
      <c r="P84" s="33">
        <f>O84/'D) Ecrêtage'!C84</f>
        <v>-2.4965520710390199</v>
      </c>
      <c r="Q84" s="131"/>
    </row>
    <row r="85" spans="1:17" x14ac:dyDescent="0.25">
      <c r="A85" s="49">
        <f>+'A) Base RI'!A87</f>
        <v>5530</v>
      </c>
      <c r="B85" s="427" t="str">
        <f>+'A) Base RI'!B87</f>
        <v>Pailly</v>
      </c>
      <c r="C85" s="299">
        <f>+'D) Ecrêtage'!C85</f>
        <v>17625.052150537631</v>
      </c>
      <c r="D85" s="428">
        <v>550157</v>
      </c>
      <c r="E85" s="430">
        <v>16545</v>
      </c>
      <c r="F85" s="428">
        <v>47370</v>
      </c>
      <c r="G85" s="299">
        <f t="shared" si="8"/>
        <v>614072</v>
      </c>
      <c r="H85" s="277">
        <f t="shared" si="9"/>
        <v>141000.41720430105</v>
      </c>
      <c r="I85" s="10">
        <f t="shared" si="10"/>
        <v>473071.58279569895</v>
      </c>
      <c r="J85" s="296">
        <f t="shared" si="11"/>
        <v>-351830.2108933811</v>
      </c>
      <c r="K85" s="432">
        <v>42033</v>
      </c>
      <c r="L85" s="10">
        <f t="shared" si="12"/>
        <v>17625.052150537631</v>
      </c>
      <c r="M85" s="14">
        <f t="shared" si="13"/>
        <v>24407.947849462369</v>
      </c>
      <c r="N85" s="2">
        <f t="shared" si="14"/>
        <v>-18152.545516688911</v>
      </c>
      <c r="O85" s="135">
        <f t="shared" si="15"/>
        <v>-369982.75641007</v>
      </c>
      <c r="P85" s="33">
        <f>O85/'D) Ecrêtage'!C85</f>
        <v>-20.991867328959032</v>
      </c>
      <c r="Q85" s="131"/>
    </row>
    <row r="86" spans="1:17" x14ac:dyDescent="0.25">
      <c r="A86" s="49">
        <f>+'A) Base RI'!A88</f>
        <v>5531</v>
      </c>
      <c r="B86" s="427" t="str">
        <f>+'A) Base RI'!B88</f>
        <v>Penthéréaz</v>
      </c>
      <c r="C86" s="299">
        <f>+'D) Ecrêtage'!C86</f>
        <v>14653.782435897439</v>
      </c>
      <c r="D86" s="428">
        <v>143008</v>
      </c>
      <c r="E86" s="430">
        <v>12416</v>
      </c>
      <c r="F86" s="428">
        <v>36863</v>
      </c>
      <c r="G86" s="299">
        <f t="shared" si="8"/>
        <v>192287</v>
      </c>
      <c r="H86" s="277">
        <f t="shared" si="9"/>
        <v>117230.25948717952</v>
      </c>
      <c r="I86" s="10">
        <f t="shared" si="10"/>
        <v>75056.740512820485</v>
      </c>
      <c r="J86" s="296">
        <f t="shared" si="11"/>
        <v>-55820.788658530895</v>
      </c>
      <c r="K86" s="432">
        <v>27375</v>
      </c>
      <c r="L86" s="10">
        <f t="shared" si="12"/>
        <v>14653.782435897439</v>
      </c>
      <c r="M86" s="14">
        <f t="shared" si="13"/>
        <v>12721.217564102561</v>
      </c>
      <c r="N86" s="2">
        <f t="shared" si="14"/>
        <v>-9460.9543696300825</v>
      </c>
      <c r="O86" s="135">
        <f t="shared" si="15"/>
        <v>-65281.743028160978</v>
      </c>
      <c r="P86" s="33">
        <f>O86/'D) Ecrêtage'!C86</f>
        <v>-4.4549414674152654</v>
      </c>
      <c r="Q86" s="131"/>
    </row>
    <row r="87" spans="1:17" x14ac:dyDescent="0.25">
      <c r="A87" s="49">
        <f>+'A) Base RI'!A89</f>
        <v>5533</v>
      </c>
      <c r="B87" s="427" t="str">
        <f>+'A) Base RI'!B89</f>
        <v>Poliez-Pittet</v>
      </c>
      <c r="C87" s="299">
        <f>+'D) Ecrêtage'!C87</f>
        <v>22836.129452054793</v>
      </c>
      <c r="D87" s="428">
        <v>126860</v>
      </c>
      <c r="E87" s="430">
        <v>24950</v>
      </c>
      <c r="F87" s="428">
        <v>74076</v>
      </c>
      <c r="G87" s="299">
        <f t="shared" si="8"/>
        <v>225886</v>
      </c>
      <c r="H87" s="277">
        <f t="shared" si="9"/>
        <v>182689.03561643834</v>
      </c>
      <c r="I87" s="10">
        <f t="shared" si="10"/>
        <v>43196.964383561659</v>
      </c>
      <c r="J87" s="296">
        <f t="shared" si="11"/>
        <v>-32126.210158739948</v>
      </c>
      <c r="K87" s="432">
        <v>83529</v>
      </c>
      <c r="L87" s="10">
        <f t="shared" si="12"/>
        <v>22836.129452054793</v>
      </c>
      <c r="M87" s="14">
        <f t="shared" si="13"/>
        <v>60692.870547945204</v>
      </c>
      <c r="N87" s="2">
        <f t="shared" si="14"/>
        <v>-45138.169827102072</v>
      </c>
      <c r="O87" s="135">
        <f t="shared" si="15"/>
        <v>-77264.379985842024</v>
      </c>
      <c r="P87" s="33">
        <f>O87/'D) Ecrêtage'!C87</f>
        <v>-3.3834271323457479</v>
      </c>
      <c r="Q87" s="131"/>
    </row>
    <row r="88" spans="1:17" x14ac:dyDescent="0.25">
      <c r="A88" s="49">
        <f>+'A) Base RI'!A90</f>
        <v>5534</v>
      </c>
      <c r="B88" s="427" t="str">
        <f>+'A) Base RI'!B90</f>
        <v>Rueyres</v>
      </c>
      <c r="C88" s="299">
        <f>+'D) Ecrêtage'!C88</f>
        <v>10463.952465753426</v>
      </c>
      <c r="D88" s="428">
        <v>35696</v>
      </c>
      <c r="E88" s="430">
        <v>15041</v>
      </c>
      <c r="F88" s="428">
        <v>22328</v>
      </c>
      <c r="G88" s="299">
        <f t="shared" si="8"/>
        <v>73065</v>
      </c>
      <c r="H88" s="277">
        <f t="shared" si="9"/>
        <v>83711.619726027406</v>
      </c>
      <c r="I88" s="10">
        <f t="shared" si="10"/>
        <v>0</v>
      </c>
      <c r="J88" s="296">
        <f t="shared" si="11"/>
        <v>0</v>
      </c>
      <c r="K88" s="432">
        <v>13189</v>
      </c>
      <c r="L88" s="10">
        <f t="shared" si="12"/>
        <v>10463.952465753426</v>
      </c>
      <c r="M88" s="14">
        <f t="shared" si="13"/>
        <v>2725.0475342465743</v>
      </c>
      <c r="N88" s="2">
        <f t="shared" si="14"/>
        <v>-2026.657452139772</v>
      </c>
      <c r="O88" s="135">
        <f t="shared" si="15"/>
        <v>-2026.657452139772</v>
      </c>
      <c r="P88" s="33">
        <f>O88/'D) Ecrêtage'!C88</f>
        <v>-0.19367991767667578</v>
      </c>
      <c r="Q88" s="131"/>
    </row>
    <row r="89" spans="1:17" x14ac:dyDescent="0.25">
      <c r="A89" s="49">
        <f>+'A) Base RI'!A91</f>
        <v>5535</v>
      </c>
      <c r="B89" s="427" t="str">
        <f>+'A) Base RI'!B91</f>
        <v>Saint-Barthélemy</v>
      </c>
      <c r="C89" s="299">
        <f>+'D) Ecrêtage'!C89</f>
        <v>22478.945584415589</v>
      </c>
      <c r="D89" s="428">
        <v>113723</v>
      </c>
      <c r="E89" s="430">
        <v>22944</v>
      </c>
      <c r="F89" s="428">
        <v>68121</v>
      </c>
      <c r="G89" s="299">
        <f t="shared" si="8"/>
        <v>204788</v>
      </c>
      <c r="H89" s="277">
        <f t="shared" si="9"/>
        <v>179831.56467532471</v>
      </c>
      <c r="I89" s="10">
        <f t="shared" si="10"/>
        <v>24956.435324675287</v>
      </c>
      <c r="J89" s="296">
        <f t="shared" si="11"/>
        <v>-18560.463622731393</v>
      </c>
      <c r="K89" s="432">
        <v>-2135</v>
      </c>
      <c r="L89" s="10">
        <f t="shared" si="12"/>
        <v>22478.945584415589</v>
      </c>
      <c r="M89" s="14">
        <f t="shared" si="13"/>
        <v>0</v>
      </c>
      <c r="N89" s="2">
        <f t="shared" si="14"/>
        <v>0</v>
      </c>
      <c r="O89" s="135">
        <f t="shared" si="15"/>
        <v>-18560.463622731393</v>
      </c>
      <c r="P89" s="33">
        <f>O89/'D) Ecrêtage'!C89</f>
        <v>-0.82568212788411044</v>
      </c>
      <c r="Q89" s="131"/>
    </row>
    <row r="90" spans="1:17" x14ac:dyDescent="0.25">
      <c r="A90" s="49">
        <f>+'A) Base RI'!A92</f>
        <v>5537</v>
      </c>
      <c r="B90" s="427" t="str">
        <f>+'A) Base RI'!B92</f>
        <v>Villars-le-Terroir</v>
      </c>
      <c r="C90" s="299">
        <f>+'D) Ecrêtage'!C90</f>
        <v>36268.70386986302</v>
      </c>
      <c r="D90" s="428">
        <v>174069</v>
      </c>
      <c r="E90" s="430">
        <v>53661</v>
      </c>
      <c r="F90" s="428">
        <v>106210</v>
      </c>
      <c r="G90" s="299">
        <f t="shared" si="8"/>
        <v>333940</v>
      </c>
      <c r="H90" s="277">
        <f t="shared" si="9"/>
        <v>290149.63095890416</v>
      </c>
      <c r="I90" s="10">
        <f t="shared" si="10"/>
        <v>43790.369041095837</v>
      </c>
      <c r="J90" s="296">
        <f t="shared" si="11"/>
        <v>-32567.533826019975</v>
      </c>
      <c r="K90" s="432">
        <v>-11068</v>
      </c>
      <c r="L90" s="10">
        <f t="shared" si="12"/>
        <v>36268.70386986302</v>
      </c>
      <c r="M90" s="14">
        <f t="shared" si="13"/>
        <v>0</v>
      </c>
      <c r="N90" s="2">
        <f t="shared" si="14"/>
        <v>0</v>
      </c>
      <c r="O90" s="135">
        <f t="shared" si="15"/>
        <v>-32567.533826019975</v>
      </c>
      <c r="P90" s="33">
        <f>O90/'D) Ecrêtage'!C90</f>
        <v>-0.89795141130150835</v>
      </c>
      <c r="Q90" s="131"/>
    </row>
    <row r="91" spans="1:17" x14ac:dyDescent="0.25">
      <c r="A91" s="49">
        <f>+'A) Base RI'!A93</f>
        <v>5539</v>
      </c>
      <c r="B91" s="427" t="str">
        <f>+'A) Base RI'!B93</f>
        <v>Vuarrens</v>
      </c>
      <c r="C91" s="299">
        <f>+'D) Ecrêtage'!C91</f>
        <v>30000.607399999997</v>
      </c>
      <c r="D91" s="428">
        <v>75694</v>
      </c>
      <c r="E91" s="430">
        <v>44283</v>
      </c>
      <c r="F91" s="428">
        <v>87648</v>
      </c>
      <c r="G91" s="299">
        <f t="shared" si="8"/>
        <v>207625</v>
      </c>
      <c r="H91" s="277">
        <f t="shared" si="9"/>
        <v>240004.85919999998</v>
      </c>
      <c r="I91" s="10">
        <f t="shared" si="10"/>
        <v>0</v>
      </c>
      <c r="J91" s="296">
        <f t="shared" si="11"/>
        <v>0</v>
      </c>
      <c r="K91" s="432">
        <v>60174</v>
      </c>
      <c r="L91" s="10">
        <f t="shared" si="12"/>
        <v>30000.607399999997</v>
      </c>
      <c r="M91" s="14">
        <f t="shared" si="13"/>
        <v>30173.392600000003</v>
      </c>
      <c r="N91" s="2">
        <f t="shared" si="14"/>
        <v>-22440.390562227833</v>
      </c>
      <c r="O91" s="135">
        <f t="shared" si="15"/>
        <v>-22440.390562227833</v>
      </c>
      <c r="P91" s="33">
        <f>O91/'D) Ecrêtage'!C91</f>
        <v>-0.74799787427729991</v>
      </c>
      <c r="Q91" s="131"/>
    </row>
    <row r="92" spans="1:17" x14ac:dyDescent="0.25">
      <c r="A92" s="49">
        <f>+'A) Base RI'!A94</f>
        <v>5540</v>
      </c>
      <c r="B92" s="427" t="str">
        <f>+'A) Base RI'!B94</f>
        <v>Montilliez</v>
      </c>
      <c r="C92" s="299">
        <f>+'D) Ecrêtage'!C92</f>
        <v>64761.783243243241</v>
      </c>
      <c r="D92" s="428">
        <v>589051</v>
      </c>
      <c r="E92" s="430">
        <v>131314</v>
      </c>
      <c r="F92" s="428">
        <v>155944</v>
      </c>
      <c r="G92" s="299">
        <f t="shared" si="8"/>
        <v>876309</v>
      </c>
      <c r="H92" s="277">
        <f t="shared" si="9"/>
        <v>518094.26594594592</v>
      </c>
      <c r="I92" s="10">
        <f t="shared" si="10"/>
        <v>358214.73405405408</v>
      </c>
      <c r="J92" s="296">
        <f t="shared" si="11"/>
        <v>-266409.50336216245</v>
      </c>
      <c r="K92" s="432">
        <v>100342</v>
      </c>
      <c r="L92" s="10">
        <f t="shared" si="12"/>
        <v>64761.783243243241</v>
      </c>
      <c r="M92" s="14">
        <f t="shared" si="13"/>
        <v>35580.216756756759</v>
      </c>
      <c r="N92" s="2">
        <f t="shared" si="14"/>
        <v>-26461.524260627721</v>
      </c>
      <c r="O92" s="135">
        <f t="shared" si="15"/>
        <v>-292871.02762279019</v>
      </c>
      <c r="P92" s="33">
        <f>O92/'D) Ecrêtage'!C92</f>
        <v>-4.522281706215157</v>
      </c>
      <c r="Q92" s="131"/>
    </row>
    <row r="93" spans="1:17" x14ac:dyDescent="0.25">
      <c r="A93" s="49">
        <f>+'A) Base RI'!A95</f>
        <v>5541</v>
      </c>
      <c r="B93" s="427" t="str">
        <f>+'A) Base RI'!B95</f>
        <v>Goumoëns</v>
      </c>
      <c r="C93" s="299">
        <f>+'D) Ecrêtage'!C93</f>
        <v>37389.402987012982</v>
      </c>
      <c r="D93" s="428">
        <v>171338</v>
      </c>
      <c r="E93" s="430">
        <v>33002</v>
      </c>
      <c r="F93" s="428">
        <v>97980</v>
      </c>
      <c r="G93" s="299">
        <f t="shared" si="8"/>
        <v>302320</v>
      </c>
      <c r="H93" s="277">
        <f t="shared" si="9"/>
        <v>299115.22389610385</v>
      </c>
      <c r="I93" s="10">
        <f t="shared" si="10"/>
        <v>3204.7761038961471</v>
      </c>
      <c r="J93" s="296">
        <f t="shared" si="11"/>
        <v>-2383.4385608970065</v>
      </c>
      <c r="K93" s="432">
        <v>-16881</v>
      </c>
      <c r="L93" s="10">
        <f t="shared" si="12"/>
        <v>37389.402987012982</v>
      </c>
      <c r="M93" s="14">
        <f t="shared" si="13"/>
        <v>0</v>
      </c>
      <c r="N93" s="2">
        <f t="shared" si="14"/>
        <v>0</v>
      </c>
      <c r="O93" s="135">
        <f t="shared" si="15"/>
        <v>-2383.4385608970065</v>
      </c>
      <c r="P93" s="33">
        <f>O93/'D) Ecrêtage'!C93</f>
        <v>-6.3746365827902676E-2</v>
      </c>
      <c r="Q93" s="131"/>
    </row>
    <row r="94" spans="1:17" x14ac:dyDescent="0.25">
      <c r="A94" s="49">
        <f>+'A) Base RI'!A96</f>
        <v>5551</v>
      </c>
      <c r="B94" s="427" t="str">
        <f>+'A) Base RI'!B96</f>
        <v>Bonvillars</v>
      </c>
      <c r="C94" s="299">
        <f>+'D) Ecrêtage'!C94</f>
        <v>18282.205818181821</v>
      </c>
      <c r="D94" s="428">
        <v>127482</v>
      </c>
      <c r="E94" s="430">
        <v>31970</v>
      </c>
      <c r="F94" s="428">
        <v>64848</v>
      </c>
      <c r="G94" s="299">
        <f t="shared" si="8"/>
        <v>224300</v>
      </c>
      <c r="H94" s="277">
        <f t="shared" si="9"/>
        <v>146257.64654545457</v>
      </c>
      <c r="I94" s="10">
        <f t="shared" si="10"/>
        <v>78042.353454545431</v>
      </c>
      <c r="J94" s="296">
        <f t="shared" si="11"/>
        <v>-58041.232390799494</v>
      </c>
      <c r="K94" s="432">
        <v>65079</v>
      </c>
      <c r="L94" s="10">
        <f t="shared" si="12"/>
        <v>18282.205818181821</v>
      </c>
      <c r="M94" s="14">
        <f t="shared" si="13"/>
        <v>46796.794181818179</v>
      </c>
      <c r="N94" s="2">
        <f t="shared" si="14"/>
        <v>-34803.45589312986</v>
      </c>
      <c r="O94" s="135">
        <f t="shared" si="15"/>
        <v>-92844.688283929354</v>
      </c>
      <c r="P94" s="33">
        <f>O94/'D) Ecrêtage'!C94</f>
        <v>-5.078418283180822</v>
      </c>
      <c r="Q94" s="131"/>
    </row>
    <row r="95" spans="1:17" x14ac:dyDescent="0.25">
      <c r="A95" s="49">
        <f>+'A) Base RI'!A97</f>
        <v>5552</v>
      </c>
      <c r="B95" s="427" t="str">
        <f>+'A) Base RI'!B97</f>
        <v>Bullet</v>
      </c>
      <c r="C95" s="299">
        <f>+'D) Ecrêtage'!C95</f>
        <v>18372.474931506851</v>
      </c>
      <c r="D95" s="428">
        <v>326568</v>
      </c>
      <c r="E95" s="430">
        <v>41466</v>
      </c>
      <c r="F95" s="428">
        <v>47149</v>
      </c>
      <c r="G95" s="299">
        <f t="shared" si="8"/>
        <v>415183</v>
      </c>
      <c r="H95" s="277">
        <f t="shared" si="9"/>
        <v>146979.79945205481</v>
      </c>
      <c r="I95" s="10">
        <f t="shared" si="10"/>
        <v>268203.20054794522</v>
      </c>
      <c r="J95" s="296">
        <f t="shared" si="11"/>
        <v>-199466.61782856358</v>
      </c>
      <c r="K95" s="432">
        <v>34293</v>
      </c>
      <c r="L95" s="10">
        <f t="shared" si="12"/>
        <v>18372.474931506851</v>
      </c>
      <c r="M95" s="14">
        <f t="shared" si="13"/>
        <v>15920.525068493149</v>
      </c>
      <c r="N95" s="2">
        <f t="shared" si="14"/>
        <v>-11840.325853604054</v>
      </c>
      <c r="O95" s="135">
        <f t="shared" si="15"/>
        <v>-211306.94368216765</v>
      </c>
      <c r="P95" s="33">
        <f>O95/'D) Ecrêtage'!C95</f>
        <v>-11.501278105967019</v>
      </c>
      <c r="Q95" s="131"/>
    </row>
    <row r="96" spans="1:17" x14ac:dyDescent="0.25">
      <c r="A96" s="49">
        <f>+'A) Base RI'!A98</f>
        <v>5553</v>
      </c>
      <c r="B96" s="427" t="str">
        <f>+'A) Base RI'!B98</f>
        <v>Champagne</v>
      </c>
      <c r="C96" s="299">
        <f>+'D) Ecrêtage'!C96</f>
        <v>37695.100615384617</v>
      </c>
      <c r="D96" s="428">
        <v>338471</v>
      </c>
      <c r="E96" s="430">
        <v>65460</v>
      </c>
      <c r="F96" s="428">
        <v>138382</v>
      </c>
      <c r="G96" s="299">
        <f t="shared" si="8"/>
        <v>542313</v>
      </c>
      <c r="H96" s="277">
        <f t="shared" si="9"/>
        <v>301560.80492307694</v>
      </c>
      <c r="I96" s="10">
        <f t="shared" si="10"/>
        <v>240752.19507692306</v>
      </c>
      <c r="J96" s="296">
        <f t="shared" si="11"/>
        <v>-179050.90613641564</v>
      </c>
      <c r="K96" s="432">
        <v>37158</v>
      </c>
      <c r="L96" s="10">
        <f t="shared" si="12"/>
        <v>37695.100615384617</v>
      </c>
      <c r="M96" s="14">
        <f t="shared" si="13"/>
        <v>0</v>
      </c>
      <c r="N96" s="2">
        <f t="shared" si="14"/>
        <v>0</v>
      </c>
      <c r="O96" s="135">
        <f t="shared" si="15"/>
        <v>-179050.90613641564</v>
      </c>
      <c r="P96" s="33">
        <f>O96/'D) Ecrêtage'!C96</f>
        <v>-4.7499781991121424</v>
      </c>
      <c r="Q96" s="131"/>
    </row>
    <row r="97" spans="1:17" x14ac:dyDescent="0.25">
      <c r="A97" s="49">
        <f>+'A) Base RI'!A99</f>
        <v>5554</v>
      </c>
      <c r="B97" s="427" t="str">
        <f>+'A) Base RI'!B99</f>
        <v>Concise</v>
      </c>
      <c r="C97" s="299">
        <f>+'D) Ecrêtage'!C97</f>
        <v>33287.826000000008</v>
      </c>
      <c r="D97" s="428">
        <v>261121</v>
      </c>
      <c r="E97" s="430">
        <v>83988</v>
      </c>
      <c r="F97" s="428">
        <v>125453</v>
      </c>
      <c r="G97" s="299">
        <f t="shared" si="8"/>
        <v>470562</v>
      </c>
      <c r="H97" s="277">
        <f t="shared" si="9"/>
        <v>266302.60800000007</v>
      </c>
      <c r="I97" s="10">
        <f t="shared" si="10"/>
        <v>204259.39199999993</v>
      </c>
      <c r="J97" s="296">
        <f t="shared" si="11"/>
        <v>-151910.67816759835</v>
      </c>
      <c r="K97" s="432">
        <v>15223</v>
      </c>
      <c r="L97" s="10">
        <f t="shared" si="12"/>
        <v>33287.826000000008</v>
      </c>
      <c r="M97" s="14">
        <f t="shared" si="13"/>
        <v>0</v>
      </c>
      <c r="N97" s="2">
        <f t="shared" si="14"/>
        <v>0</v>
      </c>
      <c r="O97" s="135">
        <f t="shared" si="15"/>
        <v>-151910.67816759835</v>
      </c>
      <c r="P97" s="33">
        <f>O97/'D) Ecrêtage'!C97</f>
        <v>-4.5635505955720364</v>
      </c>
      <c r="Q97" s="131"/>
    </row>
    <row r="98" spans="1:17" x14ac:dyDescent="0.25">
      <c r="A98" s="49">
        <f>+'A) Base RI'!A100</f>
        <v>5555</v>
      </c>
      <c r="B98" s="427" t="str">
        <f>+'A) Base RI'!B100</f>
        <v>Corcelles-près-Concise</v>
      </c>
      <c r="C98" s="299">
        <f>+'D) Ecrêtage'!C98</f>
        <v>13538.992394366198</v>
      </c>
      <c r="D98" s="428">
        <v>179843</v>
      </c>
      <c r="E98" s="430">
        <v>25386</v>
      </c>
      <c r="F98" s="428">
        <v>53021</v>
      </c>
      <c r="G98" s="299">
        <f t="shared" si="8"/>
        <v>258250</v>
      </c>
      <c r="H98" s="277">
        <f t="shared" si="9"/>
        <v>108311.93915492958</v>
      </c>
      <c r="I98" s="10">
        <f t="shared" si="10"/>
        <v>149938.0608450704</v>
      </c>
      <c r="J98" s="296">
        <f t="shared" si="11"/>
        <v>-111511.11477953129</v>
      </c>
      <c r="K98" s="432">
        <v>-5218</v>
      </c>
      <c r="L98" s="10">
        <f t="shared" si="12"/>
        <v>13538.992394366198</v>
      </c>
      <c r="M98" s="14">
        <f t="shared" si="13"/>
        <v>0</v>
      </c>
      <c r="N98" s="2">
        <f t="shared" si="14"/>
        <v>0</v>
      </c>
      <c r="O98" s="135">
        <f t="shared" si="15"/>
        <v>-111511.11477953129</v>
      </c>
      <c r="P98" s="33">
        <f>O98/'D) Ecrêtage'!C98</f>
        <v>-8.2362934797077614</v>
      </c>
      <c r="Q98" s="131"/>
    </row>
    <row r="99" spans="1:17" x14ac:dyDescent="0.25">
      <c r="A99" s="49">
        <f>+'A) Base RI'!A101</f>
        <v>5556</v>
      </c>
      <c r="B99" s="427" t="str">
        <f>+'A) Base RI'!B101</f>
        <v>Fiez</v>
      </c>
      <c r="C99" s="299">
        <f>+'D) Ecrêtage'!C99</f>
        <v>13049.601497584543</v>
      </c>
      <c r="D99" s="428">
        <v>185879</v>
      </c>
      <c r="E99" s="430">
        <v>18865</v>
      </c>
      <c r="F99" s="428">
        <v>66913</v>
      </c>
      <c r="G99" s="299">
        <f t="shared" si="8"/>
        <v>271657</v>
      </c>
      <c r="H99" s="277">
        <f t="shared" si="9"/>
        <v>104396.81198067634</v>
      </c>
      <c r="I99" s="10">
        <f t="shared" si="10"/>
        <v>167260.18801932366</v>
      </c>
      <c r="J99" s="296">
        <f t="shared" si="11"/>
        <v>-124393.83248754345</v>
      </c>
      <c r="K99" s="432">
        <v>25769</v>
      </c>
      <c r="L99" s="10">
        <f t="shared" si="12"/>
        <v>13049.601497584543</v>
      </c>
      <c r="M99" s="14">
        <f t="shared" si="13"/>
        <v>12719.398502415457</v>
      </c>
      <c r="N99" s="2">
        <f t="shared" si="14"/>
        <v>-9459.6015070184258</v>
      </c>
      <c r="O99" s="135">
        <f t="shared" si="15"/>
        <v>-133853.43399456187</v>
      </c>
      <c r="P99" s="33">
        <f>O99/'D) Ecrêtage'!C99</f>
        <v>-10.257281344517525</v>
      </c>
      <c r="Q99" s="131"/>
    </row>
    <row r="100" spans="1:17" x14ac:dyDescent="0.25">
      <c r="A100" s="49">
        <f>+'A) Base RI'!A102</f>
        <v>5557</v>
      </c>
      <c r="B100" s="427" t="str">
        <f>+'A) Base RI'!B102</f>
        <v>Fontaines-sur-Grandson</v>
      </c>
      <c r="C100" s="299">
        <f>+'D) Ecrêtage'!C100</f>
        <v>6546.22</v>
      </c>
      <c r="D100" s="428">
        <v>27717</v>
      </c>
      <c r="E100" s="430">
        <v>9270</v>
      </c>
      <c r="F100" s="428">
        <v>30942</v>
      </c>
      <c r="G100" s="299">
        <f t="shared" si="8"/>
        <v>67929</v>
      </c>
      <c r="H100" s="277">
        <f t="shared" si="9"/>
        <v>52369.760000000002</v>
      </c>
      <c r="I100" s="10">
        <f t="shared" si="10"/>
        <v>15559.239999999998</v>
      </c>
      <c r="J100" s="296">
        <f t="shared" si="11"/>
        <v>-11571.632897900838</v>
      </c>
      <c r="K100" s="432">
        <v>39145</v>
      </c>
      <c r="L100" s="10">
        <f t="shared" si="12"/>
        <v>6546.22</v>
      </c>
      <c r="M100" s="14">
        <f t="shared" si="13"/>
        <v>32598.78</v>
      </c>
      <c r="N100" s="2">
        <f t="shared" si="14"/>
        <v>-24244.186417809091</v>
      </c>
      <c r="O100" s="135">
        <f t="shared" si="15"/>
        <v>-35815.81931570993</v>
      </c>
      <c r="P100" s="33">
        <f>O100/'D) Ecrêtage'!C100</f>
        <v>-5.4712214553910394</v>
      </c>
      <c r="Q100" s="131"/>
    </row>
    <row r="101" spans="1:17" x14ac:dyDescent="0.25">
      <c r="A101" s="49">
        <f>+'A) Base RI'!A103</f>
        <v>5559</v>
      </c>
      <c r="B101" s="427" t="str">
        <f>+'A) Base RI'!B103</f>
        <v>Giez</v>
      </c>
      <c r="C101" s="299">
        <f>+'D) Ecrêtage'!C101</f>
        <v>20822.479090909092</v>
      </c>
      <c r="D101" s="428">
        <v>89457</v>
      </c>
      <c r="E101" s="430">
        <v>17388</v>
      </c>
      <c r="F101" s="428">
        <v>50491</v>
      </c>
      <c r="G101" s="299">
        <f t="shared" si="8"/>
        <v>157336</v>
      </c>
      <c r="H101" s="277">
        <f t="shared" si="9"/>
        <v>166579.83272727273</v>
      </c>
      <c r="I101" s="10">
        <f t="shared" si="10"/>
        <v>0</v>
      </c>
      <c r="J101" s="296">
        <f t="shared" si="11"/>
        <v>0</v>
      </c>
      <c r="K101" s="432">
        <v>7083</v>
      </c>
      <c r="L101" s="10">
        <f t="shared" si="12"/>
        <v>20822.479090909092</v>
      </c>
      <c r="M101" s="14">
        <f t="shared" si="13"/>
        <v>0</v>
      </c>
      <c r="N101" s="2">
        <f t="shared" si="14"/>
        <v>0</v>
      </c>
      <c r="O101" s="135">
        <f t="shared" si="15"/>
        <v>0</v>
      </c>
      <c r="P101" s="33">
        <f>O101/'D) Ecrêtage'!C101</f>
        <v>0</v>
      </c>
      <c r="Q101" s="131"/>
    </row>
    <row r="102" spans="1:17" x14ac:dyDescent="0.25">
      <c r="A102" s="49">
        <f>+'A) Base RI'!A104</f>
        <v>5560</v>
      </c>
      <c r="B102" s="427" t="str">
        <f>+'A) Base RI'!B104</f>
        <v>Grandevent</v>
      </c>
      <c r="C102" s="299">
        <f>+'D) Ecrêtage'!C102</f>
        <v>7406.141029411765</v>
      </c>
      <c r="D102" s="428">
        <v>22842</v>
      </c>
      <c r="E102" s="430">
        <v>10044</v>
      </c>
      <c r="F102" s="428">
        <v>32268</v>
      </c>
      <c r="G102" s="299">
        <f t="shared" si="8"/>
        <v>65154</v>
      </c>
      <c r="H102" s="277">
        <f t="shared" si="9"/>
        <v>59249.12823529412</v>
      </c>
      <c r="I102" s="10">
        <f t="shared" si="10"/>
        <v>5904.8717647058802</v>
      </c>
      <c r="J102" s="296">
        <f t="shared" si="11"/>
        <v>-4391.5389421563232</v>
      </c>
      <c r="K102" s="432">
        <v>15249</v>
      </c>
      <c r="L102" s="10">
        <f t="shared" si="12"/>
        <v>7406.141029411765</v>
      </c>
      <c r="M102" s="14">
        <f t="shared" si="13"/>
        <v>7842.858970588235</v>
      </c>
      <c r="N102" s="2">
        <f t="shared" si="14"/>
        <v>-5832.8481903779066</v>
      </c>
      <c r="O102" s="135">
        <f t="shared" si="15"/>
        <v>-10224.38713253423</v>
      </c>
      <c r="P102" s="33">
        <f>O102/'D) Ecrêtage'!C102</f>
        <v>-1.3805282794279039</v>
      </c>
      <c r="Q102" s="131"/>
    </row>
    <row r="103" spans="1:17" x14ac:dyDescent="0.25">
      <c r="A103" s="49">
        <f>+'A) Base RI'!A105</f>
        <v>5561</v>
      </c>
      <c r="B103" s="427" t="str">
        <f>+'A) Base RI'!B105</f>
        <v>Grandson</v>
      </c>
      <c r="C103" s="299">
        <f>+'D) Ecrêtage'!C103</f>
        <v>113542.57695652173</v>
      </c>
      <c r="D103" s="428">
        <v>1569700</v>
      </c>
      <c r="E103" s="430">
        <v>354522</v>
      </c>
      <c r="F103" s="428">
        <v>413448</v>
      </c>
      <c r="G103" s="299">
        <f t="shared" si="8"/>
        <v>2337670</v>
      </c>
      <c r="H103" s="277">
        <f t="shared" si="9"/>
        <v>908340.61565217387</v>
      </c>
      <c r="I103" s="10">
        <f t="shared" si="10"/>
        <v>1429329.3843478262</v>
      </c>
      <c r="J103" s="296">
        <f t="shared" si="11"/>
        <v>-1063013.0344319942</v>
      </c>
      <c r="K103" s="432">
        <v>46423</v>
      </c>
      <c r="L103" s="10">
        <f t="shared" si="12"/>
        <v>113542.57695652173</v>
      </c>
      <c r="M103" s="14">
        <f t="shared" si="13"/>
        <v>0</v>
      </c>
      <c r="N103" s="2">
        <f t="shared" si="14"/>
        <v>0</v>
      </c>
      <c r="O103" s="135">
        <f t="shared" si="15"/>
        <v>-1063013.0344319942</v>
      </c>
      <c r="P103" s="33">
        <f>O103/'D) Ecrêtage'!C103</f>
        <v>-9.3622415742690794</v>
      </c>
      <c r="Q103" s="131"/>
    </row>
    <row r="104" spans="1:17" x14ac:dyDescent="0.25">
      <c r="A104" s="49">
        <f>+'A) Base RI'!A106</f>
        <v>5562</v>
      </c>
      <c r="B104" s="427" t="str">
        <f>+'A) Base RI'!B106</f>
        <v>Mauborget</v>
      </c>
      <c r="C104" s="299">
        <f>+'D) Ecrêtage'!C104</f>
        <v>5487.2855</v>
      </c>
      <c r="D104" s="428">
        <v>31877</v>
      </c>
      <c r="E104" s="430">
        <v>5149</v>
      </c>
      <c r="F104" s="428">
        <v>8024</v>
      </c>
      <c r="G104" s="299">
        <f t="shared" si="8"/>
        <v>45050</v>
      </c>
      <c r="H104" s="277">
        <f t="shared" si="9"/>
        <v>43898.284</v>
      </c>
      <c r="I104" s="10">
        <f t="shared" si="10"/>
        <v>1151.7160000000003</v>
      </c>
      <c r="J104" s="296">
        <f t="shared" si="11"/>
        <v>-856.54792616083864</v>
      </c>
      <c r="K104" s="432">
        <v>3751</v>
      </c>
      <c r="L104" s="10">
        <f t="shared" si="12"/>
        <v>5487.2855</v>
      </c>
      <c r="M104" s="14">
        <f t="shared" si="13"/>
        <v>0</v>
      </c>
      <c r="N104" s="2">
        <f t="shared" si="14"/>
        <v>0</v>
      </c>
      <c r="O104" s="135">
        <f t="shared" si="15"/>
        <v>-856.54792616083864</v>
      </c>
      <c r="P104" s="33">
        <f>O104/'D) Ecrêtage'!C104</f>
        <v>-0.15609683989667361</v>
      </c>
      <c r="Q104" s="131"/>
    </row>
    <row r="105" spans="1:17" x14ac:dyDescent="0.25">
      <c r="A105" s="49">
        <f>+'A) Base RI'!A107</f>
        <v>5563</v>
      </c>
      <c r="B105" s="427" t="str">
        <f>+'A) Base RI'!B107</f>
        <v>Mutrux</v>
      </c>
      <c r="C105" s="299">
        <f>+'D) Ecrêtage'!C105</f>
        <v>4022.9622499999991</v>
      </c>
      <c r="D105" s="428">
        <v>38383</v>
      </c>
      <c r="E105" s="430">
        <v>6668</v>
      </c>
      <c r="F105" s="428">
        <v>20957</v>
      </c>
      <c r="G105" s="299">
        <f t="shared" si="8"/>
        <v>66008</v>
      </c>
      <c r="H105" s="277">
        <f t="shared" si="9"/>
        <v>32183.697999999993</v>
      </c>
      <c r="I105" s="10">
        <f t="shared" si="10"/>
        <v>33824.302000000011</v>
      </c>
      <c r="J105" s="296">
        <f t="shared" si="11"/>
        <v>-25155.624938733079</v>
      </c>
      <c r="K105" s="432">
        <v>9675</v>
      </c>
      <c r="L105" s="10">
        <f t="shared" si="12"/>
        <v>4022.9622499999991</v>
      </c>
      <c r="M105" s="14">
        <f t="shared" si="13"/>
        <v>5652.0377500000013</v>
      </c>
      <c r="N105" s="2">
        <f t="shared" si="14"/>
        <v>-4203.5026111865009</v>
      </c>
      <c r="O105" s="135">
        <f t="shared" si="15"/>
        <v>-29359.12754991958</v>
      </c>
      <c r="P105" s="33">
        <f>O105/'D) Ecrêtage'!C105</f>
        <v>-7.2978879058384365</v>
      </c>
      <c r="Q105" s="131"/>
    </row>
    <row r="106" spans="1:17" x14ac:dyDescent="0.25">
      <c r="A106" s="49">
        <f>+'A) Base RI'!A108</f>
        <v>5564</v>
      </c>
      <c r="B106" s="427" t="str">
        <f>+'A) Base RI'!B108</f>
        <v>Novalles</v>
      </c>
      <c r="C106" s="299">
        <f>+'D) Ecrêtage'!C106</f>
        <v>2263.2775657894736</v>
      </c>
      <c r="D106" s="428">
        <v>6669</v>
      </c>
      <c r="E106" s="430">
        <v>4262</v>
      </c>
      <c r="F106" s="428">
        <v>14013</v>
      </c>
      <c r="G106" s="299">
        <f t="shared" si="8"/>
        <v>24944</v>
      </c>
      <c r="H106" s="277">
        <f t="shared" si="9"/>
        <v>18106.220526315788</v>
      </c>
      <c r="I106" s="10">
        <f t="shared" si="10"/>
        <v>6837.7794736842116</v>
      </c>
      <c r="J106" s="296">
        <f t="shared" si="11"/>
        <v>-5085.3559625197186</v>
      </c>
      <c r="K106" s="432">
        <v>9143</v>
      </c>
      <c r="L106" s="10">
        <f t="shared" si="12"/>
        <v>2263.2775657894736</v>
      </c>
      <c r="M106" s="14">
        <f t="shared" si="13"/>
        <v>6879.7224342105264</v>
      </c>
      <c r="N106" s="2">
        <f t="shared" si="14"/>
        <v>-5116.5495517863965</v>
      </c>
      <c r="O106" s="135">
        <f t="shared" si="15"/>
        <v>-10201.905514306116</v>
      </c>
      <c r="P106" s="33">
        <f>O106/'D) Ecrêtage'!C106</f>
        <v>-4.5075803642084438</v>
      </c>
      <c r="Q106" s="131"/>
    </row>
    <row r="107" spans="1:17" x14ac:dyDescent="0.25">
      <c r="A107" s="49">
        <f>+'A) Base RI'!A109</f>
        <v>5565</v>
      </c>
      <c r="B107" s="427" t="str">
        <f>+'A) Base RI'!B109</f>
        <v>Onnens</v>
      </c>
      <c r="C107" s="299">
        <f>+'D) Ecrêtage'!C107</f>
        <v>18486.800307692305</v>
      </c>
      <c r="D107" s="428">
        <v>135783</v>
      </c>
      <c r="E107" s="430">
        <v>31274</v>
      </c>
      <c r="F107" s="428">
        <v>61327</v>
      </c>
      <c r="G107" s="299">
        <f t="shared" si="8"/>
        <v>228384</v>
      </c>
      <c r="H107" s="277">
        <f t="shared" si="9"/>
        <v>147894.40246153844</v>
      </c>
      <c r="I107" s="10">
        <f t="shared" si="10"/>
        <v>80489.597538461559</v>
      </c>
      <c r="J107" s="296">
        <f t="shared" si="11"/>
        <v>-59861.283379834764</v>
      </c>
      <c r="K107" s="432">
        <v>23711</v>
      </c>
      <c r="L107" s="10">
        <f t="shared" si="12"/>
        <v>18486.800307692305</v>
      </c>
      <c r="M107" s="14">
        <f t="shared" si="13"/>
        <v>5224.1996923076949</v>
      </c>
      <c r="N107" s="2">
        <f t="shared" si="14"/>
        <v>-3885.3132302548947</v>
      </c>
      <c r="O107" s="135">
        <f t="shared" si="15"/>
        <v>-63746.596610089662</v>
      </c>
      <c r="P107" s="33">
        <f>O107/'D) Ecrêtage'!C107</f>
        <v>-3.4482222747635181</v>
      </c>
      <c r="Q107" s="131"/>
    </row>
    <row r="108" spans="1:17" x14ac:dyDescent="0.25">
      <c r="A108" s="49">
        <f>+'A) Base RI'!A110</f>
        <v>5566</v>
      </c>
      <c r="B108" s="427" t="str">
        <f>+'A) Base RI'!B110</f>
        <v>Provence</v>
      </c>
      <c r="C108" s="299">
        <f>+'D) Ecrêtage'!C108</f>
        <v>8488.3012345678999</v>
      </c>
      <c r="D108" s="428">
        <v>282966</v>
      </c>
      <c r="E108" s="430">
        <v>15742</v>
      </c>
      <c r="F108" s="428">
        <v>33627</v>
      </c>
      <c r="G108" s="299">
        <f t="shared" si="8"/>
        <v>332335</v>
      </c>
      <c r="H108" s="277">
        <f t="shared" si="9"/>
        <v>67906.409876543199</v>
      </c>
      <c r="I108" s="10">
        <f t="shared" si="10"/>
        <v>264428.59012345679</v>
      </c>
      <c r="J108" s="296">
        <f t="shared" si="11"/>
        <v>-196659.38520249893</v>
      </c>
      <c r="K108" s="432">
        <v>38045</v>
      </c>
      <c r="L108" s="10">
        <f t="shared" si="12"/>
        <v>8488.3012345678999</v>
      </c>
      <c r="M108" s="14">
        <f t="shared" si="13"/>
        <v>29556.698765432098</v>
      </c>
      <c r="N108" s="2">
        <f t="shared" si="14"/>
        <v>-21981.746395544975</v>
      </c>
      <c r="O108" s="135">
        <f t="shared" si="15"/>
        <v>-218641.1315980439</v>
      </c>
      <c r="P108" s="33">
        <f>O108/'D) Ecrêtage'!C108</f>
        <v>-25.757937372397446</v>
      </c>
      <c r="Q108" s="131"/>
    </row>
    <row r="109" spans="1:17" x14ac:dyDescent="0.25">
      <c r="A109" s="49">
        <f>+'A) Base RI'!A111</f>
        <v>5568</v>
      </c>
      <c r="B109" s="427" t="str">
        <f>+'A) Base RI'!B111</f>
        <v>Sainte-Croix</v>
      </c>
      <c r="C109" s="299">
        <f>+'D) Ecrêtage'!C109</f>
        <v>109300.43271428571</v>
      </c>
      <c r="D109" s="428">
        <v>2052384</v>
      </c>
      <c r="E109" s="430">
        <v>511208</v>
      </c>
      <c r="F109" s="428">
        <v>127961</v>
      </c>
      <c r="G109" s="299">
        <f t="shared" si="8"/>
        <v>2691553</v>
      </c>
      <c r="H109" s="277">
        <f t="shared" si="9"/>
        <v>874403.46171428566</v>
      </c>
      <c r="I109" s="10">
        <f t="shared" si="10"/>
        <v>1817149.5382857143</v>
      </c>
      <c r="J109" s="296">
        <f t="shared" si="11"/>
        <v>-1351440.5187934819</v>
      </c>
      <c r="K109" s="432">
        <v>80117</v>
      </c>
      <c r="L109" s="10">
        <f t="shared" si="12"/>
        <v>109300.43271428571</v>
      </c>
      <c r="M109" s="14">
        <f t="shared" si="13"/>
        <v>0</v>
      </c>
      <c r="N109" s="2">
        <f t="shared" si="14"/>
        <v>0</v>
      </c>
      <c r="O109" s="135">
        <f t="shared" si="15"/>
        <v>-1351440.5187934819</v>
      </c>
      <c r="P109" s="33">
        <f>O109/'D) Ecrêtage'!C109</f>
        <v>-12.364457168492498</v>
      </c>
      <c r="Q109" s="131"/>
    </row>
    <row r="110" spans="1:17" x14ac:dyDescent="0.25">
      <c r="A110" s="49">
        <f>+'A) Base RI'!A112</f>
        <v>5571</v>
      </c>
      <c r="B110" s="427" t="str">
        <f>+'A) Base RI'!B112</f>
        <v>Tévenon</v>
      </c>
      <c r="C110" s="299">
        <f>+'D) Ecrêtage'!C110</f>
        <v>24815.960251141551</v>
      </c>
      <c r="D110" s="428">
        <v>180223</v>
      </c>
      <c r="E110" s="430">
        <v>37014</v>
      </c>
      <c r="F110" s="428">
        <v>116949</v>
      </c>
      <c r="G110" s="299">
        <f t="shared" si="8"/>
        <v>334186</v>
      </c>
      <c r="H110" s="277">
        <f t="shared" si="9"/>
        <v>198527.6820091324</v>
      </c>
      <c r="I110" s="10">
        <f t="shared" si="10"/>
        <v>135658.3179908676</v>
      </c>
      <c r="J110" s="296">
        <f t="shared" si="11"/>
        <v>-100891.06250286112</v>
      </c>
      <c r="K110" s="432">
        <v>53313</v>
      </c>
      <c r="L110" s="10">
        <f t="shared" si="12"/>
        <v>24815.960251141551</v>
      </c>
      <c r="M110" s="14">
        <f t="shared" si="13"/>
        <v>28497.039748858449</v>
      </c>
      <c r="N110" s="2">
        <f t="shared" si="14"/>
        <v>-21193.662585748298</v>
      </c>
      <c r="O110" s="135">
        <f t="shared" si="15"/>
        <v>-122084.72508860943</v>
      </c>
      <c r="P110" s="33">
        <f>O110/'D) Ecrêtage'!C110</f>
        <v>-4.9196051191689607</v>
      </c>
      <c r="Q110" s="131"/>
    </row>
    <row r="111" spans="1:17" x14ac:dyDescent="0.25">
      <c r="A111" s="49">
        <f>+'A) Base RI'!A113</f>
        <v>5581</v>
      </c>
      <c r="B111" s="427" t="str">
        <f>+'A) Base RI'!B113</f>
        <v>Belmont-sur-Lausanne</v>
      </c>
      <c r="C111" s="299">
        <f>+'D) Ecrêtage'!C111</f>
        <v>187774.68592592591</v>
      </c>
      <c r="D111" s="428">
        <v>1328138</v>
      </c>
      <c r="E111" s="430">
        <v>1320682</v>
      </c>
      <c r="F111" s="428">
        <v>229788</v>
      </c>
      <c r="G111" s="299">
        <f t="shared" si="8"/>
        <v>2878608</v>
      </c>
      <c r="H111" s="277">
        <f t="shared" si="9"/>
        <v>1502197.4874074073</v>
      </c>
      <c r="I111" s="10">
        <f t="shared" si="10"/>
        <v>1376410.5125925927</v>
      </c>
      <c r="J111" s="296">
        <f t="shared" si="11"/>
        <v>-1023656.5004802936</v>
      </c>
      <c r="K111" s="432">
        <v>-155</v>
      </c>
      <c r="L111" s="10">
        <f t="shared" si="12"/>
        <v>187774.68592592591</v>
      </c>
      <c r="M111" s="14">
        <f t="shared" si="13"/>
        <v>0</v>
      </c>
      <c r="N111" s="2">
        <f t="shared" si="14"/>
        <v>0</v>
      </c>
      <c r="O111" s="135">
        <f t="shared" si="15"/>
        <v>-1023656.5004802936</v>
      </c>
      <c r="P111" s="33">
        <f>O111/'D) Ecrêtage'!C111</f>
        <v>-5.4515149123141642</v>
      </c>
      <c r="Q111" s="131"/>
    </row>
    <row r="112" spans="1:17" x14ac:dyDescent="0.25">
      <c r="A112" s="49">
        <f>+'A) Base RI'!A114</f>
        <v>5582</v>
      </c>
      <c r="B112" s="427" t="str">
        <f>+'A) Base RI'!B114</f>
        <v>Cheseaux-sur-Lausanne</v>
      </c>
      <c r="C112" s="299">
        <f>+'D) Ecrêtage'!C112</f>
        <v>167195.61731543625</v>
      </c>
      <c r="D112" s="428">
        <v>1281843</v>
      </c>
      <c r="E112" s="430">
        <v>382956</v>
      </c>
      <c r="F112" s="428">
        <v>151833</v>
      </c>
      <c r="G112" s="299">
        <f t="shared" si="8"/>
        <v>1816632</v>
      </c>
      <c r="H112" s="277">
        <f t="shared" si="9"/>
        <v>1337564.93852349</v>
      </c>
      <c r="I112" s="10">
        <f t="shared" si="10"/>
        <v>479067.06147651002</v>
      </c>
      <c r="J112" s="296">
        <f t="shared" si="11"/>
        <v>-356289.1355157622</v>
      </c>
      <c r="K112" s="432">
        <v>69391</v>
      </c>
      <c r="L112" s="10">
        <f t="shared" si="12"/>
        <v>167195.61731543625</v>
      </c>
      <c r="M112" s="14">
        <f t="shared" si="13"/>
        <v>0</v>
      </c>
      <c r="N112" s="2">
        <f t="shared" si="14"/>
        <v>0</v>
      </c>
      <c r="O112" s="135">
        <f t="shared" si="15"/>
        <v>-356289.1355157622</v>
      </c>
      <c r="P112" s="33">
        <f>O112/'D) Ecrêtage'!C112</f>
        <v>-2.1309717397889472</v>
      </c>
      <c r="Q112" s="131"/>
    </row>
    <row r="113" spans="1:17" x14ac:dyDescent="0.25">
      <c r="A113" s="49">
        <f>+'A) Base RI'!A115</f>
        <v>5583</v>
      </c>
      <c r="B113" s="427" t="str">
        <f>+'A) Base RI'!B115</f>
        <v>Crissier</v>
      </c>
      <c r="C113" s="299">
        <f>+'D) Ecrêtage'!C113</f>
        <v>313349.85476923082</v>
      </c>
      <c r="D113" s="428">
        <v>2312675</v>
      </c>
      <c r="E113" s="430">
        <v>3091464</v>
      </c>
      <c r="F113" s="428">
        <v>319158</v>
      </c>
      <c r="G113" s="299">
        <f t="shared" si="8"/>
        <v>5723297</v>
      </c>
      <c r="H113" s="277">
        <f t="shared" si="9"/>
        <v>2506798.8381538466</v>
      </c>
      <c r="I113" s="10">
        <f t="shared" si="10"/>
        <v>3216498.1618461534</v>
      </c>
      <c r="J113" s="296">
        <f t="shared" si="11"/>
        <v>-2392156.4257416511</v>
      </c>
      <c r="K113" s="432">
        <v>80096</v>
      </c>
      <c r="L113" s="10">
        <f t="shared" si="12"/>
        <v>313349.85476923082</v>
      </c>
      <c r="M113" s="14">
        <f t="shared" si="13"/>
        <v>0</v>
      </c>
      <c r="N113" s="2">
        <f t="shared" si="14"/>
        <v>0</v>
      </c>
      <c r="O113" s="135">
        <f t="shared" si="15"/>
        <v>-2392156.4257416511</v>
      </c>
      <c r="P113" s="33">
        <f>O113/'D) Ecrêtage'!C113</f>
        <v>-7.6341392514873672</v>
      </c>
      <c r="Q113" s="131"/>
    </row>
    <row r="114" spans="1:17" x14ac:dyDescent="0.25">
      <c r="A114" s="49">
        <f>+'A) Base RI'!A116</f>
        <v>5584</v>
      </c>
      <c r="B114" s="427" t="str">
        <f>+'A) Base RI'!B116</f>
        <v>Epalinges</v>
      </c>
      <c r="C114" s="299">
        <f>+'D) Ecrêtage'!C114</f>
        <v>475091.38424242428</v>
      </c>
      <c r="D114" s="428">
        <v>4171319</v>
      </c>
      <c r="E114" s="430">
        <v>3761006</v>
      </c>
      <c r="F114" s="428">
        <v>741103</v>
      </c>
      <c r="G114" s="299">
        <f t="shared" si="8"/>
        <v>8673428</v>
      </c>
      <c r="H114" s="277">
        <f t="shared" si="9"/>
        <v>3800731.0739393942</v>
      </c>
      <c r="I114" s="10">
        <f t="shared" si="10"/>
        <v>4872696.9260606058</v>
      </c>
      <c r="J114" s="296">
        <f t="shared" si="11"/>
        <v>-3623895.5148903932</v>
      </c>
      <c r="K114" s="432">
        <v>337724</v>
      </c>
      <c r="L114" s="10">
        <f t="shared" si="12"/>
        <v>475091.38424242428</v>
      </c>
      <c r="M114" s="14">
        <f t="shared" si="13"/>
        <v>0</v>
      </c>
      <c r="N114" s="2">
        <f t="shared" si="14"/>
        <v>0</v>
      </c>
      <c r="O114" s="135">
        <f t="shared" si="15"/>
        <v>-3623895.5148903932</v>
      </c>
      <c r="P114" s="33">
        <f>O114/'D) Ecrêtage'!C114</f>
        <v>-7.627786221947634</v>
      </c>
      <c r="Q114" s="131"/>
    </row>
    <row r="115" spans="1:17" x14ac:dyDescent="0.25">
      <c r="A115" s="49">
        <f>+'A) Base RI'!A117</f>
        <v>5585</v>
      </c>
      <c r="B115" s="427" t="str">
        <f>+'A) Base RI'!B117</f>
        <v>Jouxtens-Mézery</v>
      </c>
      <c r="C115" s="299">
        <f>+'D) Ecrêtage'!C115</f>
        <v>229695.06966101698</v>
      </c>
      <c r="D115" s="428">
        <v>447774</v>
      </c>
      <c r="E115" s="430">
        <v>108458</v>
      </c>
      <c r="F115" s="428">
        <v>50130</v>
      </c>
      <c r="G115" s="299">
        <f t="shared" si="8"/>
        <v>606362</v>
      </c>
      <c r="H115" s="277">
        <f t="shared" si="9"/>
        <v>1837560.5572881359</v>
      </c>
      <c r="I115" s="10">
        <f t="shared" si="10"/>
        <v>0</v>
      </c>
      <c r="J115" s="296">
        <f t="shared" si="11"/>
        <v>0</v>
      </c>
      <c r="K115" s="432">
        <v>42853</v>
      </c>
      <c r="L115" s="10">
        <f t="shared" si="12"/>
        <v>229695.06966101698</v>
      </c>
      <c r="M115" s="14">
        <f t="shared" si="13"/>
        <v>0</v>
      </c>
      <c r="N115" s="2">
        <f t="shared" si="14"/>
        <v>0</v>
      </c>
      <c r="O115" s="135">
        <f t="shared" si="15"/>
        <v>0</v>
      </c>
      <c r="P115" s="33">
        <f>O115/'D) Ecrêtage'!C115</f>
        <v>0</v>
      </c>
      <c r="Q115" s="131"/>
    </row>
    <row r="116" spans="1:17" x14ac:dyDescent="0.25">
      <c r="A116" s="49">
        <f>+'A) Base RI'!A118</f>
        <v>5586</v>
      </c>
      <c r="B116" s="427" t="str">
        <f>+'A) Base RI'!B118</f>
        <v>Lausanne</v>
      </c>
      <c r="C116" s="299">
        <f>+'D) Ecrêtage'!C116</f>
        <v>6038274.9810970454</v>
      </c>
      <c r="D116" s="428">
        <v>66149191</v>
      </c>
      <c r="E116" s="430">
        <v>57266521</v>
      </c>
      <c r="F116" s="428">
        <v>2617997</v>
      </c>
      <c r="G116" s="299">
        <f t="shared" si="8"/>
        <v>126033709</v>
      </c>
      <c r="H116" s="277">
        <f t="shared" si="9"/>
        <v>48306199.848776363</v>
      </c>
      <c r="I116" s="10">
        <f t="shared" si="10"/>
        <v>77727509.15122363</v>
      </c>
      <c r="J116" s="296">
        <f t="shared" si="11"/>
        <v>-57807078.107040443</v>
      </c>
      <c r="K116" s="432">
        <v>2410852</v>
      </c>
      <c r="L116" s="10">
        <f t="shared" si="12"/>
        <v>6038274.9810970454</v>
      </c>
      <c r="M116" s="14">
        <f t="shared" si="13"/>
        <v>0</v>
      </c>
      <c r="N116" s="2">
        <f t="shared" si="14"/>
        <v>0</v>
      </c>
      <c r="O116" s="135">
        <f t="shared" si="15"/>
        <v>-57807078.107040443</v>
      </c>
      <c r="P116" s="33">
        <f>O116/'D) Ecrêtage'!C116</f>
        <v>-9.5734424629561907</v>
      </c>
      <c r="Q116" s="131"/>
    </row>
    <row r="117" spans="1:17" x14ac:dyDescent="0.25">
      <c r="A117" s="49">
        <f>+'A) Base RI'!A119</f>
        <v>5587</v>
      </c>
      <c r="B117" s="427" t="str">
        <f>+'A) Base RI'!B119</f>
        <v>Le Mont-sur-Lausanne</v>
      </c>
      <c r="C117" s="299">
        <f>+'D) Ecrêtage'!C117</f>
        <v>437426.32075555553</v>
      </c>
      <c r="D117" s="428">
        <v>3909539</v>
      </c>
      <c r="E117" s="430">
        <v>2375706</v>
      </c>
      <c r="F117" s="428">
        <v>672562</v>
      </c>
      <c r="G117" s="299">
        <f t="shared" si="8"/>
        <v>6957807</v>
      </c>
      <c r="H117" s="277">
        <f t="shared" si="9"/>
        <v>3499410.5660444442</v>
      </c>
      <c r="I117" s="10">
        <f t="shared" si="10"/>
        <v>3458396.4339555558</v>
      </c>
      <c r="J117" s="296">
        <f t="shared" si="11"/>
        <v>-2572059.6860221359</v>
      </c>
      <c r="K117" s="432">
        <v>36888</v>
      </c>
      <c r="L117" s="10">
        <f t="shared" si="12"/>
        <v>437426.32075555553</v>
      </c>
      <c r="M117" s="14">
        <f t="shared" si="13"/>
        <v>0</v>
      </c>
      <c r="N117" s="2">
        <f t="shared" si="14"/>
        <v>0</v>
      </c>
      <c r="O117" s="135">
        <f t="shared" si="15"/>
        <v>-2572059.6860221359</v>
      </c>
      <c r="P117" s="33">
        <f>O117/'D) Ecrêtage'!C117</f>
        <v>-5.8799838143701129</v>
      </c>
      <c r="Q117" s="131"/>
    </row>
    <row r="118" spans="1:17" x14ac:dyDescent="0.25">
      <c r="A118" s="49">
        <f>+'A) Base RI'!A120</f>
        <v>5588</v>
      </c>
      <c r="B118" s="427" t="str">
        <f>+'A) Base RI'!B120</f>
        <v>Paudex</v>
      </c>
      <c r="C118" s="299">
        <f>+'D) Ecrêtage'!C118</f>
        <v>134588.09264705883</v>
      </c>
      <c r="D118" s="428">
        <v>191096</v>
      </c>
      <c r="E118" s="430">
        <v>508484</v>
      </c>
      <c r="F118" s="428">
        <v>34877</v>
      </c>
      <c r="G118" s="299">
        <f t="shared" si="8"/>
        <v>734457</v>
      </c>
      <c r="H118" s="277">
        <f t="shared" si="9"/>
        <v>1076704.7411764706</v>
      </c>
      <c r="I118" s="10">
        <f t="shared" si="10"/>
        <v>0</v>
      </c>
      <c r="J118" s="296">
        <f t="shared" si="11"/>
        <v>0</v>
      </c>
      <c r="K118" s="432">
        <v>0</v>
      </c>
      <c r="L118" s="10">
        <f t="shared" si="12"/>
        <v>134588.09264705883</v>
      </c>
      <c r="M118" s="14">
        <f t="shared" si="13"/>
        <v>0</v>
      </c>
      <c r="N118" s="2">
        <f t="shared" si="14"/>
        <v>0</v>
      </c>
      <c r="O118" s="135">
        <f t="shared" si="15"/>
        <v>0</v>
      </c>
      <c r="P118" s="33">
        <f>O118/'D) Ecrêtage'!C118</f>
        <v>0</v>
      </c>
      <c r="Q118" s="131"/>
    </row>
    <row r="119" spans="1:17" x14ac:dyDescent="0.25">
      <c r="A119" s="49">
        <f>+'A) Base RI'!A121</f>
        <v>5589</v>
      </c>
      <c r="B119" s="427" t="str">
        <f>+'A) Base RI'!B121</f>
        <v>Prilly</v>
      </c>
      <c r="C119" s="299">
        <f>+'D) Ecrêtage'!C119</f>
        <v>418113.86360020924</v>
      </c>
      <c r="D119" s="428">
        <v>3088088</v>
      </c>
      <c r="E119" s="430">
        <v>3912591</v>
      </c>
      <c r="F119" s="428">
        <v>145440</v>
      </c>
      <c r="G119" s="299">
        <f t="shared" si="8"/>
        <v>7146119</v>
      </c>
      <c r="H119" s="277">
        <f t="shared" si="9"/>
        <v>3344910.9088016739</v>
      </c>
      <c r="I119" s="10">
        <f t="shared" si="10"/>
        <v>3801208.0911983261</v>
      </c>
      <c r="J119" s="296">
        <f t="shared" si="11"/>
        <v>-2827013.6973192398</v>
      </c>
      <c r="K119" s="432">
        <v>21782</v>
      </c>
      <c r="L119" s="10">
        <f t="shared" si="12"/>
        <v>418113.86360020924</v>
      </c>
      <c r="M119" s="14">
        <f t="shared" si="13"/>
        <v>0</v>
      </c>
      <c r="N119" s="2">
        <f t="shared" si="14"/>
        <v>0</v>
      </c>
      <c r="O119" s="135">
        <f t="shared" si="15"/>
        <v>-2827013.6973192398</v>
      </c>
      <c r="P119" s="33">
        <f>O119/'D) Ecrêtage'!C119</f>
        <v>-6.7613488655386096</v>
      </c>
      <c r="Q119" s="131"/>
    </row>
    <row r="120" spans="1:17" x14ac:dyDescent="0.25">
      <c r="A120" s="49">
        <f>+'A) Base RI'!A122</f>
        <v>5590</v>
      </c>
      <c r="B120" s="427" t="str">
        <f>+'A) Base RI'!B122</f>
        <v>Pully</v>
      </c>
      <c r="C120" s="299">
        <f>+'D) Ecrêtage'!C120</f>
        <v>1533094.7704683845</v>
      </c>
      <c r="D120" s="428">
        <v>5687081</v>
      </c>
      <c r="E120" s="430">
        <v>9028822</v>
      </c>
      <c r="F120" s="428">
        <v>351104</v>
      </c>
      <c r="G120" s="299">
        <f t="shared" si="8"/>
        <v>15067007</v>
      </c>
      <c r="H120" s="277">
        <f t="shared" si="9"/>
        <v>12264758.163747076</v>
      </c>
      <c r="I120" s="10">
        <f t="shared" si="10"/>
        <v>2802248.8362529241</v>
      </c>
      <c r="J120" s="296">
        <f t="shared" si="11"/>
        <v>-2084073.182346225</v>
      </c>
      <c r="K120" s="432">
        <v>515446</v>
      </c>
      <c r="L120" s="10">
        <f t="shared" si="12"/>
        <v>1533094.7704683845</v>
      </c>
      <c r="M120" s="14">
        <f t="shared" si="13"/>
        <v>0</v>
      </c>
      <c r="N120" s="2">
        <f t="shared" si="14"/>
        <v>0</v>
      </c>
      <c r="O120" s="135">
        <f t="shared" si="15"/>
        <v>-2084073.182346225</v>
      </c>
      <c r="P120" s="33">
        <f>O120/'D) Ecrêtage'!C120</f>
        <v>-1.3593896623295558</v>
      </c>
      <c r="Q120" s="131"/>
    </row>
    <row r="121" spans="1:17" x14ac:dyDescent="0.25">
      <c r="A121" s="49">
        <f>+'A) Base RI'!A123</f>
        <v>5591</v>
      </c>
      <c r="B121" s="427" t="str">
        <f>+'A) Base RI'!B123</f>
        <v>Renens</v>
      </c>
      <c r="C121" s="299">
        <f>+'D) Ecrêtage'!C121</f>
        <v>563128.30316651508</v>
      </c>
      <c r="D121" s="428">
        <v>4212311</v>
      </c>
      <c r="E121" s="430">
        <v>8459721</v>
      </c>
      <c r="F121" s="428">
        <v>182416</v>
      </c>
      <c r="G121" s="299">
        <f t="shared" si="8"/>
        <v>12854448</v>
      </c>
      <c r="H121" s="277">
        <f t="shared" si="9"/>
        <v>4505026.4253321206</v>
      </c>
      <c r="I121" s="10">
        <f t="shared" si="10"/>
        <v>8349421.5746678794</v>
      </c>
      <c r="J121" s="296">
        <f t="shared" si="11"/>
        <v>-6209586.1604981907</v>
      </c>
      <c r="K121" s="432">
        <v>48290</v>
      </c>
      <c r="L121" s="10">
        <f t="shared" si="12"/>
        <v>563128.30316651508</v>
      </c>
      <c r="M121" s="14">
        <f t="shared" si="13"/>
        <v>0</v>
      </c>
      <c r="N121" s="2">
        <f t="shared" si="14"/>
        <v>0</v>
      </c>
      <c r="O121" s="135">
        <f t="shared" si="15"/>
        <v>-6209586.1604981907</v>
      </c>
      <c r="P121" s="33">
        <f>O121/'D) Ecrêtage'!C121</f>
        <v>-11.026947368088578</v>
      </c>
      <c r="Q121" s="131"/>
    </row>
    <row r="122" spans="1:17" x14ac:dyDescent="0.25">
      <c r="A122" s="49">
        <f>+'A) Base RI'!A124</f>
        <v>5592</v>
      </c>
      <c r="B122" s="427" t="str">
        <f>+'A) Base RI'!B124</f>
        <v>Romanel-sur-Lausanne</v>
      </c>
      <c r="C122" s="299">
        <f>+'D) Ecrêtage'!C122</f>
        <v>113674.73902777777</v>
      </c>
      <c r="D122" s="428">
        <v>1007197</v>
      </c>
      <c r="E122" s="430">
        <v>244122</v>
      </c>
      <c r="F122" s="428">
        <v>27821</v>
      </c>
      <c r="G122" s="299">
        <f t="shared" si="8"/>
        <v>1279140</v>
      </c>
      <c r="H122" s="277">
        <f t="shared" si="9"/>
        <v>909397.91222222219</v>
      </c>
      <c r="I122" s="10">
        <f t="shared" si="10"/>
        <v>369742.08777777781</v>
      </c>
      <c r="J122" s="296">
        <f t="shared" si="11"/>
        <v>-274982.56384424132</v>
      </c>
      <c r="K122" s="432">
        <v>9159</v>
      </c>
      <c r="L122" s="10">
        <f t="shared" si="12"/>
        <v>113674.73902777777</v>
      </c>
      <c r="M122" s="14">
        <f t="shared" si="13"/>
        <v>0</v>
      </c>
      <c r="N122" s="2">
        <f t="shared" si="14"/>
        <v>0</v>
      </c>
      <c r="O122" s="135">
        <f t="shared" si="15"/>
        <v>-274982.56384424132</v>
      </c>
      <c r="P122" s="33">
        <f>O122/'D) Ecrêtage'!C122</f>
        <v>-2.4190296471852561</v>
      </c>
      <c r="Q122" s="131"/>
    </row>
    <row r="123" spans="1:17" x14ac:dyDescent="0.25">
      <c r="A123" s="49">
        <f>+'A) Base RI'!A125</f>
        <v>5601</v>
      </c>
      <c r="B123" s="427" t="str">
        <f>+'A) Base RI'!B125</f>
        <v>Chexbres</v>
      </c>
      <c r="C123" s="299">
        <f>+'D) Ecrêtage'!C123</f>
        <v>103470.98536231882</v>
      </c>
      <c r="D123" s="428">
        <v>764778</v>
      </c>
      <c r="E123" s="430">
        <v>169442</v>
      </c>
      <c r="F123" s="428">
        <v>300501</v>
      </c>
      <c r="G123" s="299">
        <f t="shared" si="8"/>
        <v>1234721</v>
      </c>
      <c r="H123" s="277">
        <f t="shared" si="9"/>
        <v>827767.8828985506</v>
      </c>
      <c r="I123" s="10">
        <f t="shared" si="10"/>
        <v>406953.1171014494</v>
      </c>
      <c r="J123" s="296">
        <f t="shared" si="11"/>
        <v>-302656.94711016893</v>
      </c>
      <c r="K123" s="432">
        <v>54495</v>
      </c>
      <c r="L123" s="10">
        <f t="shared" si="12"/>
        <v>103470.98536231882</v>
      </c>
      <c r="M123" s="14">
        <f t="shared" si="13"/>
        <v>0</v>
      </c>
      <c r="N123" s="2">
        <f t="shared" si="14"/>
        <v>0</v>
      </c>
      <c r="O123" s="135">
        <f t="shared" si="15"/>
        <v>-302656.94711016893</v>
      </c>
      <c r="P123" s="33">
        <f>O123/'D) Ecrêtage'!C123</f>
        <v>-2.9250417017908088</v>
      </c>
      <c r="Q123" s="131"/>
    </row>
    <row r="124" spans="1:17" x14ac:dyDescent="0.25">
      <c r="A124" s="49">
        <f>+'A) Base RI'!A126</f>
        <v>5604</v>
      </c>
      <c r="B124" s="427" t="str">
        <f>+'A) Base RI'!B126</f>
        <v>Forel (Lavaux)</v>
      </c>
      <c r="C124" s="299">
        <f>+'D) Ecrêtage'!C124</f>
        <v>73971.129714285707</v>
      </c>
      <c r="D124" s="428">
        <v>693680</v>
      </c>
      <c r="E124" s="430">
        <v>92104</v>
      </c>
      <c r="F124" s="428">
        <v>275376</v>
      </c>
      <c r="G124" s="299">
        <f t="shared" si="8"/>
        <v>1061160</v>
      </c>
      <c r="H124" s="277">
        <f t="shared" si="9"/>
        <v>591769.03771428566</v>
      </c>
      <c r="I124" s="10">
        <f t="shared" si="10"/>
        <v>469390.96228571434</v>
      </c>
      <c r="J124" s="296">
        <f t="shared" si="11"/>
        <v>-349092.8799326127</v>
      </c>
      <c r="K124" s="432">
        <v>45701</v>
      </c>
      <c r="L124" s="10">
        <f t="shared" si="12"/>
        <v>73971.129714285707</v>
      </c>
      <c r="M124" s="14">
        <f t="shared" si="13"/>
        <v>0</v>
      </c>
      <c r="N124" s="2">
        <f t="shared" si="14"/>
        <v>0</v>
      </c>
      <c r="O124" s="135">
        <f t="shared" si="15"/>
        <v>-349092.8799326127</v>
      </c>
      <c r="P124" s="33">
        <f>O124/'D) Ecrêtage'!C124</f>
        <v>-4.7193125382968697</v>
      </c>
      <c r="Q124" s="131"/>
    </row>
    <row r="125" spans="1:17" x14ac:dyDescent="0.25">
      <c r="A125" s="49">
        <f>+'A) Base RI'!A127</f>
        <v>5606</v>
      </c>
      <c r="B125" s="427" t="str">
        <f>+'A) Base RI'!B127</f>
        <v>Lutry</v>
      </c>
      <c r="C125" s="299">
        <f>+'D) Ecrêtage'!C125</f>
        <v>806998.35454311455</v>
      </c>
      <c r="D125" s="428">
        <v>4571175</v>
      </c>
      <c r="E125" s="430">
        <v>3637269</v>
      </c>
      <c r="F125" s="428">
        <v>1695168</v>
      </c>
      <c r="G125" s="299">
        <f t="shared" si="8"/>
        <v>9903612</v>
      </c>
      <c r="H125" s="277">
        <f t="shared" si="9"/>
        <v>6455986.8363449164</v>
      </c>
      <c r="I125" s="10">
        <f t="shared" si="10"/>
        <v>3447625.1636550836</v>
      </c>
      <c r="J125" s="296">
        <f t="shared" si="11"/>
        <v>-2564048.9357694807</v>
      </c>
      <c r="K125" s="432">
        <v>251986</v>
      </c>
      <c r="L125" s="10">
        <f t="shared" si="12"/>
        <v>806998.35454311455</v>
      </c>
      <c r="M125" s="14">
        <f t="shared" si="13"/>
        <v>0</v>
      </c>
      <c r="N125" s="2">
        <f t="shared" si="14"/>
        <v>0</v>
      </c>
      <c r="O125" s="135">
        <f t="shared" si="15"/>
        <v>-2564048.9357694807</v>
      </c>
      <c r="P125" s="33">
        <f>O125/'D) Ecrêtage'!C125</f>
        <v>-3.1772666218398022</v>
      </c>
      <c r="Q125" s="131"/>
    </row>
    <row r="126" spans="1:17" x14ac:dyDescent="0.25">
      <c r="A126" s="49">
        <f>+'A) Base RI'!A128</f>
        <v>5607</v>
      </c>
      <c r="B126" s="427" t="str">
        <f>+'A) Base RI'!B128</f>
        <v>Puidoux</v>
      </c>
      <c r="C126" s="299">
        <f>+'D) Ecrêtage'!C126</f>
        <v>100918.13995031056</v>
      </c>
      <c r="D126" s="428">
        <v>1221087</v>
      </c>
      <c r="E126" s="430">
        <v>272560</v>
      </c>
      <c r="F126" s="428">
        <v>405899</v>
      </c>
      <c r="G126" s="299">
        <f t="shared" si="8"/>
        <v>1899546</v>
      </c>
      <c r="H126" s="277">
        <f t="shared" si="9"/>
        <v>807345.11960248451</v>
      </c>
      <c r="I126" s="10">
        <f t="shared" si="10"/>
        <v>1092200.8803975154</v>
      </c>
      <c r="J126" s="296">
        <f t="shared" si="11"/>
        <v>-812285.66682718112</v>
      </c>
      <c r="K126" s="432">
        <v>8687</v>
      </c>
      <c r="L126" s="10">
        <f t="shared" si="12"/>
        <v>100918.13995031056</v>
      </c>
      <c r="M126" s="14">
        <f t="shared" si="13"/>
        <v>0</v>
      </c>
      <c r="N126" s="2">
        <f t="shared" si="14"/>
        <v>0</v>
      </c>
      <c r="O126" s="135">
        <f t="shared" si="15"/>
        <v>-812285.66682718112</v>
      </c>
      <c r="P126" s="33">
        <f>O126/'D) Ecrêtage'!C126</f>
        <v>-8.0489559877652237</v>
      </c>
      <c r="Q126" s="131"/>
    </row>
    <row r="127" spans="1:17" x14ac:dyDescent="0.25">
      <c r="A127" s="49">
        <f>+'A) Base RI'!A129</f>
        <v>5609</v>
      </c>
      <c r="B127" s="427" t="str">
        <f>+'A) Base RI'!B129</f>
        <v>Rivaz</v>
      </c>
      <c r="C127" s="299">
        <f>+'D) Ecrêtage'!C127</f>
        <v>13641.583779527558</v>
      </c>
      <c r="D127" s="428">
        <v>92973</v>
      </c>
      <c r="E127" s="430">
        <v>33881</v>
      </c>
      <c r="F127" s="428">
        <v>39820</v>
      </c>
      <c r="G127" s="299">
        <f t="shared" si="8"/>
        <v>166674</v>
      </c>
      <c r="H127" s="277">
        <f t="shared" si="9"/>
        <v>109132.67023622047</v>
      </c>
      <c r="I127" s="10">
        <f t="shared" si="10"/>
        <v>57541.329763779533</v>
      </c>
      <c r="J127" s="296">
        <f t="shared" si="11"/>
        <v>-42794.323147114643</v>
      </c>
      <c r="K127" s="432">
        <v>25109</v>
      </c>
      <c r="L127" s="10">
        <f t="shared" si="12"/>
        <v>13641.583779527558</v>
      </c>
      <c r="M127" s="14">
        <f t="shared" si="13"/>
        <v>11467.416220472442</v>
      </c>
      <c r="N127" s="2">
        <f t="shared" si="14"/>
        <v>-8528.4840898874627</v>
      </c>
      <c r="O127" s="135">
        <f t="shared" si="15"/>
        <v>-51322.807237002104</v>
      </c>
      <c r="P127" s="33">
        <f>O127/'D) Ecrêtage'!C127</f>
        <v>-3.7622323086872203</v>
      </c>
      <c r="Q127" s="131"/>
    </row>
    <row r="128" spans="1:17" x14ac:dyDescent="0.25">
      <c r="A128" s="49">
        <f>+'A) Base RI'!A130</f>
        <v>5610</v>
      </c>
      <c r="B128" s="427" t="str">
        <f>+'A) Base RI'!B130</f>
        <v>St-Saphorin (Lavaux)</v>
      </c>
      <c r="C128" s="299">
        <f>+'D) Ecrêtage'!C128</f>
        <v>22278.713000000003</v>
      </c>
      <c r="D128" s="428">
        <v>120668</v>
      </c>
      <c r="E128" s="430">
        <v>37004</v>
      </c>
      <c r="F128" s="428">
        <v>50625</v>
      </c>
      <c r="G128" s="299">
        <f t="shared" si="8"/>
        <v>208297</v>
      </c>
      <c r="H128" s="277">
        <f t="shared" si="9"/>
        <v>178229.70400000003</v>
      </c>
      <c r="I128" s="10">
        <f t="shared" si="10"/>
        <v>30067.295999999973</v>
      </c>
      <c r="J128" s="296">
        <f t="shared" si="11"/>
        <v>-22361.484978991393</v>
      </c>
      <c r="K128" s="432">
        <v>10765</v>
      </c>
      <c r="L128" s="10">
        <f t="shared" si="12"/>
        <v>22278.713000000003</v>
      </c>
      <c r="M128" s="14">
        <f t="shared" si="13"/>
        <v>0</v>
      </c>
      <c r="N128" s="2">
        <f t="shared" si="14"/>
        <v>0</v>
      </c>
      <c r="O128" s="135">
        <f t="shared" si="15"/>
        <v>-22361.484978991393</v>
      </c>
      <c r="P128" s="33">
        <f>O128/'D) Ecrêtage'!C128</f>
        <v>-1.0037152944602945</v>
      </c>
      <c r="Q128" s="131"/>
    </row>
    <row r="129" spans="1:17" x14ac:dyDescent="0.25">
      <c r="A129" s="49">
        <f>+'A) Base RI'!A131</f>
        <v>5611</v>
      </c>
      <c r="B129" s="427" t="str">
        <f>+'A) Base RI'!B131</f>
        <v>Savigny</v>
      </c>
      <c r="C129" s="299">
        <f>+'D) Ecrêtage'!C129</f>
        <v>134929.74355072467</v>
      </c>
      <c r="D129" s="428">
        <v>1175695</v>
      </c>
      <c r="E129" s="430">
        <v>148331</v>
      </c>
      <c r="F129" s="428">
        <v>417900</v>
      </c>
      <c r="G129" s="299">
        <f t="shared" si="8"/>
        <v>1741926</v>
      </c>
      <c r="H129" s="277">
        <f t="shared" si="9"/>
        <v>1079437.9484057974</v>
      </c>
      <c r="I129" s="10">
        <f t="shared" si="10"/>
        <v>662488.05159420264</v>
      </c>
      <c r="J129" s="296">
        <f t="shared" si="11"/>
        <v>-492701.99137578084</v>
      </c>
      <c r="K129" s="432">
        <v>30299</v>
      </c>
      <c r="L129" s="10">
        <f t="shared" si="12"/>
        <v>134929.74355072467</v>
      </c>
      <c r="M129" s="14">
        <f t="shared" si="13"/>
        <v>0</v>
      </c>
      <c r="N129" s="2">
        <f t="shared" si="14"/>
        <v>0</v>
      </c>
      <c r="O129" s="135">
        <f t="shared" si="15"/>
        <v>-492701.99137578084</v>
      </c>
      <c r="P129" s="33">
        <f>O129/'D) Ecrêtage'!C129</f>
        <v>-3.6515447106779497</v>
      </c>
      <c r="Q129" s="131"/>
    </row>
    <row r="130" spans="1:17" x14ac:dyDescent="0.25">
      <c r="A130" s="49">
        <f>+'A) Base RI'!A132</f>
        <v>5613</v>
      </c>
      <c r="B130" s="427" t="str">
        <f>+'A) Base RI'!B132</f>
        <v>Bourg-en-Lavaux</v>
      </c>
      <c r="C130" s="299">
        <f>+'D) Ecrêtage'!C130</f>
        <v>333126.87406250008</v>
      </c>
      <c r="D130" s="428">
        <v>1531060</v>
      </c>
      <c r="E130" s="430">
        <v>395711</v>
      </c>
      <c r="F130" s="428">
        <v>653504</v>
      </c>
      <c r="G130" s="299">
        <f t="shared" si="8"/>
        <v>2580275</v>
      </c>
      <c r="H130" s="277">
        <f t="shared" si="9"/>
        <v>2665014.9925000006</v>
      </c>
      <c r="I130" s="10">
        <f t="shared" si="10"/>
        <v>0</v>
      </c>
      <c r="J130" s="296">
        <f t="shared" si="11"/>
        <v>0</v>
      </c>
      <c r="K130" s="432">
        <v>85450</v>
      </c>
      <c r="L130" s="10">
        <f t="shared" si="12"/>
        <v>333126.87406250008</v>
      </c>
      <c r="M130" s="14">
        <f t="shared" si="13"/>
        <v>0</v>
      </c>
      <c r="N130" s="2">
        <f t="shared" si="14"/>
        <v>0</v>
      </c>
      <c r="O130" s="135">
        <f t="shared" si="15"/>
        <v>0</v>
      </c>
      <c r="P130" s="33">
        <f>O130/'D) Ecrêtage'!C130</f>
        <v>0</v>
      </c>
      <c r="Q130" s="131"/>
    </row>
    <row r="131" spans="1:17" x14ac:dyDescent="0.25">
      <c r="A131" s="49">
        <f>+'A) Base RI'!A133</f>
        <v>5621</v>
      </c>
      <c r="B131" s="427" t="str">
        <f>+'A) Base RI'!B133</f>
        <v>Aclens</v>
      </c>
      <c r="C131" s="299">
        <f>+'D) Ecrêtage'!C131</f>
        <v>27514.906070381232</v>
      </c>
      <c r="D131" s="428">
        <v>129742</v>
      </c>
      <c r="E131" s="430">
        <v>18316</v>
      </c>
      <c r="F131" s="428">
        <v>52785</v>
      </c>
      <c r="G131" s="299">
        <f t="shared" si="8"/>
        <v>200843</v>
      </c>
      <c r="H131" s="277">
        <f t="shared" si="9"/>
        <v>220119.24856304986</v>
      </c>
      <c r="I131" s="10">
        <f t="shared" si="10"/>
        <v>0</v>
      </c>
      <c r="J131" s="296">
        <f t="shared" si="11"/>
        <v>0</v>
      </c>
      <c r="K131" s="432">
        <v>31783</v>
      </c>
      <c r="L131" s="10">
        <f t="shared" si="12"/>
        <v>27514.906070381232</v>
      </c>
      <c r="M131" s="14">
        <f t="shared" si="13"/>
        <v>4268.093929618768</v>
      </c>
      <c r="N131" s="2">
        <f t="shared" si="14"/>
        <v>-3174.2434802283024</v>
      </c>
      <c r="O131" s="135">
        <f t="shared" si="15"/>
        <v>-3174.2434802283024</v>
      </c>
      <c r="P131" s="33">
        <f>O131/'D) Ecrêtage'!C131</f>
        <v>-0.11536450359339066</v>
      </c>
      <c r="Q131" s="131"/>
    </row>
    <row r="132" spans="1:17" x14ac:dyDescent="0.25">
      <c r="A132" s="49">
        <f>+'A) Base RI'!A134</f>
        <v>5622</v>
      </c>
      <c r="B132" s="427" t="str">
        <f>+'A) Base RI'!B134</f>
        <v>Bremblens</v>
      </c>
      <c r="C132" s="299">
        <f>+'D) Ecrêtage'!C132</f>
        <v>27505.151666666668</v>
      </c>
      <c r="D132" s="428">
        <v>89645</v>
      </c>
      <c r="E132" s="430">
        <v>18760</v>
      </c>
      <c r="F132" s="428">
        <v>57065</v>
      </c>
      <c r="G132" s="299">
        <f t="shared" si="8"/>
        <v>165470</v>
      </c>
      <c r="H132" s="277">
        <f t="shared" si="9"/>
        <v>220041.21333333335</v>
      </c>
      <c r="I132" s="10">
        <f t="shared" si="10"/>
        <v>0</v>
      </c>
      <c r="J132" s="296">
        <f t="shared" si="11"/>
        <v>0</v>
      </c>
      <c r="K132" s="432">
        <v>14086</v>
      </c>
      <c r="L132" s="10">
        <f t="shared" si="12"/>
        <v>27505.151666666668</v>
      </c>
      <c r="M132" s="14">
        <f t="shared" si="13"/>
        <v>0</v>
      </c>
      <c r="N132" s="2">
        <f t="shared" si="14"/>
        <v>0</v>
      </c>
      <c r="O132" s="135">
        <f t="shared" si="15"/>
        <v>0</v>
      </c>
      <c r="P132" s="33">
        <f>O132/'D) Ecrêtage'!C132</f>
        <v>0</v>
      </c>
      <c r="Q132" s="131"/>
    </row>
    <row r="133" spans="1:17" x14ac:dyDescent="0.25">
      <c r="A133" s="49">
        <f>+'A) Base RI'!A135</f>
        <v>5623</v>
      </c>
      <c r="B133" s="427" t="str">
        <f>+'A) Base RI'!B135</f>
        <v>Buchillon</v>
      </c>
      <c r="C133" s="299">
        <f>+'D) Ecrêtage'!C133</f>
        <v>89779.897358490547</v>
      </c>
      <c r="D133" s="428">
        <v>92163</v>
      </c>
      <c r="E133" s="430">
        <v>59502</v>
      </c>
      <c r="F133" s="428">
        <v>64604</v>
      </c>
      <c r="G133" s="299">
        <f t="shared" si="8"/>
        <v>216269</v>
      </c>
      <c r="H133" s="277">
        <f t="shared" si="9"/>
        <v>718239.17886792438</v>
      </c>
      <c r="I133" s="10">
        <f t="shared" si="10"/>
        <v>0</v>
      </c>
      <c r="J133" s="296">
        <f t="shared" si="11"/>
        <v>0</v>
      </c>
      <c r="K133" s="432">
        <v>10740</v>
      </c>
      <c r="L133" s="10">
        <f t="shared" si="12"/>
        <v>89779.897358490547</v>
      </c>
      <c r="M133" s="14">
        <f t="shared" si="13"/>
        <v>0</v>
      </c>
      <c r="N133" s="2">
        <f t="shared" si="14"/>
        <v>0</v>
      </c>
      <c r="O133" s="135">
        <f t="shared" si="15"/>
        <v>0</v>
      </c>
      <c r="P133" s="33">
        <f>O133/'D) Ecrêtage'!C133</f>
        <v>0</v>
      </c>
      <c r="Q133" s="131"/>
    </row>
    <row r="134" spans="1:17" x14ac:dyDescent="0.25">
      <c r="A134" s="49">
        <f>+'A) Base RI'!A136</f>
        <v>5624</v>
      </c>
      <c r="B134" s="427" t="str">
        <f>+'A) Base RI'!B136</f>
        <v>Bussigny</v>
      </c>
      <c r="C134" s="299">
        <f>+'D) Ecrêtage'!C134</f>
        <v>397950.93625000003</v>
      </c>
      <c r="D134" s="428">
        <v>1719900</v>
      </c>
      <c r="E134" s="430">
        <v>2607398</v>
      </c>
      <c r="F134" s="428">
        <v>265496</v>
      </c>
      <c r="G134" s="299">
        <f t="shared" ref="G134:G197" si="16">SUM(D134:F134)</f>
        <v>4592794</v>
      </c>
      <c r="H134" s="277">
        <f t="shared" ref="H134:H197" si="17">+C134*$I$4</f>
        <v>3183607.49</v>
      </c>
      <c r="I134" s="10">
        <f t="shared" ref="I134:I197" si="18">IF(G134&gt;H134,G134-H134,0)</f>
        <v>1409186.5099999998</v>
      </c>
      <c r="J134" s="296">
        <f t="shared" ref="J134:J197" si="19">-I134*J$4</f>
        <v>-1048032.4860593491</v>
      </c>
      <c r="K134" s="432">
        <v>207420</v>
      </c>
      <c r="L134" s="10">
        <f t="shared" ref="L134:L197" si="20">C134*M$4</f>
        <v>397950.93625000003</v>
      </c>
      <c r="M134" s="14">
        <f t="shared" ref="M134:M197" si="21">IF(K134&gt;L134,K134-L134,0)</f>
        <v>0</v>
      </c>
      <c r="N134" s="2">
        <f t="shared" ref="N134:N197" si="22">-M134*N$4</f>
        <v>0</v>
      </c>
      <c r="O134" s="135">
        <f t="shared" ref="O134:O197" si="23">N134+J134</f>
        <v>-1048032.4860593491</v>
      </c>
      <c r="P134" s="33">
        <f>O134/'D) Ecrêtage'!C134</f>
        <v>-2.6335721079971428</v>
      </c>
      <c r="Q134" s="131"/>
    </row>
    <row r="135" spans="1:17" x14ac:dyDescent="0.25">
      <c r="A135" s="49">
        <f>+'A) Base RI'!A137</f>
        <v>5625</v>
      </c>
      <c r="B135" s="427" t="str">
        <f>+'A) Base RI'!B137</f>
        <v>Bussy-Chardonney</v>
      </c>
      <c r="C135" s="299">
        <f>+'D) Ecrêtage'!C135</f>
        <v>16807.989913419911</v>
      </c>
      <c r="D135" s="428">
        <v>99958</v>
      </c>
      <c r="E135" s="430">
        <v>32180</v>
      </c>
      <c r="F135" s="428">
        <v>48760</v>
      </c>
      <c r="G135" s="299">
        <f t="shared" si="16"/>
        <v>180898</v>
      </c>
      <c r="H135" s="277">
        <f t="shared" si="17"/>
        <v>134463.91930735929</v>
      </c>
      <c r="I135" s="10">
        <f t="shared" si="18"/>
        <v>46434.080692640709</v>
      </c>
      <c r="J135" s="296">
        <f t="shared" si="19"/>
        <v>-34533.70060020563</v>
      </c>
      <c r="K135" s="432">
        <v>10598</v>
      </c>
      <c r="L135" s="10">
        <f t="shared" si="20"/>
        <v>16807.989913419911</v>
      </c>
      <c r="M135" s="14">
        <f t="shared" si="21"/>
        <v>0</v>
      </c>
      <c r="N135" s="2">
        <f t="shared" si="22"/>
        <v>0</v>
      </c>
      <c r="O135" s="135">
        <f t="shared" si="23"/>
        <v>-34533.70060020563</v>
      </c>
      <c r="P135" s="33">
        <f>O135/'D) Ecrêtage'!C135</f>
        <v>-2.0546002691632435</v>
      </c>
      <c r="Q135" s="131"/>
    </row>
    <row r="136" spans="1:17" x14ac:dyDescent="0.25">
      <c r="A136" s="49">
        <f>+'A) Base RI'!A138</f>
        <v>5627</v>
      </c>
      <c r="B136" s="427" t="str">
        <f>+'A) Base RI'!B138</f>
        <v>Chavannes-près-Renens</v>
      </c>
      <c r="C136" s="299">
        <f>+'D) Ecrêtage'!C136</f>
        <v>211976.34008438818</v>
      </c>
      <c r="D136" s="428">
        <v>882061</v>
      </c>
      <c r="E136" s="430">
        <v>2572677</v>
      </c>
      <c r="F136" s="428">
        <v>7077</v>
      </c>
      <c r="G136" s="299">
        <f t="shared" si="16"/>
        <v>3461815</v>
      </c>
      <c r="H136" s="277">
        <f t="shared" si="17"/>
        <v>1695810.7206751055</v>
      </c>
      <c r="I136" s="10">
        <f t="shared" si="18"/>
        <v>1766004.2793248945</v>
      </c>
      <c r="J136" s="296">
        <f t="shared" si="19"/>
        <v>-1313403.0464514729</v>
      </c>
      <c r="K136" s="432">
        <v>11096</v>
      </c>
      <c r="L136" s="10">
        <f t="shared" si="20"/>
        <v>211976.34008438818</v>
      </c>
      <c r="M136" s="14">
        <f t="shared" si="21"/>
        <v>0</v>
      </c>
      <c r="N136" s="2">
        <f t="shared" si="22"/>
        <v>0</v>
      </c>
      <c r="O136" s="135">
        <f t="shared" si="23"/>
        <v>-1313403.0464514729</v>
      </c>
      <c r="P136" s="33">
        <f>O136/'D) Ecrêtage'!C136</f>
        <v>-6.1959888821960254</v>
      </c>
      <c r="Q136" s="131"/>
    </row>
    <row r="137" spans="1:17" x14ac:dyDescent="0.25">
      <c r="A137" s="49">
        <f>+'A) Base RI'!A139</f>
        <v>5628</v>
      </c>
      <c r="B137" s="427" t="str">
        <f>+'A) Base RI'!B139</f>
        <v>Chigny</v>
      </c>
      <c r="C137" s="299">
        <f>+'D) Ecrêtage'!C137</f>
        <v>22390.960806451614</v>
      </c>
      <c r="D137" s="428">
        <v>14336</v>
      </c>
      <c r="E137" s="430">
        <v>30640</v>
      </c>
      <c r="F137" s="428">
        <v>37351</v>
      </c>
      <c r="G137" s="299">
        <f t="shared" si="16"/>
        <v>82327</v>
      </c>
      <c r="H137" s="277">
        <f t="shared" si="17"/>
        <v>179127.68645161291</v>
      </c>
      <c r="I137" s="10">
        <f t="shared" si="18"/>
        <v>0</v>
      </c>
      <c r="J137" s="296">
        <f t="shared" si="19"/>
        <v>0</v>
      </c>
      <c r="K137" s="432">
        <v>2038</v>
      </c>
      <c r="L137" s="10">
        <f t="shared" si="20"/>
        <v>22390.960806451614</v>
      </c>
      <c r="M137" s="14">
        <f t="shared" si="21"/>
        <v>0</v>
      </c>
      <c r="N137" s="2">
        <f t="shared" si="22"/>
        <v>0</v>
      </c>
      <c r="O137" s="135">
        <f t="shared" si="23"/>
        <v>0</v>
      </c>
      <c r="P137" s="33">
        <f>O137/'D) Ecrêtage'!C137</f>
        <v>0</v>
      </c>
      <c r="Q137" s="131"/>
    </row>
    <row r="138" spans="1:17" x14ac:dyDescent="0.25">
      <c r="A138" s="49">
        <f>+'A) Base RI'!A140</f>
        <v>5629</v>
      </c>
      <c r="B138" s="427" t="str">
        <f>+'A) Base RI'!B140</f>
        <v>Clarmont</v>
      </c>
      <c r="C138" s="299">
        <f>+'D) Ecrêtage'!C138</f>
        <v>6767.1243999999997</v>
      </c>
      <c r="D138" s="428">
        <v>84594</v>
      </c>
      <c r="E138" s="430">
        <v>6505</v>
      </c>
      <c r="F138" s="428">
        <v>26059</v>
      </c>
      <c r="G138" s="299">
        <f t="shared" si="16"/>
        <v>117158</v>
      </c>
      <c r="H138" s="277">
        <f t="shared" si="17"/>
        <v>54136.995199999998</v>
      </c>
      <c r="I138" s="10">
        <f t="shared" si="18"/>
        <v>63021.004800000002</v>
      </c>
      <c r="J138" s="296">
        <f t="shared" si="19"/>
        <v>-46869.637103254834</v>
      </c>
      <c r="K138" s="432">
        <v>131</v>
      </c>
      <c r="L138" s="10">
        <f t="shared" si="20"/>
        <v>6767.1243999999997</v>
      </c>
      <c r="M138" s="14">
        <f t="shared" si="21"/>
        <v>0</v>
      </c>
      <c r="N138" s="2">
        <f t="shared" si="22"/>
        <v>0</v>
      </c>
      <c r="O138" s="135">
        <f t="shared" si="23"/>
        <v>-46869.637103254834</v>
      </c>
      <c r="P138" s="33">
        <f>O138/'D) Ecrêtage'!C138</f>
        <v>-6.926078838340084</v>
      </c>
      <c r="Q138" s="131"/>
    </row>
    <row r="139" spans="1:17" x14ac:dyDescent="0.25">
      <c r="A139" s="49">
        <f>+'A) Base RI'!A141</f>
        <v>5631</v>
      </c>
      <c r="B139" s="427" t="str">
        <f>+'A) Base RI'!B141</f>
        <v>Denens</v>
      </c>
      <c r="C139" s="299">
        <f>+'D) Ecrêtage'!C139</f>
        <v>51475.873428571431</v>
      </c>
      <c r="D139" s="428">
        <v>88840</v>
      </c>
      <c r="E139" s="430">
        <v>25573</v>
      </c>
      <c r="F139" s="428">
        <v>68466</v>
      </c>
      <c r="G139" s="299">
        <f t="shared" si="16"/>
        <v>182879</v>
      </c>
      <c r="H139" s="277">
        <f t="shared" si="17"/>
        <v>411806.98742857145</v>
      </c>
      <c r="I139" s="10">
        <f t="shared" si="18"/>
        <v>0</v>
      </c>
      <c r="J139" s="296">
        <f t="shared" si="19"/>
        <v>0</v>
      </c>
      <c r="K139" s="432">
        <v>2335</v>
      </c>
      <c r="L139" s="10">
        <f t="shared" si="20"/>
        <v>51475.873428571431</v>
      </c>
      <c r="M139" s="14">
        <f t="shared" si="21"/>
        <v>0</v>
      </c>
      <c r="N139" s="2">
        <f t="shared" si="22"/>
        <v>0</v>
      </c>
      <c r="O139" s="135">
        <f t="shared" si="23"/>
        <v>0</v>
      </c>
      <c r="P139" s="33">
        <f>O139/'D) Ecrêtage'!C139</f>
        <v>0</v>
      </c>
      <c r="Q139" s="131"/>
    </row>
    <row r="140" spans="1:17" x14ac:dyDescent="0.25">
      <c r="A140" s="49">
        <f>+'A) Base RI'!A142</f>
        <v>5632</v>
      </c>
      <c r="B140" s="427" t="str">
        <f>+'A) Base RI'!B142</f>
        <v>Denges</v>
      </c>
      <c r="C140" s="299">
        <f>+'D) Ecrêtage'!C140</f>
        <v>72992.009193548365</v>
      </c>
      <c r="D140" s="428">
        <v>266140</v>
      </c>
      <c r="E140" s="430">
        <v>474111</v>
      </c>
      <c r="F140" s="428">
        <v>57123</v>
      </c>
      <c r="G140" s="299">
        <f t="shared" si="16"/>
        <v>797374</v>
      </c>
      <c r="H140" s="277">
        <f t="shared" si="17"/>
        <v>583936.07354838692</v>
      </c>
      <c r="I140" s="10">
        <f t="shared" si="18"/>
        <v>213437.92645161308</v>
      </c>
      <c r="J140" s="296">
        <f t="shared" si="19"/>
        <v>-158736.88762351027</v>
      </c>
      <c r="K140" s="432">
        <v>6412</v>
      </c>
      <c r="L140" s="10">
        <f t="shared" si="20"/>
        <v>72992.009193548365</v>
      </c>
      <c r="M140" s="14">
        <f t="shared" si="21"/>
        <v>0</v>
      </c>
      <c r="N140" s="2">
        <f t="shared" si="22"/>
        <v>0</v>
      </c>
      <c r="O140" s="135">
        <f t="shared" si="23"/>
        <v>-158736.88762351027</v>
      </c>
      <c r="P140" s="33">
        <f>O140/'D) Ecrêtage'!C140</f>
        <v>-2.1747159638063605</v>
      </c>
      <c r="Q140" s="131"/>
    </row>
    <row r="141" spans="1:17" x14ac:dyDescent="0.25">
      <c r="A141" s="49">
        <f>+'A) Base RI'!A143</f>
        <v>5633</v>
      </c>
      <c r="B141" s="427" t="str">
        <f>+'A) Base RI'!B143</f>
        <v>Echandens</v>
      </c>
      <c r="C141" s="299">
        <f>+'D) Ecrêtage'!C141</f>
        <v>160902.30048387093</v>
      </c>
      <c r="D141" s="428">
        <v>1013289</v>
      </c>
      <c r="E141" s="430">
        <v>857110</v>
      </c>
      <c r="F141" s="428">
        <v>158484</v>
      </c>
      <c r="G141" s="299">
        <f t="shared" si="16"/>
        <v>2028883</v>
      </c>
      <c r="H141" s="277">
        <f t="shared" si="17"/>
        <v>1287218.4038709674</v>
      </c>
      <c r="I141" s="10">
        <f t="shared" si="18"/>
        <v>741664.59612903255</v>
      </c>
      <c r="J141" s="296">
        <f t="shared" si="19"/>
        <v>-551586.73815527325</v>
      </c>
      <c r="K141" s="432">
        <v>12460</v>
      </c>
      <c r="L141" s="10">
        <f t="shared" si="20"/>
        <v>160902.30048387093</v>
      </c>
      <c r="M141" s="14">
        <f t="shared" si="21"/>
        <v>0</v>
      </c>
      <c r="N141" s="2">
        <f t="shared" si="22"/>
        <v>0</v>
      </c>
      <c r="O141" s="135">
        <f t="shared" si="23"/>
        <v>-551586.73815527325</v>
      </c>
      <c r="P141" s="33">
        <f>O141/'D) Ecrêtage'!C141</f>
        <v>-3.4280848471185474</v>
      </c>
      <c r="Q141" s="131"/>
    </row>
    <row r="142" spans="1:17" x14ac:dyDescent="0.25">
      <c r="A142" s="49">
        <f>+'A) Base RI'!A144</f>
        <v>5634</v>
      </c>
      <c r="B142" s="427" t="str">
        <f>+'A) Base RI'!B144</f>
        <v>Echichens</v>
      </c>
      <c r="C142" s="299">
        <f>+'D) Ecrêtage'!C142</f>
        <v>173253.00779411764</v>
      </c>
      <c r="D142" s="428">
        <v>330919</v>
      </c>
      <c r="E142" s="430">
        <v>581485</v>
      </c>
      <c r="F142" s="428">
        <v>237754</v>
      </c>
      <c r="G142" s="299">
        <f t="shared" si="16"/>
        <v>1150158</v>
      </c>
      <c r="H142" s="277">
        <f t="shared" si="17"/>
        <v>1386024.0623529411</v>
      </c>
      <c r="I142" s="10">
        <f t="shared" si="18"/>
        <v>0</v>
      </c>
      <c r="J142" s="296">
        <f t="shared" si="19"/>
        <v>0</v>
      </c>
      <c r="K142" s="432">
        <v>-463</v>
      </c>
      <c r="L142" s="10">
        <f t="shared" si="20"/>
        <v>173253.00779411764</v>
      </c>
      <c r="M142" s="14">
        <f t="shared" si="21"/>
        <v>0</v>
      </c>
      <c r="N142" s="2">
        <f t="shared" si="22"/>
        <v>0</v>
      </c>
      <c r="O142" s="135">
        <f t="shared" si="23"/>
        <v>0</v>
      </c>
      <c r="P142" s="33">
        <f>O142/'D) Ecrêtage'!C142</f>
        <v>0</v>
      </c>
      <c r="Q142" s="131"/>
    </row>
    <row r="143" spans="1:17" x14ac:dyDescent="0.25">
      <c r="A143" s="49">
        <f>+'A) Base RI'!A145</f>
        <v>5635</v>
      </c>
      <c r="B143" s="427" t="str">
        <f>+'A) Base RI'!B145</f>
        <v>Ecublens</v>
      </c>
      <c r="C143" s="299">
        <f>+'D) Ecrêtage'!C143</f>
        <v>489428.14554687496</v>
      </c>
      <c r="D143" s="428">
        <v>3640984</v>
      </c>
      <c r="E143" s="430">
        <v>4037512</v>
      </c>
      <c r="F143" s="428">
        <v>129780</v>
      </c>
      <c r="G143" s="299">
        <f t="shared" si="16"/>
        <v>7808276</v>
      </c>
      <c r="H143" s="277">
        <f t="shared" si="17"/>
        <v>3915425.1643749997</v>
      </c>
      <c r="I143" s="10">
        <f t="shared" si="18"/>
        <v>3892850.8356250003</v>
      </c>
      <c r="J143" s="296">
        <f t="shared" si="19"/>
        <v>-2895169.738119537</v>
      </c>
      <c r="K143" s="432">
        <v>149836</v>
      </c>
      <c r="L143" s="10">
        <f t="shared" si="20"/>
        <v>489428.14554687496</v>
      </c>
      <c r="M143" s="14">
        <f t="shared" si="21"/>
        <v>0</v>
      </c>
      <c r="N143" s="2">
        <f t="shared" si="22"/>
        <v>0</v>
      </c>
      <c r="O143" s="135">
        <f t="shared" si="23"/>
        <v>-2895169.738119537</v>
      </c>
      <c r="P143" s="33">
        <f>O143/'D) Ecrêtage'!C143</f>
        <v>-5.9154132521016862</v>
      </c>
      <c r="Q143" s="131"/>
    </row>
    <row r="144" spans="1:17" x14ac:dyDescent="0.25">
      <c r="A144" s="49">
        <f>+'A) Base RI'!A146</f>
        <v>5636</v>
      </c>
      <c r="B144" s="427" t="str">
        <f>+'A) Base RI'!B146</f>
        <v>Etoy</v>
      </c>
      <c r="C144" s="299">
        <f>+'D) Ecrêtage'!C144</f>
        <v>176252.1018032787</v>
      </c>
      <c r="D144" s="428">
        <v>1020815</v>
      </c>
      <c r="E144" s="430">
        <v>315654</v>
      </c>
      <c r="F144" s="428">
        <v>318677</v>
      </c>
      <c r="G144" s="299">
        <f t="shared" si="16"/>
        <v>1655146</v>
      </c>
      <c r="H144" s="277">
        <f t="shared" si="17"/>
        <v>1410016.8144262296</v>
      </c>
      <c r="I144" s="10">
        <f t="shared" si="18"/>
        <v>245129.18557377043</v>
      </c>
      <c r="J144" s="296">
        <f t="shared" si="19"/>
        <v>-182306.13757619794</v>
      </c>
      <c r="K144" s="432">
        <v>14147</v>
      </c>
      <c r="L144" s="10">
        <f t="shared" si="20"/>
        <v>176252.1018032787</v>
      </c>
      <c r="M144" s="14">
        <f t="shared" si="21"/>
        <v>0</v>
      </c>
      <c r="N144" s="2">
        <f t="shared" si="22"/>
        <v>0</v>
      </c>
      <c r="O144" s="135">
        <f t="shared" si="23"/>
        <v>-182306.13757619794</v>
      </c>
      <c r="P144" s="33">
        <f>O144/'D) Ecrêtage'!C144</f>
        <v>-1.0343487295242377</v>
      </c>
      <c r="Q144" s="131"/>
    </row>
    <row r="145" spans="1:17" x14ac:dyDescent="0.25">
      <c r="A145" s="49">
        <f>+'A) Base RI'!A147</f>
        <v>5637</v>
      </c>
      <c r="B145" s="427" t="str">
        <f>+'A) Base RI'!B147</f>
        <v>Lavigny</v>
      </c>
      <c r="C145" s="299">
        <f>+'D) Ecrêtage'!C145</f>
        <v>37192.899776286358</v>
      </c>
      <c r="D145" s="428">
        <v>365506</v>
      </c>
      <c r="E145" s="430">
        <v>57251</v>
      </c>
      <c r="F145" s="428">
        <v>120917</v>
      </c>
      <c r="G145" s="299">
        <f t="shared" si="16"/>
        <v>543674</v>
      </c>
      <c r="H145" s="277">
        <f t="shared" si="17"/>
        <v>297543.19821029087</v>
      </c>
      <c r="I145" s="10">
        <f t="shared" si="18"/>
        <v>246130.80178970913</v>
      </c>
      <c r="J145" s="296">
        <f t="shared" si="19"/>
        <v>-183051.05411167315</v>
      </c>
      <c r="K145" s="432">
        <v>0</v>
      </c>
      <c r="L145" s="10">
        <f t="shared" si="20"/>
        <v>37192.899776286358</v>
      </c>
      <c r="M145" s="14">
        <f t="shared" si="21"/>
        <v>0</v>
      </c>
      <c r="N145" s="2">
        <f t="shared" si="22"/>
        <v>0</v>
      </c>
      <c r="O145" s="135">
        <f t="shared" si="23"/>
        <v>-183051.05411167315</v>
      </c>
      <c r="P145" s="33">
        <f>O145/'D) Ecrêtage'!C145</f>
        <v>-4.9216666410179659</v>
      </c>
      <c r="Q145" s="131"/>
    </row>
    <row r="146" spans="1:17" x14ac:dyDescent="0.25">
      <c r="A146" s="49">
        <f>+'A) Base RI'!A148</f>
        <v>5638</v>
      </c>
      <c r="B146" s="427" t="str">
        <f>+'A) Base RI'!B148</f>
        <v>Lonay</v>
      </c>
      <c r="C146" s="299">
        <f>+'D) Ecrêtage'!C146</f>
        <v>157137.98454545456</v>
      </c>
      <c r="D146" s="428">
        <v>749814</v>
      </c>
      <c r="E146" s="430">
        <v>930216</v>
      </c>
      <c r="F146" s="428">
        <v>94239</v>
      </c>
      <c r="G146" s="299">
        <f t="shared" si="16"/>
        <v>1774269</v>
      </c>
      <c r="H146" s="277">
        <f t="shared" si="17"/>
        <v>1257103.8763636365</v>
      </c>
      <c r="I146" s="10">
        <f t="shared" si="18"/>
        <v>517165.12363636354</v>
      </c>
      <c r="J146" s="296">
        <f t="shared" si="19"/>
        <v>-384623.2179924919</v>
      </c>
      <c r="K146" s="432">
        <v>13879</v>
      </c>
      <c r="L146" s="10">
        <f t="shared" si="20"/>
        <v>157137.98454545456</v>
      </c>
      <c r="M146" s="14">
        <f t="shared" si="21"/>
        <v>0</v>
      </c>
      <c r="N146" s="2">
        <f t="shared" si="22"/>
        <v>0</v>
      </c>
      <c r="O146" s="135">
        <f t="shared" si="23"/>
        <v>-384623.2179924919</v>
      </c>
      <c r="P146" s="33">
        <f>O146/'D) Ecrêtage'!C146</f>
        <v>-2.447678192545697</v>
      </c>
      <c r="Q146" s="131"/>
    </row>
    <row r="147" spans="1:17" x14ac:dyDescent="0.25">
      <c r="A147" s="49">
        <f>+'A) Base RI'!A149</f>
        <v>5639</v>
      </c>
      <c r="B147" s="427" t="str">
        <f>+'A) Base RI'!B149</f>
        <v>Lully</v>
      </c>
      <c r="C147" s="299">
        <f>+'D) Ecrêtage'!C147</f>
        <v>47176.43180327869</v>
      </c>
      <c r="D147" s="428">
        <v>19953</v>
      </c>
      <c r="E147" s="430">
        <v>146356</v>
      </c>
      <c r="F147" s="428">
        <v>26650</v>
      </c>
      <c r="G147" s="299">
        <f t="shared" si="16"/>
        <v>192959</v>
      </c>
      <c r="H147" s="277">
        <f t="shared" si="17"/>
        <v>377411.45442622952</v>
      </c>
      <c r="I147" s="10">
        <f t="shared" si="18"/>
        <v>0</v>
      </c>
      <c r="J147" s="296">
        <f t="shared" si="19"/>
        <v>0</v>
      </c>
      <c r="K147" s="432">
        <v>20482</v>
      </c>
      <c r="L147" s="10">
        <f t="shared" si="20"/>
        <v>47176.43180327869</v>
      </c>
      <c r="M147" s="14">
        <f t="shared" si="21"/>
        <v>0</v>
      </c>
      <c r="N147" s="2">
        <f t="shared" si="22"/>
        <v>0</v>
      </c>
      <c r="O147" s="135">
        <f t="shared" si="23"/>
        <v>0</v>
      </c>
      <c r="P147" s="33">
        <f>O147/'D) Ecrêtage'!C147</f>
        <v>0</v>
      </c>
      <c r="Q147" s="131"/>
    </row>
    <row r="148" spans="1:17" x14ac:dyDescent="0.25">
      <c r="A148" s="49">
        <f>+'A) Base RI'!A150</f>
        <v>5640</v>
      </c>
      <c r="B148" s="427" t="str">
        <f>+'A) Base RI'!B150</f>
        <v>Lussy-sur-Morges</v>
      </c>
      <c r="C148" s="299">
        <f>+'D) Ecrêtage'!C148</f>
        <v>61400.456666666665</v>
      </c>
      <c r="D148" s="428">
        <v>177056</v>
      </c>
      <c r="E148" s="430">
        <v>120122</v>
      </c>
      <c r="F148" s="428">
        <v>78491</v>
      </c>
      <c r="G148" s="299">
        <f t="shared" si="16"/>
        <v>375669</v>
      </c>
      <c r="H148" s="277">
        <f t="shared" si="17"/>
        <v>491203.65333333332</v>
      </c>
      <c r="I148" s="10">
        <f t="shared" si="18"/>
        <v>0</v>
      </c>
      <c r="J148" s="296">
        <f t="shared" si="19"/>
        <v>0</v>
      </c>
      <c r="K148" s="432">
        <v>8180</v>
      </c>
      <c r="L148" s="10">
        <f t="shared" si="20"/>
        <v>61400.456666666665</v>
      </c>
      <c r="M148" s="14">
        <f t="shared" si="21"/>
        <v>0</v>
      </c>
      <c r="N148" s="2">
        <f t="shared" si="22"/>
        <v>0</v>
      </c>
      <c r="O148" s="135">
        <f t="shared" si="23"/>
        <v>0</v>
      </c>
      <c r="P148" s="33">
        <f>O148/'D) Ecrêtage'!C148</f>
        <v>0</v>
      </c>
      <c r="Q148" s="131"/>
    </row>
    <row r="149" spans="1:17" x14ac:dyDescent="0.25">
      <c r="A149" s="49">
        <f>+'A) Base RI'!A151</f>
        <v>5642</v>
      </c>
      <c r="B149" s="427" t="str">
        <f>+'A) Base RI'!B151</f>
        <v>Morges</v>
      </c>
      <c r="C149" s="299">
        <f>+'D) Ecrêtage'!C149</f>
        <v>842114.79489051085</v>
      </c>
      <c r="D149" s="428">
        <v>3342677</v>
      </c>
      <c r="E149" s="430">
        <v>4612864</v>
      </c>
      <c r="F149" s="428">
        <v>88825</v>
      </c>
      <c r="G149" s="299">
        <f t="shared" si="16"/>
        <v>8044366</v>
      </c>
      <c r="H149" s="277">
        <f t="shared" si="17"/>
        <v>6736918.3591240868</v>
      </c>
      <c r="I149" s="10">
        <f t="shared" si="18"/>
        <v>1307447.6408759132</v>
      </c>
      <c r="J149" s="296">
        <f t="shared" si="19"/>
        <v>-972367.81060273899</v>
      </c>
      <c r="K149" s="432">
        <v>7062</v>
      </c>
      <c r="L149" s="10">
        <f t="shared" si="20"/>
        <v>842114.79489051085</v>
      </c>
      <c r="M149" s="14">
        <f t="shared" si="21"/>
        <v>0</v>
      </c>
      <c r="N149" s="2">
        <f t="shared" si="22"/>
        <v>0</v>
      </c>
      <c r="O149" s="135">
        <f t="shared" si="23"/>
        <v>-972367.81060273899</v>
      </c>
      <c r="P149" s="33">
        <f>O149/'D) Ecrêtage'!C149</f>
        <v>-1.1546737054170426</v>
      </c>
      <c r="Q149" s="131"/>
    </row>
    <row r="150" spans="1:17" x14ac:dyDescent="0.25">
      <c r="A150" s="49">
        <f>+'A) Base RI'!A152</f>
        <v>5643</v>
      </c>
      <c r="B150" s="427" t="str">
        <f>+'A) Base RI'!B152</f>
        <v>Préverenges</v>
      </c>
      <c r="C150" s="299">
        <f>+'D) Ecrêtage'!C150</f>
        <v>259364.760625</v>
      </c>
      <c r="D150" s="428">
        <v>194799</v>
      </c>
      <c r="E150" s="430">
        <v>1160185</v>
      </c>
      <c r="F150" s="428">
        <v>126196</v>
      </c>
      <c r="G150" s="299">
        <f t="shared" si="16"/>
        <v>1481180</v>
      </c>
      <c r="H150" s="277">
        <f t="shared" si="17"/>
        <v>2074918.085</v>
      </c>
      <c r="I150" s="10">
        <f t="shared" si="18"/>
        <v>0</v>
      </c>
      <c r="J150" s="296">
        <f t="shared" si="19"/>
        <v>0</v>
      </c>
      <c r="K150" s="432">
        <v>150</v>
      </c>
      <c r="L150" s="10">
        <f t="shared" si="20"/>
        <v>259364.760625</v>
      </c>
      <c r="M150" s="14">
        <f t="shared" si="21"/>
        <v>0</v>
      </c>
      <c r="N150" s="2">
        <f t="shared" si="22"/>
        <v>0</v>
      </c>
      <c r="O150" s="135">
        <f t="shared" si="23"/>
        <v>0</v>
      </c>
      <c r="P150" s="33">
        <f>O150/'D) Ecrêtage'!C150</f>
        <v>0</v>
      </c>
      <c r="Q150" s="131"/>
    </row>
    <row r="151" spans="1:17" x14ac:dyDescent="0.25">
      <c r="A151" s="49">
        <f>+'A) Base RI'!A153</f>
        <v>5644</v>
      </c>
      <c r="B151" s="427" t="str">
        <f>+'A) Base RI'!B153</f>
        <v>Reverolle</v>
      </c>
      <c r="C151" s="299">
        <f>+'D) Ecrêtage'!C151</f>
        <v>16859.730657894735</v>
      </c>
      <c r="D151" s="428">
        <v>115847</v>
      </c>
      <c r="E151" s="430">
        <v>27319</v>
      </c>
      <c r="F151" s="428">
        <v>59017</v>
      </c>
      <c r="G151" s="299">
        <f t="shared" si="16"/>
        <v>202183</v>
      </c>
      <c r="H151" s="277">
        <f t="shared" si="17"/>
        <v>134877.84526315788</v>
      </c>
      <c r="I151" s="10">
        <f t="shared" si="18"/>
        <v>67305.154736842116</v>
      </c>
      <c r="J151" s="296">
        <f t="shared" si="19"/>
        <v>-50055.82166938416</v>
      </c>
      <c r="K151" s="432">
        <v>9774</v>
      </c>
      <c r="L151" s="10">
        <f t="shared" si="20"/>
        <v>16859.730657894735</v>
      </c>
      <c r="M151" s="14">
        <f t="shared" si="21"/>
        <v>0</v>
      </c>
      <c r="N151" s="2">
        <f t="shared" si="22"/>
        <v>0</v>
      </c>
      <c r="O151" s="135">
        <f t="shared" si="23"/>
        <v>-50055.82166938416</v>
      </c>
      <c r="P151" s="33">
        <f>O151/'D) Ecrêtage'!C151</f>
        <v>-2.9689573745322573</v>
      </c>
      <c r="Q151" s="131"/>
    </row>
    <row r="152" spans="1:17" x14ac:dyDescent="0.25">
      <c r="A152" s="49">
        <f>+'A) Base RI'!A154</f>
        <v>5645</v>
      </c>
      <c r="B152" s="427" t="str">
        <f>+'A) Base RI'!B154</f>
        <v>Romanel-sur-Morges</v>
      </c>
      <c r="C152" s="299">
        <f>+'D) Ecrêtage'!C152</f>
        <v>29743.552142857145</v>
      </c>
      <c r="D152" s="428">
        <v>128828</v>
      </c>
      <c r="E152" s="430">
        <v>15679</v>
      </c>
      <c r="F152" s="428">
        <v>37017</v>
      </c>
      <c r="G152" s="299">
        <f t="shared" si="16"/>
        <v>181524</v>
      </c>
      <c r="H152" s="277">
        <f t="shared" si="17"/>
        <v>237948.41714285716</v>
      </c>
      <c r="I152" s="10">
        <f t="shared" si="18"/>
        <v>0</v>
      </c>
      <c r="J152" s="296">
        <f t="shared" si="19"/>
        <v>0</v>
      </c>
      <c r="K152" s="432">
        <v>2995</v>
      </c>
      <c r="L152" s="10">
        <f t="shared" si="20"/>
        <v>29743.552142857145</v>
      </c>
      <c r="M152" s="14">
        <f t="shared" si="21"/>
        <v>0</v>
      </c>
      <c r="N152" s="2">
        <f t="shared" si="22"/>
        <v>0</v>
      </c>
      <c r="O152" s="135">
        <f t="shared" si="23"/>
        <v>0</v>
      </c>
      <c r="P152" s="33">
        <f>O152/'D) Ecrêtage'!C152</f>
        <v>0</v>
      </c>
      <c r="Q152" s="131"/>
    </row>
    <row r="153" spans="1:17" x14ac:dyDescent="0.25">
      <c r="A153" s="49">
        <f>+'A) Base RI'!A155</f>
        <v>5646</v>
      </c>
      <c r="B153" s="427" t="str">
        <f>+'A) Base RI'!B155</f>
        <v>Saint-Prex</v>
      </c>
      <c r="C153" s="299">
        <f>+'D) Ecrêtage'!C153</f>
        <v>419083.43709090899</v>
      </c>
      <c r="D153" s="428">
        <v>543112</v>
      </c>
      <c r="E153" s="430">
        <v>486470</v>
      </c>
      <c r="F153" s="428">
        <v>109778</v>
      </c>
      <c r="G153" s="299">
        <f t="shared" si="16"/>
        <v>1139360</v>
      </c>
      <c r="H153" s="277">
        <f t="shared" si="17"/>
        <v>3352667.4967272719</v>
      </c>
      <c r="I153" s="10">
        <f t="shared" si="18"/>
        <v>0</v>
      </c>
      <c r="J153" s="296">
        <f t="shared" si="19"/>
        <v>0</v>
      </c>
      <c r="K153" s="432">
        <v>11495</v>
      </c>
      <c r="L153" s="10">
        <f t="shared" si="20"/>
        <v>419083.43709090899</v>
      </c>
      <c r="M153" s="14">
        <f t="shared" si="21"/>
        <v>0</v>
      </c>
      <c r="N153" s="2">
        <f t="shared" si="22"/>
        <v>0</v>
      </c>
      <c r="O153" s="135">
        <f t="shared" si="23"/>
        <v>0</v>
      </c>
      <c r="P153" s="33">
        <f>O153/'D) Ecrêtage'!C153</f>
        <v>0</v>
      </c>
      <c r="Q153" s="131"/>
    </row>
    <row r="154" spans="1:17" x14ac:dyDescent="0.25">
      <c r="A154" s="49">
        <f>+'A) Base RI'!A156</f>
        <v>5648</v>
      </c>
      <c r="B154" s="427" t="str">
        <f>+'A) Base RI'!B156</f>
        <v>Saint-Sulpice</v>
      </c>
      <c r="C154" s="299">
        <f>+'D) Ecrêtage'!C154</f>
        <v>383471.67436363641</v>
      </c>
      <c r="D154" s="428">
        <v>843015</v>
      </c>
      <c r="E154" s="430">
        <v>2155734</v>
      </c>
      <c r="F154" s="428">
        <v>60089</v>
      </c>
      <c r="G154" s="299">
        <f t="shared" si="16"/>
        <v>3058838</v>
      </c>
      <c r="H154" s="277">
        <f t="shared" si="17"/>
        <v>3067773.3949090913</v>
      </c>
      <c r="I154" s="10">
        <f t="shared" si="18"/>
        <v>0</v>
      </c>
      <c r="J154" s="296">
        <f t="shared" si="19"/>
        <v>0</v>
      </c>
      <c r="K154" s="432">
        <v>35449</v>
      </c>
      <c r="L154" s="10">
        <f t="shared" si="20"/>
        <v>383471.67436363641</v>
      </c>
      <c r="M154" s="14">
        <f t="shared" si="21"/>
        <v>0</v>
      </c>
      <c r="N154" s="2">
        <f t="shared" si="22"/>
        <v>0</v>
      </c>
      <c r="O154" s="135">
        <f t="shared" si="23"/>
        <v>0</v>
      </c>
      <c r="P154" s="33">
        <f>O154/'D) Ecrêtage'!C154</f>
        <v>0</v>
      </c>
      <c r="Q154" s="131"/>
    </row>
    <row r="155" spans="1:17" x14ac:dyDescent="0.25">
      <c r="A155" s="49">
        <f>+'A) Base RI'!A157</f>
        <v>5649</v>
      </c>
      <c r="B155" s="427" t="str">
        <f>+'A) Base RI'!B157</f>
        <v>Tolochenaz</v>
      </c>
      <c r="C155" s="299">
        <f>+'D) Ecrêtage'!C155</f>
        <v>109794.23076923077</v>
      </c>
      <c r="D155" s="428">
        <v>824975</v>
      </c>
      <c r="E155" s="430">
        <v>665443</v>
      </c>
      <c r="F155" s="428">
        <v>28649</v>
      </c>
      <c r="G155" s="299">
        <f t="shared" si="16"/>
        <v>1519067</v>
      </c>
      <c r="H155" s="277">
        <f t="shared" si="17"/>
        <v>878353.84615384613</v>
      </c>
      <c r="I155" s="10">
        <f t="shared" si="18"/>
        <v>640713.15384615387</v>
      </c>
      <c r="J155" s="296">
        <f t="shared" si="19"/>
        <v>-476507.68348350923</v>
      </c>
      <c r="K155" s="432">
        <v>10493</v>
      </c>
      <c r="L155" s="10">
        <f t="shared" si="20"/>
        <v>109794.23076923077</v>
      </c>
      <c r="M155" s="14">
        <f t="shared" si="21"/>
        <v>0</v>
      </c>
      <c r="N155" s="2">
        <f t="shared" si="22"/>
        <v>0</v>
      </c>
      <c r="O155" s="135">
        <f t="shared" si="23"/>
        <v>-476507.68348350923</v>
      </c>
      <c r="P155" s="33">
        <f>O155/'D) Ecrêtage'!C155</f>
        <v>-4.3400065754370027</v>
      </c>
      <c r="Q155" s="131"/>
    </row>
    <row r="156" spans="1:17" x14ac:dyDescent="0.25">
      <c r="A156" s="49">
        <f>+'A) Base RI'!A158</f>
        <v>5650</v>
      </c>
      <c r="B156" s="427" t="str">
        <f>+'A) Base RI'!B158</f>
        <v>Vaux-sur-Morges</v>
      </c>
      <c r="C156" s="299">
        <f>+'D) Ecrêtage'!C156</f>
        <v>162834.69392857142</v>
      </c>
      <c r="D156" s="428">
        <v>28656</v>
      </c>
      <c r="E156" s="430">
        <v>6299</v>
      </c>
      <c r="F156" s="428">
        <v>25010</v>
      </c>
      <c r="G156" s="299">
        <f t="shared" si="16"/>
        <v>59965</v>
      </c>
      <c r="H156" s="277">
        <f t="shared" si="17"/>
        <v>1302677.5514285713</v>
      </c>
      <c r="I156" s="10">
        <f t="shared" si="18"/>
        <v>0</v>
      </c>
      <c r="J156" s="296">
        <f t="shared" si="19"/>
        <v>0</v>
      </c>
      <c r="K156" s="432">
        <v>2910</v>
      </c>
      <c r="L156" s="10">
        <f t="shared" si="20"/>
        <v>162834.69392857142</v>
      </c>
      <c r="M156" s="14">
        <f t="shared" si="21"/>
        <v>0</v>
      </c>
      <c r="N156" s="2">
        <f t="shared" si="22"/>
        <v>0</v>
      </c>
      <c r="O156" s="135">
        <f t="shared" si="23"/>
        <v>0</v>
      </c>
      <c r="P156" s="33">
        <f>O156/'D) Ecrêtage'!C156</f>
        <v>0</v>
      </c>
      <c r="Q156" s="131"/>
    </row>
    <row r="157" spans="1:17" x14ac:dyDescent="0.25">
      <c r="A157" s="49">
        <f>+'A) Base RI'!A159</f>
        <v>5651</v>
      </c>
      <c r="B157" s="427" t="str">
        <f>+'A) Base RI'!B159</f>
        <v>Villars-Sainte-Croix</v>
      </c>
      <c r="C157" s="299">
        <f>+'D) Ecrêtage'!C157</f>
        <v>58682.807419354831</v>
      </c>
      <c r="D157" s="428">
        <v>152388</v>
      </c>
      <c r="E157" s="430">
        <v>180899</v>
      </c>
      <c r="F157" s="428">
        <v>25809</v>
      </c>
      <c r="G157" s="299">
        <f t="shared" si="16"/>
        <v>359096</v>
      </c>
      <c r="H157" s="277">
        <f t="shared" si="17"/>
        <v>469462.45935483865</v>
      </c>
      <c r="I157" s="10">
        <f t="shared" si="18"/>
        <v>0</v>
      </c>
      <c r="J157" s="296">
        <f t="shared" si="19"/>
        <v>0</v>
      </c>
      <c r="K157" s="432">
        <v>17774</v>
      </c>
      <c r="L157" s="10">
        <f t="shared" si="20"/>
        <v>58682.807419354831</v>
      </c>
      <c r="M157" s="14">
        <f t="shared" si="21"/>
        <v>0</v>
      </c>
      <c r="N157" s="2">
        <f t="shared" si="22"/>
        <v>0</v>
      </c>
      <c r="O157" s="135">
        <f t="shared" si="23"/>
        <v>0</v>
      </c>
      <c r="P157" s="33">
        <f>O157/'D) Ecrêtage'!C157</f>
        <v>0</v>
      </c>
      <c r="Q157" s="131"/>
    </row>
    <row r="158" spans="1:17" x14ac:dyDescent="0.25">
      <c r="A158" s="49">
        <f>+'A) Base RI'!A160</f>
        <v>5652</v>
      </c>
      <c r="B158" s="427" t="str">
        <f>+'A) Base RI'!B160</f>
        <v>Villars-sous-Yens</v>
      </c>
      <c r="C158" s="299">
        <f>+'D) Ecrêtage'!C158</f>
        <v>32935.200285087711</v>
      </c>
      <c r="D158" s="428">
        <v>83574</v>
      </c>
      <c r="E158" s="430">
        <v>41629</v>
      </c>
      <c r="F158" s="428">
        <v>63064</v>
      </c>
      <c r="G158" s="299">
        <f t="shared" si="16"/>
        <v>188267</v>
      </c>
      <c r="H158" s="277">
        <f t="shared" si="17"/>
        <v>263481.60228070169</v>
      </c>
      <c r="I158" s="10">
        <f t="shared" si="18"/>
        <v>0</v>
      </c>
      <c r="J158" s="296">
        <f t="shared" si="19"/>
        <v>0</v>
      </c>
      <c r="K158" s="432">
        <v>180</v>
      </c>
      <c r="L158" s="10">
        <f t="shared" si="20"/>
        <v>32935.200285087711</v>
      </c>
      <c r="M158" s="14">
        <f t="shared" si="21"/>
        <v>0</v>
      </c>
      <c r="N158" s="2">
        <f t="shared" si="22"/>
        <v>0</v>
      </c>
      <c r="O158" s="135">
        <f t="shared" si="23"/>
        <v>0</v>
      </c>
      <c r="P158" s="33">
        <f>O158/'D) Ecrêtage'!C158</f>
        <v>0</v>
      </c>
      <c r="Q158" s="131"/>
    </row>
    <row r="159" spans="1:17" x14ac:dyDescent="0.25">
      <c r="A159" s="49">
        <f>+'A) Base RI'!A161</f>
        <v>5653</v>
      </c>
      <c r="B159" s="427" t="str">
        <f>+'A) Base RI'!B161</f>
        <v>Vufflens-le-Château</v>
      </c>
      <c r="C159" s="299">
        <f>+'D) Ecrêtage'!C159</f>
        <v>71866.827999999994</v>
      </c>
      <c r="D159" s="428">
        <v>241012</v>
      </c>
      <c r="E159" s="430">
        <v>75829</v>
      </c>
      <c r="F159" s="428">
        <v>9189</v>
      </c>
      <c r="G159" s="299">
        <f t="shared" si="16"/>
        <v>326030</v>
      </c>
      <c r="H159" s="277">
        <f t="shared" si="17"/>
        <v>574934.62399999995</v>
      </c>
      <c r="I159" s="10">
        <f t="shared" si="18"/>
        <v>0</v>
      </c>
      <c r="J159" s="296">
        <f t="shared" si="19"/>
        <v>0</v>
      </c>
      <c r="K159" s="432">
        <v>8226</v>
      </c>
      <c r="L159" s="10">
        <f t="shared" si="20"/>
        <v>71866.827999999994</v>
      </c>
      <c r="M159" s="14">
        <f t="shared" si="21"/>
        <v>0</v>
      </c>
      <c r="N159" s="2">
        <f t="shared" si="22"/>
        <v>0</v>
      </c>
      <c r="O159" s="135">
        <f t="shared" si="23"/>
        <v>0</v>
      </c>
      <c r="P159" s="33">
        <f>O159/'D) Ecrêtage'!C159</f>
        <v>0</v>
      </c>
      <c r="Q159" s="131"/>
    </row>
    <row r="160" spans="1:17" x14ac:dyDescent="0.25">
      <c r="A160" s="49">
        <f>+'A) Base RI'!A162</f>
        <v>5654</v>
      </c>
      <c r="B160" s="427" t="str">
        <f>+'A) Base RI'!B162</f>
        <v>Vullierens</v>
      </c>
      <c r="C160" s="299">
        <f>+'D) Ecrêtage'!C160</f>
        <v>18067.402499999997</v>
      </c>
      <c r="D160" s="428">
        <v>101069</v>
      </c>
      <c r="E160" s="430">
        <v>17357</v>
      </c>
      <c r="F160" s="428">
        <v>53026</v>
      </c>
      <c r="G160" s="299">
        <f t="shared" si="16"/>
        <v>171452</v>
      </c>
      <c r="H160" s="277">
        <f t="shared" si="17"/>
        <v>144539.21999999997</v>
      </c>
      <c r="I160" s="10">
        <f t="shared" si="18"/>
        <v>26912.780000000028</v>
      </c>
      <c r="J160" s="296">
        <f t="shared" si="19"/>
        <v>-20015.425587751593</v>
      </c>
      <c r="K160" s="432">
        <v>1352</v>
      </c>
      <c r="L160" s="10">
        <f t="shared" si="20"/>
        <v>18067.402499999997</v>
      </c>
      <c r="M160" s="14">
        <f t="shared" si="21"/>
        <v>0</v>
      </c>
      <c r="N160" s="2">
        <f t="shared" si="22"/>
        <v>0</v>
      </c>
      <c r="O160" s="135">
        <f t="shared" si="23"/>
        <v>-20015.425587751593</v>
      </c>
      <c r="P160" s="33">
        <f>O160/'D) Ecrêtage'!C160</f>
        <v>-1.1078197647808863</v>
      </c>
      <c r="Q160" s="131"/>
    </row>
    <row r="161" spans="1:17" x14ac:dyDescent="0.25">
      <c r="A161" s="49">
        <f>+'A) Base RI'!A163</f>
        <v>5655</v>
      </c>
      <c r="B161" s="427" t="str">
        <f>+'A) Base RI'!B163</f>
        <v>Yens</v>
      </c>
      <c r="C161" s="299">
        <f>+'D) Ecrêtage'!C161</f>
        <v>77231.578767123297</v>
      </c>
      <c r="D161" s="428">
        <v>284414</v>
      </c>
      <c r="E161" s="430">
        <v>122302</v>
      </c>
      <c r="F161" s="428">
        <v>174145</v>
      </c>
      <c r="G161" s="299">
        <f t="shared" si="16"/>
        <v>580861</v>
      </c>
      <c r="H161" s="277">
        <f t="shared" si="17"/>
        <v>617852.63013698638</v>
      </c>
      <c r="I161" s="10">
        <f t="shared" si="18"/>
        <v>0</v>
      </c>
      <c r="J161" s="296">
        <f t="shared" si="19"/>
        <v>0</v>
      </c>
      <c r="K161" s="432">
        <v>42670</v>
      </c>
      <c r="L161" s="10">
        <f t="shared" si="20"/>
        <v>77231.578767123297</v>
      </c>
      <c r="M161" s="14">
        <f t="shared" si="21"/>
        <v>0</v>
      </c>
      <c r="N161" s="2">
        <f t="shared" si="22"/>
        <v>0</v>
      </c>
      <c r="O161" s="135">
        <f t="shared" si="23"/>
        <v>0</v>
      </c>
      <c r="P161" s="33">
        <f>O161/'D) Ecrêtage'!C161</f>
        <v>0</v>
      </c>
      <c r="Q161" s="131"/>
    </row>
    <row r="162" spans="1:17" x14ac:dyDescent="0.25">
      <c r="A162" s="49">
        <f>+'A) Base RI'!A164</f>
        <v>5661</v>
      </c>
      <c r="B162" s="427" t="str">
        <f>+'A) Base RI'!B164</f>
        <v>Boulens</v>
      </c>
      <c r="C162" s="299">
        <f>+'D) Ecrêtage'!C162</f>
        <v>10067.366438356165</v>
      </c>
      <c r="D162" s="428">
        <v>119585</v>
      </c>
      <c r="E162" s="430">
        <v>12836</v>
      </c>
      <c r="F162" s="428">
        <v>33623</v>
      </c>
      <c r="G162" s="299">
        <f t="shared" si="16"/>
        <v>166044</v>
      </c>
      <c r="H162" s="277">
        <f t="shared" si="17"/>
        <v>80538.931506849316</v>
      </c>
      <c r="I162" s="10">
        <f t="shared" si="18"/>
        <v>85505.068493150684</v>
      </c>
      <c r="J162" s="296">
        <f t="shared" si="19"/>
        <v>-63591.362014636128</v>
      </c>
      <c r="K162" s="432">
        <v>27105</v>
      </c>
      <c r="L162" s="10">
        <f t="shared" si="20"/>
        <v>10067.366438356165</v>
      </c>
      <c r="M162" s="14">
        <f t="shared" si="21"/>
        <v>17037.633561643837</v>
      </c>
      <c r="N162" s="2">
        <f t="shared" si="22"/>
        <v>-12671.135673998042</v>
      </c>
      <c r="O162" s="135">
        <f t="shared" si="23"/>
        <v>-76262.497688634176</v>
      </c>
      <c r="P162" s="33">
        <f>O162/'D) Ecrêtage'!C162</f>
        <v>-7.5752182217265736</v>
      </c>
      <c r="Q162" s="131"/>
    </row>
    <row r="163" spans="1:17" x14ac:dyDescent="0.25">
      <c r="A163" s="49">
        <f>+'A) Base RI'!A165</f>
        <v>5663</v>
      </c>
      <c r="B163" s="427" t="str">
        <f>+'A) Base RI'!B165</f>
        <v>Bussy-sur-Moudon</v>
      </c>
      <c r="C163" s="299">
        <f>+'D) Ecrêtage'!C163</f>
        <v>6357.5273750000006</v>
      </c>
      <c r="D163" s="428">
        <v>70822</v>
      </c>
      <c r="E163" s="430">
        <v>7154</v>
      </c>
      <c r="F163" s="428">
        <v>12956</v>
      </c>
      <c r="G163" s="299">
        <f t="shared" si="16"/>
        <v>90932</v>
      </c>
      <c r="H163" s="277">
        <f t="shared" si="17"/>
        <v>50860.219000000005</v>
      </c>
      <c r="I163" s="10">
        <f t="shared" si="18"/>
        <v>40071.780999999995</v>
      </c>
      <c r="J163" s="296">
        <f t="shared" si="19"/>
        <v>-29801.965860612585</v>
      </c>
      <c r="K163" s="432">
        <v>3145</v>
      </c>
      <c r="L163" s="10">
        <f t="shared" si="20"/>
        <v>6357.5273750000006</v>
      </c>
      <c r="M163" s="14">
        <f t="shared" si="21"/>
        <v>0</v>
      </c>
      <c r="N163" s="2">
        <f t="shared" si="22"/>
        <v>0</v>
      </c>
      <c r="O163" s="135">
        <f t="shared" si="23"/>
        <v>-29801.965860612585</v>
      </c>
      <c r="P163" s="33">
        <f>O163/'D) Ecrêtage'!C163</f>
        <v>-4.6876661479751132</v>
      </c>
      <c r="Q163" s="131"/>
    </row>
    <row r="164" spans="1:17" x14ac:dyDescent="0.25">
      <c r="A164" s="49">
        <f>+'A) Base RI'!A166</f>
        <v>5665</v>
      </c>
      <c r="B164" s="427" t="str">
        <f>+'A) Base RI'!B166</f>
        <v>Chavannes-sur-Moudon</v>
      </c>
      <c r="C164" s="299">
        <f>+'D) Ecrêtage'!C164</f>
        <v>4734.8986301369869</v>
      </c>
      <c r="D164" s="428">
        <v>38134</v>
      </c>
      <c r="E164" s="430">
        <v>7221</v>
      </c>
      <c r="F164" s="428">
        <v>12478</v>
      </c>
      <c r="G164" s="299">
        <f t="shared" si="16"/>
        <v>57833</v>
      </c>
      <c r="H164" s="277">
        <f t="shared" si="17"/>
        <v>37879.189041095895</v>
      </c>
      <c r="I164" s="10">
        <f t="shared" si="18"/>
        <v>19953.810958904105</v>
      </c>
      <c r="J164" s="296">
        <f t="shared" si="19"/>
        <v>-14839.939182797427</v>
      </c>
      <c r="K164" s="432">
        <v>12724</v>
      </c>
      <c r="L164" s="10">
        <f t="shared" si="20"/>
        <v>4734.8986301369869</v>
      </c>
      <c r="M164" s="14">
        <f t="shared" si="21"/>
        <v>7989.1013698630131</v>
      </c>
      <c r="N164" s="2">
        <f t="shared" si="22"/>
        <v>-5941.6107879415385</v>
      </c>
      <c r="O164" s="135">
        <f t="shared" si="23"/>
        <v>-20781.549970738964</v>
      </c>
      <c r="P164" s="33">
        <f>O164/'D) Ecrêtage'!C164</f>
        <v>-4.3890168711252278</v>
      </c>
      <c r="Q164" s="131"/>
    </row>
    <row r="165" spans="1:17" x14ac:dyDescent="0.25">
      <c r="A165" s="49">
        <f>+'A) Base RI'!A167</f>
        <v>5669</v>
      </c>
      <c r="B165" s="427" t="str">
        <f>+'A) Base RI'!B167</f>
        <v>Curtilles</v>
      </c>
      <c r="C165" s="299">
        <f>+'D) Ecrêtage'!C165</f>
        <v>10002.199066666666</v>
      </c>
      <c r="D165" s="428">
        <v>18591</v>
      </c>
      <c r="E165" s="430">
        <v>20926</v>
      </c>
      <c r="F165" s="428">
        <v>18335</v>
      </c>
      <c r="G165" s="299">
        <f t="shared" si="16"/>
        <v>57852</v>
      </c>
      <c r="H165" s="277">
        <f t="shared" si="17"/>
        <v>80017.592533333329</v>
      </c>
      <c r="I165" s="10">
        <f t="shared" si="18"/>
        <v>0</v>
      </c>
      <c r="J165" s="296">
        <f t="shared" si="19"/>
        <v>0</v>
      </c>
      <c r="K165" s="432">
        <v>297</v>
      </c>
      <c r="L165" s="10">
        <f t="shared" si="20"/>
        <v>10002.199066666666</v>
      </c>
      <c r="M165" s="14">
        <f t="shared" si="21"/>
        <v>0</v>
      </c>
      <c r="N165" s="2">
        <f t="shared" si="22"/>
        <v>0</v>
      </c>
      <c r="O165" s="135">
        <f t="shared" si="23"/>
        <v>0</v>
      </c>
      <c r="P165" s="33">
        <f>O165/'D) Ecrêtage'!C165</f>
        <v>0</v>
      </c>
      <c r="Q165" s="131"/>
    </row>
    <row r="166" spans="1:17" x14ac:dyDescent="0.25">
      <c r="A166" s="49">
        <f>+'A) Base RI'!A168</f>
        <v>5671</v>
      </c>
      <c r="B166" s="427" t="str">
        <f>+'A) Base RI'!B168</f>
        <v>Dompierre</v>
      </c>
      <c r="C166" s="299">
        <f>+'D) Ecrêtage'!C166</f>
        <v>6571.3844999999983</v>
      </c>
      <c r="D166" s="428">
        <v>75821</v>
      </c>
      <c r="E166" s="430">
        <v>7989</v>
      </c>
      <c r="F166" s="428">
        <v>22192</v>
      </c>
      <c r="G166" s="299">
        <f t="shared" si="16"/>
        <v>106002</v>
      </c>
      <c r="H166" s="277">
        <f t="shared" si="17"/>
        <v>52571.075999999986</v>
      </c>
      <c r="I166" s="10">
        <f t="shared" si="18"/>
        <v>53430.924000000014</v>
      </c>
      <c r="J166" s="296">
        <f t="shared" si="19"/>
        <v>-39737.354647376073</v>
      </c>
      <c r="K166" s="432">
        <v>4153</v>
      </c>
      <c r="L166" s="10">
        <f t="shared" si="20"/>
        <v>6571.3844999999983</v>
      </c>
      <c r="M166" s="14">
        <f t="shared" si="21"/>
        <v>0</v>
      </c>
      <c r="N166" s="2">
        <f t="shared" si="22"/>
        <v>0</v>
      </c>
      <c r="O166" s="135">
        <f t="shared" si="23"/>
        <v>-39737.354647376073</v>
      </c>
      <c r="P166" s="33">
        <f>O166/'D) Ecrêtage'!C166</f>
        <v>-6.047029305221157</v>
      </c>
      <c r="Q166" s="131"/>
    </row>
    <row r="167" spans="1:17" x14ac:dyDescent="0.25">
      <c r="A167" s="49">
        <f>+'A) Base RI'!A169</f>
        <v>5673</v>
      </c>
      <c r="B167" s="427" t="str">
        <f>+'A) Base RI'!B169</f>
        <v>Hermenches</v>
      </c>
      <c r="C167" s="299">
        <f>+'D) Ecrêtage'!C167</f>
        <v>9909.6989333333331</v>
      </c>
      <c r="D167" s="428">
        <v>145538</v>
      </c>
      <c r="E167" s="430">
        <v>12168</v>
      </c>
      <c r="F167" s="428">
        <v>21709</v>
      </c>
      <c r="G167" s="299">
        <f t="shared" si="16"/>
        <v>179415</v>
      </c>
      <c r="H167" s="277">
        <f t="shared" si="17"/>
        <v>79277.591466666665</v>
      </c>
      <c r="I167" s="10">
        <f t="shared" si="18"/>
        <v>100137.40853333334</v>
      </c>
      <c r="J167" s="296">
        <f t="shared" si="19"/>
        <v>-74473.645942530376</v>
      </c>
      <c r="K167" s="432">
        <v>33629</v>
      </c>
      <c r="L167" s="10">
        <f t="shared" si="20"/>
        <v>9909.6989333333331</v>
      </c>
      <c r="M167" s="14">
        <f t="shared" si="21"/>
        <v>23719.301066666667</v>
      </c>
      <c r="N167" s="2">
        <f t="shared" si="22"/>
        <v>-17640.38889677481</v>
      </c>
      <c r="O167" s="135">
        <f t="shared" si="23"/>
        <v>-92114.034839305183</v>
      </c>
      <c r="P167" s="33">
        <f>O167/'D) Ecrêtage'!C167</f>
        <v>-9.2953414083510122</v>
      </c>
      <c r="Q167" s="131"/>
    </row>
    <row r="168" spans="1:17" x14ac:dyDescent="0.25">
      <c r="A168" s="49">
        <f>+'A) Base RI'!A170</f>
        <v>5674</v>
      </c>
      <c r="B168" s="427" t="str">
        <f>+'A) Base RI'!B170</f>
        <v>Lovatens</v>
      </c>
      <c r="C168" s="299">
        <f>+'D) Ecrêtage'!C168</f>
        <v>3215.0507999999995</v>
      </c>
      <c r="D168" s="428">
        <f>30523-200</f>
        <v>30323</v>
      </c>
      <c r="E168" s="430">
        <v>4881</v>
      </c>
      <c r="F168" s="428">
        <v>7227</v>
      </c>
      <c r="G168" s="299">
        <f t="shared" si="16"/>
        <v>42431</v>
      </c>
      <c r="H168" s="277">
        <f t="shared" si="17"/>
        <v>25720.406399999996</v>
      </c>
      <c r="I168" s="10">
        <f t="shared" si="18"/>
        <v>16710.593600000004</v>
      </c>
      <c r="J168" s="296">
        <f t="shared" si="19"/>
        <v>-12427.911301915214</v>
      </c>
      <c r="K168" s="432">
        <v>-1359</v>
      </c>
      <c r="L168" s="10">
        <f t="shared" si="20"/>
        <v>3215.0507999999995</v>
      </c>
      <c r="M168" s="14">
        <f t="shared" si="21"/>
        <v>0</v>
      </c>
      <c r="N168" s="2">
        <f t="shared" si="22"/>
        <v>0</v>
      </c>
      <c r="O168" s="135">
        <f t="shared" si="23"/>
        <v>-12427.911301915214</v>
      </c>
      <c r="P168" s="33">
        <f>O168/'D) Ecrêtage'!C168</f>
        <v>-3.8655411920443732</v>
      </c>
      <c r="Q168" s="131"/>
    </row>
    <row r="169" spans="1:17" x14ac:dyDescent="0.25">
      <c r="A169" s="49">
        <f>+'A) Base RI'!A171</f>
        <v>5675</v>
      </c>
      <c r="B169" s="427" t="str">
        <f>+'A) Base RI'!B171</f>
        <v>Lucens</v>
      </c>
      <c r="C169" s="299">
        <f>+'D) Ecrêtage'!C169</f>
        <v>97758.400909090895</v>
      </c>
      <c r="D169" s="428">
        <v>806652</v>
      </c>
      <c r="E169" s="430">
        <v>350914</v>
      </c>
      <c r="F169" s="428">
        <v>265996</v>
      </c>
      <c r="G169" s="299">
        <f t="shared" si="16"/>
        <v>1423562</v>
      </c>
      <c r="H169" s="277">
        <f t="shared" si="17"/>
        <v>782067.20727272716</v>
      </c>
      <c r="I169" s="10">
        <f t="shared" si="18"/>
        <v>641494.79272727284</v>
      </c>
      <c r="J169" s="296">
        <f t="shared" si="19"/>
        <v>-477088.99967832561</v>
      </c>
      <c r="K169" s="432">
        <v>36309</v>
      </c>
      <c r="L169" s="10">
        <f t="shared" si="20"/>
        <v>97758.400909090895</v>
      </c>
      <c r="M169" s="14">
        <f t="shared" si="21"/>
        <v>0</v>
      </c>
      <c r="N169" s="2">
        <f t="shared" si="22"/>
        <v>0</v>
      </c>
      <c r="O169" s="135">
        <f t="shared" si="23"/>
        <v>-477088.99967832561</v>
      </c>
      <c r="P169" s="33">
        <f>O169/'D) Ecrêtage'!C169</f>
        <v>-4.8802864535600179</v>
      </c>
      <c r="Q169" s="131"/>
    </row>
    <row r="170" spans="1:17" x14ac:dyDescent="0.25">
      <c r="A170" s="49">
        <f>+'A) Base RI'!A172</f>
        <v>5678</v>
      </c>
      <c r="B170" s="427" t="str">
        <f>+'A) Base RI'!B172</f>
        <v>Moudon</v>
      </c>
      <c r="C170" s="299">
        <f>+'D) Ecrêtage'!C170</f>
        <v>126080.27293333331</v>
      </c>
      <c r="D170" s="428">
        <v>1584552</v>
      </c>
      <c r="E170" s="430">
        <v>512707</v>
      </c>
      <c r="F170" s="428">
        <v>402310</v>
      </c>
      <c r="G170" s="299">
        <f t="shared" si="16"/>
        <v>2499569</v>
      </c>
      <c r="H170" s="277">
        <f t="shared" si="17"/>
        <v>1008642.1834666665</v>
      </c>
      <c r="I170" s="10">
        <f t="shared" si="18"/>
        <v>1490926.8165333336</v>
      </c>
      <c r="J170" s="296">
        <f t="shared" si="19"/>
        <v>-1108823.9398942168</v>
      </c>
      <c r="K170" s="432">
        <v>71201</v>
      </c>
      <c r="L170" s="10">
        <f t="shared" si="20"/>
        <v>126080.27293333331</v>
      </c>
      <c r="M170" s="14">
        <f t="shared" si="21"/>
        <v>0</v>
      </c>
      <c r="N170" s="2">
        <f t="shared" si="22"/>
        <v>0</v>
      </c>
      <c r="O170" s="135">
        <f t="shared" si="23"/>
        <v>-1108823.9398942168</v>
      </c>
      <c r="P170" s="33">
        <f>O170/'D) Ecrêtage'!C170</f>
        <v>-8.7945870840597156</v>
      </c>
      <c r="Q170" s="131"/>
    </row>
    <row r="171" spans="1:17" x14ac:dyDescent="0.25">
      <c r="A171" s="49">
        <f>+'A) Base RI'!A173</f>
        <v>5680</v>
      </c>
      <c r="B171" s="427" t="str">
        <f>+'A) Base RI'!B173</f>
        <v>Ogens</v>
      </c>
      <c r="C171" s="299">
        <f>+'D) Ecrêtage'!C171</f>
        <v>6313.5037606837595</v>
      </c>
      <c r="D171" s="428">
        <v>39591</v>
      </c>
      <c r="E171" s="430">
        <v>12619</v>
      </c>
      <c r="F171" s="428">
        <v>26180</v>
      </c>
      <c r="G171" s="299">
        <f t="shared" si="16"/>
        <v>78390</v>
      </c>
      <c r="H171" s="277">
        <f t="shared" si="17"/>
        <v>50508.030085470076</v>
      </c>
      <c r="I171" s="10">
        <f t="shared" si="18"/>
        <v>27881.969914529924</v>
      </c>
      <c r="J171" s="296">
        <f t="shared" si="19"/>
        <v>-20736.226211643752</v>
      </c>
      <c r="K171" s="432">
        <v>16500</v>
      </c>
      <c r="L171" s="10">
        <f t="shared" si="20"/>
        <v>6313.5037606837595</v>
      </c>
      <c r="M171" s="14">
        <f t="shared" si="21"/>
        <v>10186.49623931624</v>
      </c>
      <c r="N171" s="2">
        <f t="shared" si="22"/>
        <v>-7575.845285323383</v>
      </c>
      <c r="O171" s="135">
        <f t="shared" si="23"/>
        <v>-28312.071496967135</v>
      </c>
      <c r="P171" s="33">
        <f>O171/'D) Ecrêtage'!C171</f>
        <v>-4.4843675667504321</v>
      </c>
      <c r="Q171" s="131"/>
    </row>
    <row r="172" spans="1:17" x14ac:dyDescent="0.25">
      <c r="A172" s="49">
        <f>+'A) Base RI'!A174</f>
        <v>5683</v>
      </c>
      <c r="B172" s="427" t="str">
        <f>+'A) Base RI'!B174</f>
        <v>Prévonloup</v>
      </c>
      <c r="C172" s="299">
        <f>+'D) Ecrêtage'!C172</f>
        <v>4589.3872972972958</v>
      </c>
      <c r="D172" s="428">
        <v>48453</v>
      </c>
      <c r="E172" s="430">
        <v>6151</v>
      </c>
      <c r="F172" s="428">
        <v>11523</v>
      </c>
      <c r="G172" s="299">
        <f t="shared" si="16"/>
        <v>66127</v>
      </c>
      <c r="H172" s="277">
        <f t="shared" si="17"/>
        <v>36715.098378378367</v>
      </c>
      <c r="I172" s="10">
        <f t="shared" si="18"/>
        <v>29411.901621621633</v>
      </c>
      <c r="J172" s="296">
        <f t="shared" si="19"/>
        <v>-21874.058655472887</v>
      </c>
      <c r="K172" s="432">
        <v>-2190</v>
      </c>
      <c r="L172" s="10">
        <f t="shared" si="20"/>
        <v>4589.3872972972958</v>
      </c>
      <c r="M172" s="14">
        <f t="shared" si="21"/>
        <v>0</v>
      </c>
      <c r="N172" s="2">
        <f t="shared" si="22"/>
        <v>0</v>
      </c>
      <c r="O172" s="135">
        <f t="shared" si="23"/>
        <v>-21874.058655472887</v>
      </c>
      <c r="P172" s="33">
        <f>O172/'D) Ecrêtage'!C172</f>
        <v>-4.766226347546346</v>
      </c>
      <c r="Q172" s="131"/>
    </row>
    <row r="173" spans="1:17" x14ac:dyDescent="0.25">
      <c r="A173" s="49">
        <f>+'A) Base RI'!A175</f>
        <v>5684</v>
      </c>
      <c r="B173" s="427" t="str">
        <f>+'A) Base RI'!B175</f>
        <v>Rossenges</v>
      </c>
      <c r="C173" s="299">
        <f>+'D) Ecrêtage'!C173</f>
        <v>3098.721</v>
      </c>
      <c r="D173" s="428">
        <v>34610</v>
      </c>
      <c r="E173" s="430">
        <v>2173</v>
      </c>
      <c r="F173" s="428">
        <v>3790</v>
      </c>
      <c r="G173" s="299">
        <f t="shared" si="16"/>
        <v>40573</v>
      </c>
      <c r="H173" s="277">
        <f t="shared" si="17"/>
        <v>24789.768</v>
      </c>
      <c r="I173" s="10">
        <f t="shared" si="18"/>
        <v>15783.232</v>
      </c>
      <c r="J173" s="296">
        <f t="shared" si="19"/>
        <v>-11738.219003396134</v>
      </c>
      <c r="K173" s="432">
        <v>171</v>
      </c>
      <c r="L173" s="10">
        <f t="shared" si="20"/>
        <v>3098.721</v>
      </c>
      <c r="M173" s="14">
        <f t="shared" si="21"/>
        <v>0</v>
      </c>
      <c r="N173" s="2">
        <f t="shared" si="22"/>
        <v>0</v>
      </c>
      <c r="O173" s="135">
        <f t="shared" si="23"/>
        <v>-11738.219003396134</v>
      </c>
      <c r="P173" s="33">
        <f>O173/'D) Ecrêtage'!C173</f>
        <v>-3.7880851497750636</v>
      </c>
      <c r="Q173" s="131"/>
    </row>
    <row r="174" spans="1:17" x14ac:dyDescent="0.25">
      <c r="A174" s="49">
        <f>+'A) Base RI'!A176</f>
        <v>5688</v>
      </c>
      <c r="B174" s="427" t="str">
        <f>+'A) Base RI'!B176</f>
        <v>Syens</v>
      </c>
      <c r="C174" s="299">
        <f>+'D) Ecrêtage'!C174</f>
        <v>2742.3284391534398</v>
      </c>
      <c r="D174" s="428">
        <v>28946</v>
      </c>
      <c r="E174" s="430">
        <v>7973</v>
      </c>
      <c r="F174" s="428">
        <v>21356</v>
      </c>
      <c r="G174" s="299">
        <f t="shared" si="16"/>
        <v>58275</v>
      </c>
      <c r="H174" s="277">
        <f t="shared" si="17"/>
        <v>21938.627513227519</v>
      </c>
      <c r="I174" s="10">
        <f t="shared" si="18"/>
        <v>36336.372486772481</v>
      </c>
      <c r="J174" s="296">
        <f t="shared" si="19"/>
        <v>-27023.888265642498</v>
      </c>
      <c r="K174" s="432">
        <v>22766</v>
      </c>
      <c r="L174" s="10">
        <f t="shared" si="20"/>
        <v>2742.3284391534398</v>
      </c>
      <c r="M174" s="14">
        <f t="shared" si="21"/>
        <v>20023.67156084656</v>
      </c>
      <c r="N174" s="2">
        <f t="shared" si="22"/>
        <v>-14891.895527689881</v>
      </c>
      <c r="O174" s="135">
        <f t="shared" si="23"/>
        <v>-41915.783793332375</v>
      </c>
      <c r="P174" s="33">
        <f>O174/'D) Ecrêtage'!C174</f>
        <v>-15.284742408998913</v>
      </c>
      <c r="Q174" s="131"/>
    </row>
    <row r="175" spans="1:17" x14ac:dyDescent="0.25">
      <c r="A175" s="49">
        <f>+'A) Base RI'!A177</f>
        <v>5690</v>
      </c>
      <c r="B175" s="427" t="str">
        <f>+'A) Base RI'!B177</f>
        <v>Villars-le-Comte</v>
      </c>
      <c r="C175" s="299">
        <f>+'D) Ecrêtage'!C175</f>
        <v>3018.1645000000003</v>
      </c>
      <c r="D175" s="428">
        <v>6153</v>
      </c>
      <c r="E175" s="430">
        <v>4413</v>
      </c>
      <c r="F175" s="428">
        <v>7226</v>
      </c>
      <c r="G175" s="299">
        <f t="shared" si="16"/>
        <v>17792</v>
      </c>
      <c r="H175" s="277">
        <f t="shared" si="17"/>
        <v>24145.316000000003</v>
      </c>
      <c r="I175" s="10">
        <f t="shared" si="18"/>
        <v>0</v>
      </c>
      <c r="J175" s="296">
        <f t="shared" si="19"/>
        <v>0</v>
      </c>
      <c r="K175" s="432">
        <v>522</v>
      </c>
      <c r="L175" s="10">
        <f t="shared" si="20"/>
        <v>3018.1645000000003</v>
      </c>
      <c r="M175" s="14">
        <f t="shared" si="21"/>
        <v>0</v>
      </c>
      <c r="N175" s="2">
        <f t="shared" si="22"/>
        <v>0</v>
      </c>
      <c r="O175" s="135">
        <f t="shared" si="23"/>
        <v>0</v>
      </c>
      <c r="P175" s="33">
        <f>O175/'D) Ecrêtage'!C175</f>
        <v>0</v>
      </c>
      <c r="Q175" s="131"/>
    </row>
    <row r="176" spans="1:17" x14ac:dyDescent="0.25">
      <c r="A176" s="49">
        <f>+'A) Base RI'!A178</f>
        <v>5692</v>
      </c>
      <c r="B176" s="427" t="str">
        <f>+'A) Base RI'!B178</f>
        <v>Vucherens</v>
      </c>
      <c r="C176" s="299">
        <f>+'D) Ecrêtage'!C176</f>
        <v>16002.190506329114</v>
      </c>
      <c r="D176" s="428">
        <v>106686</v>
      </c>
      <c r="E176" s="430">
        <v>28932</v>
      </c>
      <c r="F176" s="428">
        <v>83311</v>
      </c>
      <c r="G176" s="299">
        <f t="shared" si="16"/>
        <v>218929</v>
      </c>
      <c r="H176" s="277">
        <f t="shared" si="17"/>
        <v>128017.52405063291</v>
      </c>
      <c r="I176" s="10">
        <f t="shared" si="18"/>
        <v>90911.475949367086</v>
      </c>
      <c r="J176" s="296">
        <f t="shared" si="19"/>
        <v>-67612.185806788577</v>
      </c>
      <c r="K176" s="432">
        <v>-12505</v>
      </c>
      <c r="L176" s="10">
        <f t="shared" si="20"/>
        <v>16002.190506329114</v>
      </c>
      <c r="M176" s="14">
        <f t="shared" si="21"/>
        <v>0</v>
      </c>
      <c r="N176" s="2">
        <f t="shared" si="22"/>
        <v>0</v>
      </c>
      <c r="O176" s="135">
        <f t="shared" si="23"/>
        <v>-67612.185806788577</v>
      </c>
      <c r="P176" s="33">
        <f>O176/'D) Ecrêtage'!C176</f>
        <v>-4.2251831572713066</v>
      </c>
      <c r="Q176" s="131"/>
    </row>
    <row r="177" spans="1:17" x14ac:dyDescent="0.25">
      <c r="A177" s="49">
        <f>+'A) Base RI'!A179</f>
        <v>5693</v>
      </c>
      <c r="B177" s="427" t="str">
        <f>+'A) Base RI'!B179</f>
        <v>Montanaire</v>
      </c>
      <c r="C177" s="299">
        <f>+'D) Ecrêtage'!C177</f>
        <v>70807.212499999965</v>
      </c>
      <c r="D177" s="428">
        <v>961717</v>
      </c>
      <c r="E177" s="430">
        <v>134633</v>
      </c>
      <c r="F177" s="428">
        <v>235099</v>
      </c>
      <c r="G177" s="299">
        <f t="shared" si="16"/>
        <v>1331449</v>
      </c>
      <c r="H177" s="277">
        <f t="shared" si="17"/>
        <v>566457.69999999972</v>
      </c>
      <c r="I177" s="10">
        <f t="shared" si="18"/>
        <v>764991.30000000028</v>
      </c>
      <c r="J177" s="296">
        <f t="shared" si="19"/>
        <v>-568935.14681230788</v>
      </c>
      <c r="K177" s="432">
        <v>78121</v>
      </c>
      <c r="L177" s="10">
        <f t="shared" si="20"/>
        <v>70807.212499999965</v>
      </c>
      <c r="M177" s="14">
        <f t="shared" si="21"/>
        <v>7313.7875000000349</v>
      </c>
      <c r="N177" s="2">
        <f t="shared" si="22"/>
        <v>-5439.3700491319851</v>
      </c>
      <c r="O177" s="135">
        <f t="shared" si="23"/>
        <v>-574374.51686143992</v>
      </c>
      <c r="P177" s="33">
        <f>O177/'D) Ecrêtage'!C177</f>
        <v>-8.1118080571444633</v>
      </c>
      <c r="Q177" s="131"/>
    </row>
    <row r="178" spans="1:17" x14ac:dyDescent="0.25">
      <c r="A178" s="49">
        <f>+'A) Base RI'!A180</f>
        <v>5701</v>
      </c>
      <c r="B178" s="427" t="str">
        <f>+'A) Base RI'!B180</f>
        <v>Arnex-sur-Nyon</v>
      </c>
      <c r="C178" s="299">
        <f>+'D) Ecrêtage'!C178</f>
        <v>12068.134285714286</v>
      </c>
      <c r="D178" s="428">
        <v>284107</v>
      </c>
      <c r="E178" s="430">
        <v>9289</v>
      </c>
      <c r="F178" s="428">
        <v>34908</v>
      </c>
      <c r="G178" s="299">
        <f t="shared" si="16"/>
        <v>328304</v>
      </c>
      <c r="H178" s="277">
        <f t="shared" si="17"/>
        <v>96545.07428571429</v>
      </c>
      <c r="I178" s="10">
        <f t="shared" si="18"/>
        <v>231758.92571428569</v>
      </c>
      <c r="J178" s="296">
        <f t="shared" si="19"/>
        <v>-172362.4810194833</v>
      </c>
      <c r="K178" s="432">
        <v>4197</v>
      </c>
      <c r="L178" s="10">
        <f t="shared" si="20"/>
        <v>12068.134285714286</v>
      </c>
      <c r="M178" s="14">
        <f t="shared" si="21"/>
        <v>0</v>
      </c>
      <c r="N178" s="2">
        <f t="shared" si="22"/>
        <v>0</v>
      </c>
      <c r="O178" s="135">
        <f t="shared" si="23"/>
        <v>-172362.4810194833</v>
      </c>
      <c r="P178" s="33">
        <f>O178/'D) Ecrêtage'!C178</f>
        <v>-14.282446394677446</v>
      </c>
      <c r="Q178" s="131"/>
    </row>
    <row r="179" spans="1:17" x14ac:dyDescent="0.25">
      <c r="A179" s="49">
        <f>+'A) Base RI'!A181</f>
        <v>5702</v>
      </c>
      <c r="B179" s="427" t="str">
        <f>+'A) Base RI'!B181</f>
        <v>Arzier-Le Muids</v>
      </c>
      <c r="C179" s="299">
        <f>+'D) Ecrêtage'!C179</f>
        <v>173952.76901041667</v>
      </c>
      <c r="D179" s="428">
        <v>716788</v>
      </c>
      <c r="E179" s="430">
        <v>219411</v>
      </c>
      <c r="F179" s="428">
        <v>144751</v>
      </c>
      <c r="G179" s="299">
        <f t="shared" si="16"/>
        <v>1080950</v>
      </c>
      <c r="H179" s="277">
        <f t="shared" si="17"/>
        <v>1391622.1520833333</v>
      </c>
      <c r="I179" s="10">
        <f t="shared" si="18"/>
        <v>0</v>
      </c>
      <c r="J179" s="296">
        <f t="shared" si="19"/>
        <v>0</v>
      </c>
      <c r="K179" s="432">
        <v>544621</v>
      </c>
      <c r="L179" s="10">
        <f t="shared" si="20"/>
        <v>173952.76901041667</v>
      </c>
      <c r="M179" s="14">
        <f t="shared" si="21"/>
        <v>370668.2309895833</v>
      </c>
      <c r="N179" s="2">
        <f t="shared" si="22"/>
        <v>-275671.3500097543</v>
      </c>
      <c r="O179" s="135">
        <f t="shared" si="23"/>
        <v>-275671.3500097543</v>
      </c>
      <c r="P179" s="33">
        <f>O179/'D) Ecrêtage'!C179</f>
        <v>-1.5847482714876846</v>
      </c>
      <c r="Q179" s="131"/>
    </row>
    <row r="180" spans="1:17" x14ac:dyDescent="0.25">
      <c r="A180" s="49">
        <f>+'A) Base RI'!A182</f>
        <v>5703</v>
      </c>
      <c r="B180" s="427" t="str">
        <f>+'A) Base RI'!B182</f>
        <v>Bassins</v>
      </c>
      <c r="C180" s="299">
        <f>+'D) Ecrêtage'!C180</f>
        <v>58992.28158301158</v>
      </c>
      <c r="D180" s="428">
        <v>296253</v>
      </c>
      <c r="E180" s="430">
        <v>78241</v>
      </c>
      <c r="F180" s="428">
        <v>140414</v>
      </c>
      <c r="G180" s="299">
        <f t="shared" si="16"/>
        <v>514908</v>
      </c>
      <c r="H180" s="277">
        <f t="shared" si="17"/>
        <v>471938.25266409264</v>
      </c>
      <c r="I180" s="10">
        <f t="shared" si="18"/>
        <v>42969.747335907363</v>
      </c>
      <c r="J180" s="296">
        <f t="shared" si="19"/>
        <v>-31957.225538437135</v>
      </c>
      <c r="K180" s="432">
        <v>488035</v>
      </c>
      <c r="L180" s="10">
        <f t="shared" si="20"/>
        <v>58992.28158301158</v>
      </c>
      <c r="M180" s="14">
        <f t="shared" si="21"/>
        <v>429042.71841698844</v>
      </c>
      <c r="N180" s="2">
        <f t="shared" si="22"/>
        <v>-319085.30461891647</v>
      </c>
      <c r="O180" s="135">
        <f t="shared" si="23"/>
        <v>-351042.53015735361</v>
      </c>
      <c r="P180" s="33">
        <f>O180/'D) Ecrêtage'!C180</f>
        <v>-5.9506518605045065</v>
      </c>
      <c r="Q180" s="131"/>
    </row>
    <row r="181" spans="1:17" x14ac:dyDescent="0.25">
      <c r="A181" s="49">
        <f>+'A) Base RI'!A183</f>
        <v>5704</v>
      </c>
      <c r="B181" s="427" t="str">
        <f>+'A) Base RI'!B183</f>
        <v>Begnins</v>
      </c>
      <c r="C181" s="299">
        <f>+'D) Ecrêtage'!C181</f>
        <v>129564.85270833333</v>
      </c>
      <c r="D181" s="428">
        <v>516827</v>
      </c>
      <c r="E181" s="430">
        <v>89798</v>
      </c>
      <c r="F181" s="428">
        <v>98862</v>
      </c>
      <c r="G181" s="299">
        <f t="shared" si="16"/>
        <v>705487</v>
      </c>
      <c r="H181" s="277">
        <f t="shared" si="17"/>
        <v>1036518.8216666667</v>
      </c>
      <c r="I181" s="10">
        <f t="shared" si="18"/>
        <v>0</v>
      </c>
      <c r="J181" s="296">
        <f t="shared" si="19"/>
        <v>0</v>
      </c>
      <c r="K181" s="432">
        <v>34609</v>
      </c>
      <c r="L181" s="10">
        <f t="shared" si="20"/>
        <v>129564.85270833333</v>
      </c>
      <c r="M181" s="14">
        <f t="shared" si="21"/>
        <v>0</v>
      </c>
      <c r="N181" s="2">
        <f t="shared" si="22"/>
        <v>0</v>
      </c>
      <c r="O181" s="135">
        <f t="shared" si="23"/>
        <v>0</v>
      </c>
      <c r="P181" s="33">
        <f>O181/'D) Ecrêtage'!C181</f>
        <v>0</v>
      </c>
      <c r="Q181" s="131"/>
    </row>
    <row r="182" spans="1:17" x14ac:dyDescent="0.25">
      <c r="A182" s="49">
        <f>+'A) Base RI'!A184</f>
        <v>5705</v>
      </c>
      <c r="B182" s="427" t="str">
        <f>+'A) Base RI'!B184</f>
        <v>Bogis-Bossey</v>
      </c>
      <c r="C182" s="299">
        <f>+'D) Ecrêtage'!C182</f>
        <v>47436.61605263158</v>
      </c>
      <c r="D182" s="428">
        <v>199749</v>
      </c>
      <c r="E182" s="430">
        <v>42396</v>
      </c>
      <c r="F182" s="428">
        <v>46292</v>
      </c>
      <c r="G182" s="299">
        <f t="shared" si="16"/>
        <v>288437</v>
      </c>
      <c r="H182" s="277">
        <f t="shared" si="17"/>
        <v>379492.92842105264</v>
      </c>
      <c r="I182" s="10">
        <f t="shared" si="18"/>
        <v>0</v>
      </c>
      <c r="J182" s="296">
        <f t="shared" si="19"/>
        <v>0</v>
      </c>
      <c r="K182" s="432">
        <v>21166</v>
      </c>
      <c r="L182" s="10">
        <f t="shared" si="20"/>
        <v>47436.61605263158</v>
      </c>
      <c r="M182" s="14">
        <f t="shared" si="21"/>
        <v>0</v>
      </c>
      <c r="N182" s="2">
        <f t="shared" si="22"/>
        <v>0</v>
      </c>
      <c r="O182" s="135">
        <f t="shared" si="23"/>
        <v>0</v>
      </c>
      <c r="P182" s="33">
        <f>O182/'D) Ecrêtage'!C182</f>
        <v>0</v>
      </c>
      <c r="Q182" s="131"/>
    </row>
    <row r="183" spans="1:17" x14ac:dyDescent="0.25">
      <c r="A183" s="49">
        <f>+'A) Base RI'!A185</f>
        <v>5706</v>
      </c>
      <c r="B183" s="427" t="str">
        <f>+'A) Base RI'!B185</f>
        <v>Borex</v>
      </c>
      <c r="C183" s="299">
        <f>+'D) Ecrêtage'!C183</f>
        <v>76683.378793103446</v>
      </c>
      <c r="D183" s="428">
        <v>219095</v>
      </c>
      <c r="E183" s="430">
        <v>45059</v>
      </c>
      <c r="F183" s="428">
        <v>181942</v>
      </c>
      <c r="G183" s="299">
        <f t="shared" si="16"/>
        <v>446096</v>
      </c>
      <c r="H183" s="277">
        <f t="shared" si="17"/>
        <v>613467.03034482757</v>
      </c>
      <c r="I183" s="10">
        <f t="shared" si="18"/>
        <v>0</v>
      </c>
      <c r="J183" s="296">
        <f t="shared" si="19"/>
        <v>0</v>
      </c>
      <c r="K183" s="432">
        <v>0</v>
      </c>
      <c r="L183" s="10">
        <f t="shared" si="20"/>
        <v>76683.378793103446</v>
      </c>
      <c r="M183" s="14">
        <f t="shared" si="21"/>
        <v>0</v>
      </c>
      <c r="N183" s="2">
        <f t="shared" si="22"/>
        <v>0</v>
      </c>
      <c r="O183" s="135">
        <f t="shared" si="23"/>
        <v>0</v>
      </c>
      <c r="P183" s="33">
        <f>O183/'D) Ecrêtage'!C183</f>
        <v>0</v>
      </c>
      <c r="Q183" s="131"/>
    </row>
    <row r="184" spans="1:17" x14ac:dyDescent="0.25">
      <c r="A184" s="49">
        <f>+'A) Base RI'!A186</f>
        <v>5707</v>
      </c>
      <c r="B184" s="427" t="str">
        <f>+'A) Base RI'!B186</f>
        <v>Chavannes-de-Bogis</v>
      </c>
      <c r="C184" s="299">
        <f>+'D) Ecrêtage'!C184</f>
        <v>81307.638983050841</v>
      </c>
      <c r="D184" s="428">
        <v>234650</v>
      </c>
      <c r="E184" s="430">
        <v>69329</v>
      </c>
      <c r="F184" s="428">
        <v>66612</v>
      </c>
      <c r="G184" s="299">
        <f t="shared" si="16"/>
        <v>370591</v>
      </c>
      <c r="H184" s="277">
        <f t="shared" si="17"/>
        <v>650461.11186440673</v>
      </c>
      <c r="I184" s="10">
        <f t="shared" si="18"/>
        <v>0</v>
      </c>
      <c r="J184" s="296">
        <f t="shared" si="19"/>
        <v>0</v>
      </c>
      <c r="K184" s="432">
        <v>8667</v>
      </c>
      <c r="L184" s="10">
        <f t="shared" si="20"/>
        <v>81307.638983050841</v>
      </c>
      <c r="M184" s="14">
        <f t="shared" si="21"/>
        <v>0</v>
      </c>
      <c r="N184" s="2">
        <f t="shared" si="22"/>
        <v>0</v>
      </c>
      <c r="O184" s="135">
        <f t="shared" si="23"/>
        <v>0</v>
      </c>
      <c r="P184" s="33">
        <f>O184/'D) Ecrêtage'!C184</f>
        <v>0</v>
      </c>
      <c r="Q184" s="131"/>
    </row>
    <row r="185" spans="1:17" x14ac:dyDescent="0.25">
      <c r="A185" s="49">
        <f>+'A) Base RI'!A187</f>
        <v>5708</v>
      </c>
      <c r="B185" s="427" t="str">
        <f>+'A) Base RI'!B187</f>
        <v>Chavannes-des-Bois</v>
      </c>
      <c r="C185" s="299">
        <f>+'D) Ecrêtage'!C185</f>
        <v>64704.48911764707</v>
      </c>
      <c r="D185" s="428">
        <v>218812</v>
      </c>
      <c r="E185" s="430">
        <v>127952</v>
      </c>
      <c r="F185" s="428">
        <v>63570</v>
      </c>
      <c r="G185" s="299">
        <f t="shared" si="16"/>
        <v>410334</v>
      </c>
      <c r="H185" s="277">
        <f t="shared" si="17"/>
        <v>517635.91294117656</v>
      </c>
      <c r="I185" s="10">
        <f t="shared" si="18"/>
        <v>0</v>
      </c>
      <c r="J185" s="296">
        <f t="shared" si="19"/>
        <v>0</v>
      </c>
      <c r="K185" s="432">
        <v>0</v>
      </c>
      <c r="L185" s="10">
        <f t="shared" si="20"/>
        <v>64704.48911764707</v>
      </c>
      <c r="M185" s="14">
        <f t="shared" si="21"/>
        <v>0</v>
      </c>
      <c r="N185" s="2">
        <f t="shared" si="22"/>
        <v>0</v>
      </c>
      <c r="O185" s="135">
        <f t="shared" si="23"/>
        <v>0</v>
      </c>
      <c r="P185" s="33">
        <f>O185/'D) Ecrêtage'!C185</f>
        <v>0</v>
      </c>
      <c r="Q185" s="131"/>
    </row>
    <row r="186" spans="1:17" x14ac:dyDescent="0.25">
      <c r="A186" s="49">
        <f>+'A) Base RI'!A188</f>
        <v>5709</v>
      </c>
      <c r="B186" s="427" t="str">
        <f>+'A) Base RI'!B188</f>
        <v>Chéserex</v>
      </c>
      <c r="C186" s="299">
        <f>+'D) Ecrêtage'!C186</f>
        <v>99426.699824561394</v>
      </c>
      <c r="D186" s="428">
        <v>293209</v>
      </c>
      <c r="E186" s="430">
        <v>48498</v>
      </c>
      <c r="F186" s="428">
        <v>180720</v>
      </c>
      <c r="G186" s="299">
        <f t="shared" si="16"/>
        <v>522427</v>
      </c>
      <c r="H186" s="277">
        <f t="shared" si="17"/>
        <v>795413.59859649115</v>
      </c>
      <c r="I186" s="10">
        <f t="shared" si="18"/>
        <v>0</v>
      </c>
      <c r="J186" s="296">
        <f t="shared" si="19"/>
        <v>0</v>
      </c>
      <c r="K186" s="432">
        <v>16106</v>
      </c>
      <c r="L186" s="10">
        <f t="shared" si="20"/>
        <v>99426.699824561394</v>
      </c>
      <c r="M186" s="14">
        <f t="shared" si="21"/>
        <v>0</v>
      </c>
      <c r="N186" s="2">
        <f t="shared" si="22"/>
        <v>0</v>
      </c>
      <c r="O186" s="135">
        <f t="shared" si="23"/>
        <v>0</v>
      </c>
      <c r="P186" s="33">
        <f>O186/'D) Ecrêtage'!C186</f>
        <v>0</v>
      </c>
      <c r="Q186" s="131"/>
    </row>
    <row r="187" spans="1:17" x14ac:dyDescent="0.25">
      <c r="A187" s="49">
        <f>+'A) Base RI'!A189</f>
        <v>5710</v>
      </c>
      <c r="B187" s="427" t="str">
        <f>+'A) Base RI'!B189</f>
        <v>Coinsins</v>
      </c>
      <c r="C187" s="299">
        <f>+'D) Ecrêtage'!C187</f>
        <v>112110.92803921571</v>
      </c>
      <c r="D187" s="428">
        <v>103239</v>
      </c>
      <c r="E187" s="430">
        <v>19723</v>
      </c>
      <c r="F187" s="428">
        <v>51164</v>
      </c>
      <c r="G187" s="299">
        <f t="shared" si="16"/>
        <v>174126</v>
      </c>
      <c r="H187" s="277">
        <f t="shared" si="17"/>
        <v>896887.42431372567</v>
      </c>
      <c r="I187" s="10">
        <f t="shared" si="18"/>
        <v>0</v>
      </c>
      <c r="J187" s="296">
        <f t="shared" si="19"/>
        <v>0</v>
      </c>
      <c r="K187" s="432">
        <v>9680</v>
      </c>
      <c r="L187" s="10">
        <f t="shared" si="20"/>
        <v>112110.92803921571</v>
      </c>
      <c r="M187" s="14">
        <f t="shared" si="21"/>
        <v>0</v>
      </c>
      <c r="N187" s="2">
        <f t="shared" si="22"/>
        <v>0</v>
      </c>
      <c r="O187" s="135">
        <f t="shared" si="23"/>
        <v>0</v>
      </c>
      <c r="P187" s="33">
        <f>O187/'D) Ecrêtage'!C187</f>
        <v>0</v>
      </c>
      <c r="Q187" s="131"/>
    </row>
    <row r="188" spans="1:17" x14ac:dyDescent="0.25">
      <c r="A188" s="49">
        <f>+'A) Base RI'!A190</f>
        <v>5711</v>
      </c>
      <c r="B188" s="427" t="str">
        <f>+'A) Base RI'!B190</f>
        <v>Commugny</v>
      </c>
      <c r="C188" s="299">
        <f>+'D) Ecrêtage'!C188</f>
        <v>257487.27623481784</v>
      </c>
      <c r="D188" s="428">
        <v>578949</v>
      </c>
      <c r="E188" s="430">
        <v>156025</v>
      </c>
      <c r="F188" s="428">
        <v>151425</v>
      </c>
      <c r="G188" s="299">
        <f t="shared" si="16"/>
        <v>886399</v>
      </c>
      <c r="H188" s="277">
        <f t="shared" si="17"/>
        <v>2059898.2098785427</v>
      </c>
      <c r="I188" s="10">
        <f t="shared" si="18"/>
        <v>0</v>
      </c>
      <c r="J188" s="296">
        <f t="shared" si="19"/>
        <v>0</v>
      </c>
      <c r="K188" s="432">
        <v>0</v>
      </c>
      <c r="L188" s="10">
        <f t="shared" si="20"/>
        <v>257487.27623481784</v>
      </c>
      <c r="M188" s="14">
        <f t="shared" si="21"/>
        <v>0</v>
      </c>
      <c r="N188" s="2">
        <f t="shared" si="22"/>
        <v>0</v>
      </c>
      <c r="O188" s="135">
        <f t="shared" si="23"/>
        <v>0</v>
      </c>
      <c r="P188" s="33">
        <f>O188/'D) Ecrêtage'!C188</f>
        <v>0</v>
      </c>
      <c r="Q188" s="131"/>
    </row>
    <row r="189" spans="1:17" x14ac:dyDescent="0.25">
      <c r="A189" s="49">
        <f>+'A) Base RI'!A191</f>
        <v>5712</v>
      </c>
      <c r="B189" s="427" t="str">
        <f>+'A) Base RI'!B191</f>
        <v>Coppet</v>
      </c>
      <c r="C189" s="299">
        <f>+'D) Ecrêtage'!C189</f>
        <v>389043.84018867929</v>
      </c>
      <c r="D189" s="428">
        <v>637704</v>
      </c>
      <c r="E189" s="430">
        <v>298166</v>
      </c>
      <c r="F189" s="428">
        <v>165477</v>
      </c>
      <c r="G189" s="299">
        <f t="shared" si="16"/>
        <v>1101347</v>
      </c>
      <c r="H189" s="277">
        <f t="shared" si="17"/>
        <v>3112350.7215094343</v>
      </c>
      <c r="I189" s="10">
        <f t="shared" si="18"/>
        <v>0</v>
      </c>
      <c r="J189" s="296">
        <f t="shared" si="19"/>
        <v>0</v>
      </c>
      <c r="K189" s="432">
        <v>0</v>
      </c>
      <c r="L189" s="10">
        <f t="shared" si="20"/>
        <v>389043.84018867929</v>
      </c>
      <c r="M189" s="14">
        <f t="shared" si="21"/>
        <v>0</v>
      </c>
      <c r="N189" s="2">
        <f t="shared" si="22"/>
        <v>0</v>
      </c>
      <c r="O189" s="135">
        <f t="shared" si="23"/>
        <v>0</v>
      </c>
      <c r="P189" s="33">
        <f>O189/'D) Ecrêtage'!C189</f>
        <v>0</v>
      </c>
      <c r="Q189" s="131"/>
    </row>
    <row r="190" spans="1:17" x14ac:dyDescent="0.25">
      <c r="A190" s="49">
        <f>+'A) Base RI'!A192</f>
        <v>5713</v>
      </c>
      <c r="B190" s="427" t="str">
        <f>+'A) Base RI'!B192</f>
        <v>Crans-près-Céligny</v>
      </c>
      <c r="C190" s="299">
        <f>+'D) Ecrêtage'!C190</f>
        <v>285689.07035714283</v>
      </c>
      <c r="D190" s="428">
        <v>363040</v>
      </c>
      <c r="E190" s="430">
        <v>92029</v>
      </c>
      <c r="F190" s="428">
        <v>117738</v>
      </c>
      <c r="G190" s="299">
        <f t="shared" si="16"/>
        <v>572807</v>
      </c>
      <c r="H190" s="277">
        <f t="shared" si="17"/>
        <v>2285512.5628571426</v>
      </c>
      <c r="I190" s="10">
        <f t="shared" si="18"/>
        <v>0</v>
      </c>
      <c r="J190" s="296">
        <f t="shared" si="19"/>
        <v>0</v>
      </c>
      <c r="K190" s="432">
        <v>38871</v>
      </c>
      <c r="L190" s="10">
        <f t="shared" si="20"/>
        <v>285689.07035714283</v>
      </c>
      <c r="M190" s="14">
        <f t="shared" si="21"/>
        <v>0</v>
      </c>
      <c r="N190" s="2">
        <f t="shared" si="22"/>
        <v>0</v>
      </c>
      <c r="O190" s="135">
        <f t="shared" si="23"/>
        <v>0</v>
      </c>
      <c r="P190" s="33">
        <f>O190/'D) Ecrêtage'!C190</f>
        <v>0</v>
      </c>
      <c r="Q190" s="131"/>
    </row>
    <row r="191" spans="1:17" x14ac:dyDescent="0.25">
      <c r="A191" s="49">
        <f>+'A) Base RI'!A193</f>
        <v>5714</v>
      </c>
      <c r="B191" s="427" t="str">
        <f>+'A) Base RI'!B193</f>
        <v>Crassier</v>
      </c>
      <c r="C191" s="299">
        <f>+'D) Ecrêtage'!C191</f>
        <v>69757.357205882377</v>
      </c>
      <c r="D191" s="428">
        <v>150919</v>
      </c>
      <c r="E191" s="430">
        <v>46442</v>
      </c>
      <c r="F191" s="428">
        <v>206823</v>
      </c>
      <c r="G191" s="299">
        <f t="shared" si="16"/>
        <v>404184</v>
      </c>
      <c r="H191" s="277">
        <f t="shared" si="17"/>
        <v>558058.85764705902</v>
      </c>
      <c r="I191" s="10">
        <f t="shared" si="18"/>
        <v>0</v>
      </c>
      <c r="J191" s="296">
        <f t="shared" si="19"/>
        <v>0</v>
      </c>
      <c r="K191" s="432">
        <v>11549</v>
      </c>
      <c r="L191" s="10">
        <f t="shared" si="20"/>
        <v>69757.357205882377</v>
      </c>
      <c r="M191" s="14">
        <f t="shared" si="21"/>
        <v>0</v>
      </c>
      <c r="N191" s="2">
        <f t="shared" si="22"/>
        <v>0</v>
      </c>
      <c r="O191" s="135">
        <f t="shared" si="23"/>
        <v>0</v>
      </c>
      <c r="P191" s="33">
        <f>O191/'D) Ecrêtage'!C191</f>
        <v>0</v>
      </c>
      <c r="Q191" s="131"/>
    </row>
    <row r="192" spans="1:17" x14ac:dyDescent="0.25">
      <c r="A192" s="49">
        <f>+'A) Base RI'!A194</f>
        <v>5715</v>
      </c>
      <c r="B192" s="427" t="str">
        <f>+'A) Base RI'!B194</f>
        <v>Duillier</v>
      </c>
      <c r="C192" s="299">
        <f>+'D) Ecrêtage'!C192</f>
        <v>70129.929393939397</v>
      </c>
      <c r="D192" s="428">
        <v>121682</v>
      </c>
      <c r="E192" s="430">
        <v>42885</v>
      </c>
      <c r="F192" s="428">
        <v>107961</v>
      </c>
      <c r="G192" s="299">
        <f t="shared" si="16"/>
        <v>272528</v>
      </c>
      <c r="H192" s="277">
        <f t="shared" si="17"/>
        <v>561039.43515151518</v>
      </c>
      <c r="I192" s="10">
        <f t="shared" si="18"/>
        <v>0</v>
      </c>
      <c r="J192" s="296">
        <f t="shared" si="19"/>
        <v>0</v>
      </c>
      <c r="K192" s="432">
        <v>4601</v>
      </c>
      <c r="L192" s="10">
        <f t="shared" si="20"/>
        <v>70129.929393939397</v>
      </c>
      <c r="M192" s="14">
        <f t="shared" si="21"/>
        <v>0</v>
      </c>
      <c r="N192" s="2">
        <f t="shared" si="22"/>
        <v>0</v>
      </c>
      <c r="O192" s="135">
        <f t="shared" si="23"/>
        <v>0</v>
      </c>
      <c r="P192" s="33">
        <f>O192/'D) Ecrêtage'!C192</f>
        <v>0</v>
      </c>
      <c r="Q192" s="131"/>
    </row>
    <row r="193" spans="1:17" x14ac:dyDescent="0.25">
      <c r="A193" s="49">
        <f>+'A) Base RI'!A195</f>
        <v>5716</v>
      </c>
      <c r="B193" s="427" t="str">
        <f>+'A) Base RI'!B195</f>
        <v>Eysins</v>
      </c>
      <c r="C193" s="299">
        <f>+'D) Ecrêtage'!C193</f>
        <v>206146.61786885248</v>
      </c>
      <c r="D193" s="428">
        <v>194082</v>
      </c>
      <c r="E193" s="430">
        <v>63952</v>
      </c>
      <c r="F193" s="428">
        <v>313120</v>
      </c>
      <c r="G193" s="299">
        <f t="shared" si="16"/>
        <v>571154</v>
      </c>
      <c r="H193" s="277">
        <f t="shared" si="17"/>
        <v>1649172.9429508199</v>
      </c>
      <c r="I193" s="10">
        <f t="shared" si="18"/>
        <v>0</v>
      </c>
      <c r="J193" s="296">
        <f t="shared" si="19"/>
        <v>0</v>
      </c>
      <c r="K193" s="432">
        <v>4123</v>
      </c>
      <c r="L193" s="10">
        <f t="shared" si="20"/>
        <v>206146.61786885248</v>
      </c>
      <c r="M193" s="14">
        <f t="shared" si="21"/>
        <v>0</v>
      </c>
      <c r="N193" s="2">
        <f t="shared" si="22"/>
        <v>0</v>
      </c>
      <c r="O193" s="135">
        <f t="shared" si="23"/>
        <v>0</v>
      </c>
      <c r="P193" s="33">
        <f>O193/'D) Ecrêtage'!C193</f>
        <v>0</v>
      </c>
      <c r="Q193" s="131"/>
    </row>
    <row r="194" spans="1:17" x14ac:dyDescent="0.25">
      <c r="A194" s="49">
        <f>+'A) Base RI'!A196</f>
        <v>5717</v>
      </c>
      <c r="B194" s="427" t="str">
        <f>+'A) Base RI'!B196</f>
        <v>Founex</v>
      </c>
      <c r="C194" s="299">
        <f>+'D) Ecrêtage'!C194</f>
        <v>344775.19280701759</v>
      </c>
      <c r="D194" s="428">
        <v>1122337</v>
      </c>
      <c r="E194" s="430">
        <v>147802</v>
      </c>
      <c r="F194" s="428">
        <v>206509</v>
      </c>
      <c r="G194" s="299">
        <f t="shared" si="16"/>
        <v>1476648</v>
      </c>
      <c r="H194" s="277">
        <f t="shared" si="17"/>
        <v>2758201.5424561407</v>
      </c>
      <c r="I194" s="10">
        <f t="shared" si="18"/>
        <v>0</v>
      </c>
      <c r="J194" s="296">
        <f t="shared" si="19"/>
        <v>0</v>
      </c>
      <c r="K194" s="432">
        <v>9600</v>
      </c>
      <c r="L194" s="10">
        <f t="shared" si="20"/>
        <v>344775.19280701759</v>
      </c>
      <c r="M194" s="14">
        <f t="shared" si="21"/>
        <v>0</v>
      </c>
      <c r="N194" s="2">
        <f t="shared" si="22"/>
        <v>0</v>
      </c>
      <c r="O194" s="135">
        <f t="shared" si="23"/>
        <v>0</v>
      </c>
      <c r="P194" s="33">
        <f>O194/'D) Ecrêtage'!C194</f>
        <v>0</v>
      </c>
      <c r="Q194" s="131"/>
    </row>
    <row r="195" spans="1:17" s="251" customFormat="1" x14ac:dyDescent="0.25">
      <c r="A195" s="49">
        <f>+'A) Base RI'!A197</f>
        <v>5718</v>
      </c>
      <c r="B195" s="427" t="str">
        <f>+'A) Base RI'!B197</f>
        <v>Genolier</v>
      </c>
      <c r="C195" s="299">
        <f>+'D) Ecrêtage'!C195</f>
        <v>171473.77890909091</v>
      </c>
      <c r="D195" s="428">
        <v>570548</v>
      </c>
      <c r="E195" s="430">
        <v>133495</v>
      </c>
      <c r="F195" s="428">
        <v>135950</v>
      </c>
      <c r="G195" s="299">
        <f t="shared" si="16"/>
        <v>839993</v>
      </c>
      <c r="H195" s="277">
        <f t="shared" si="17"/>
        <v>1371790.2312727273</v>
      </c>
      <c r="I195" s="10">
        <f t="shared" si="18"/>
        <v>0</v>
      </c>
      <c r="J195" s="296">
        <f t="shared" si="19"/>
        <v>0</v>
      </c>
      <c r="K195" s="432">
        <v>120183</v>
      </c>
      <c r="L195" s="249">
        <f t="shared" si="20"/>
        <v>171473.77890909091</v>
      </c>
      <c r="M195" s="1">
        <f t="shared" si="21"/>
        <v>0</v>
      </c>
      <c r="N195" s="2">
        <f t="shared" si="22"/>
        <v>0</v>
      </c>
      <c r="O195" s="135">
        <f t="shared" si="23"/>
        <v>0</v>
      </c>
      <c r="P195" s="33">
        <f>O195/'D) Ecrêtage'!C195</f>
        <v>0</v>
      </c>
      <c r="Q195" s="250"/>
    </row>
    <row r="196" spans="1:17" x14ac:dyDescent="0.25">
      <c r="A196" s="49">
        <f>+'A) Base RI'!A198</f>
        <v>5719</v>
      </c>
      <c r="B196" s="427" t="str">
        <f>+'A) Base RI'!B198</f>
        <v>Gingins</v>
      </c>
      <c r="C196" s="299">
        <f>+'D) Ecrêtage'!C196</f>
        <v>142317.67801169588</v>
      </c>
      <c r="D196" s="428">
        <v>241074</v>
      </c>
      <c r="E196" s="430">
        <v>49883</v>
      </c>
      <c r="F196" s="428">
        <v>194906</v>
      </c>
      <c r="G196" s="299">
        <f t="shared" si="16"/>
        <v>485863</v>
      </c>
      <c r="H196" s="277">
        <f t="shared" si="17"/>
        <v>1138541.4240935671</v>
      </c>
      <c r="I196" s="10">
        <f t="shared" si="18"/>
        <v>0</v>
      </c>
      <c r="J196" s="296">
        <f t="shared" si="19"/>
        <v>0</v>
      </c>
      <c r="K196" s="432">
        <v>60543</v>
      </c>
      <c r="L196" s="10">
        <f t="shared" si="20"/>
        <v>142317.67801169588</v>
      </c>
      <c r="M196" s="14">
        <f t="shared" si="21"/>
        <v>0</v>
      </c>
      <c r="N196" s="2">
        <f t="shared" si="22"/>
        <v>0</v>
      </c>
      <c r="O196" s="135">
        <f t="shared" si="23"/>
        <v>0</v>
      </c>
      <c r="P196" s="33">
        <f>O196/'D) Ecrêtage'!C196</f>
        <v>0</v>
      </c>
      <c r="Q196" s="131"/>
    </row>
    <row r="197" spans="1:17" x14ac:dyDescent="0.25">
      <c r="A197" s="49">
        <f>+'A) Base RI'!A199</f>
        <v>5720</v>
      </c>
      <c r="B197" s="427" t="str">
        <f>+'A) Base RI'!B199</f>
        <v>Givrins</v>
      </c>
      <c r="C197" s="299">
        <f>+'D) Ecrêtage'!C197</f>
        <v>82564.367429519058</v>
      </c>
      <c r="D197" s="428">
        <v>326721</v>
      </c>
      <c r="E197" s="430">
        <v>80412</v>
      </c>
      <c r="F197" s="428">
        <v>67918</v>
      </c>
      <c r="G197" s="299">
        <f t="shared" si="16"/>
        <v>475051</v>
      </c>
      <c r="H197" s="277">
        <f t="shared" si="17"/>
        <v>660514.93943615246</v>
      </c>
      <c r="I197" s="10">
        <f t="shared" si="18"/>
        <v>0</v>
      </c>
      <c r="J197" s="296">
        <f t="shared" si="19"/>
        <v>0</v>
      </c>
      <c r="K197" s="432">
        <v>136356</v>
      </c>
      <c r="L197" s="10">
        <f t="shared" si="20"/>
        <v>82564.367429519058</v>
      </c>
      <c r="M197" s="14">
        <f t="shared" si="21"/>
        <v>53791.632570480942</v>
      </c>
      <c r="N197" s="2">
        <f t="shared" si="22"/>
        <v>-40005.618853129818</v>
      </c>
      <c r="O197" s="135">
        <f t="shared" si="23"/>
        <v>-40005.618853129818</v>
      </c>
      <c r="P197" s="33">
        <f>O197/'D) Ecrêtage'!C197</f>
        <v>-0.48453854972340882</v>
      </c>
      <c r="Q197" s="131"/>
    </row>
    <row r="198" spans="1:17" x14ac:dyDescent="0.25">
      <c r="A198" s="49">
        <f>+'A) Base RI'!A200</f>
        <v>5721</v>
      </c>
      <c r="B198" s="427" t="str">
        <f>+'A) Base RI'!B200</f>
        <v>Gland</v>
      </c>
      <c r="C198" s="299">
        <f>+'D) Ecrêtage'!C198</f>
        <v>655037.95408000017</v>
      </c>
      <c r="D198" s="428">
        <v>2841679</v>
      </c>
      <c r="E198" s="430">
        <v>853041</v>
      </c>
      <c r="F198" s="428">
        <v>42445</v>
      </c>
      <c r="G198" s="299">
        <f t="shared" ref="G198:G261" si="24">SUM(D198:F198)</f>
        <v>3737165</v>
      </c>
      <c r="H198" s="277">
        <f t="shared" ref="H198:H261" si="25">+C198*$I$4</f>
        <v>5240303.6326400014</v>
      </c>
      <c r="I198" s="10">
        <f t="shared" ref="I198:I261" si="26">IF(G198&gt;H198,G198-H198,0)</f>
        <v>0</v>
      </c>
      <c r="J198" s="296">
        <f t="shared" ref="J198:J261" si="27">-I198*J$4</f>
        <v>0</v>
      </c>
      <c r="K198" s="432">
        <v>41088</v>
      </c>
      <c r="L198" s="10">
        <f t="shared" ref="L198:L261" si="28">C198*M$4</f>
        <v>655037.95408000017</v>
      </c>
      <c r="M198" s="14">
        <f t="shared" ref="M198:M261" si="29">IF(K198&gt;L198,K198-L198,0)</f>
        <v>0</v>
      </c>
      <c r="N198" s="2">
        <f t="shared" ref="N198:N261" si="30">-M198*N$4</f>
        <v>0</v>
      </c>
      <c r="O198" s="135">
        <f t="shared" ref="O198:O261" si="31">N198+J198</f>
        <v>0</v>
      </c>
      <c r="P198" s="33">
        <f>O198/'D) Ecrêtage'!C198</f>
        <v>0</v>
      </c>
      <c r="Q198" s="131"/>
    </row>
    <row r="199" spans="1:17" x14ac:dyDescent="0.25">
      <c r="A199" s="49">
        <f>+'A) Base RI'!A201</f>
        <v>5722</v>
      </c>
      <c r="B199" s="427" t="str">
        <f>+'A) Base RI'!B201</f>
        <v>Grens</v>
      </c>
      <c r="C199" s="299">
        <f>+'D) Ecrêtage'!C199</f>
        <v>20306.92935483871</v>
      </c>
      <c r="D199" s="428">
        <v>364272</v>
      </c>
      <c r="E199" s="430">
        <v>15455</v>
      </c>
      <c r="F199" s="428">
        <v>61580</v>
      </c>
      <c r="G199" s="299">
        <f t="shared" si="24"/>
        <v>441307</v>
      </c>
      <c r="H199" s="277">
        <f t="shared" si="25"/>
        <v>162455.43483870968</v>
      </c>
      <c r="I199" s="10">
        <f t="shared" si="26"/>
        <v>278851.56516129035</v>
      </c>
      <c r="J199" s="296">
        <f t="shared" si="27"/>
        <v>-207385.96133561325</v>
      </c>
      <c r="K199" s="432">
        <v>567</v>
      </c>
      <c r="L199" s="10">
        <f t="shared" si="28"/>
        <v>20306.92935483871</v>
      </c>
      <c r="M199" s="14">
        <f t="shared" si="29"/>
        <v>0</v>
      </c>
      <c r="N199" s="2">
        <f t="shared" si="30"/>
        <v>0</v>
      </c>
      <c r="O199" s="135">
        <f t="shared" si="31"/>
        <v>-207385.96133561325</v>
      </c>
      <c r="P199" s="33">
        <f>O199/'D) Ecrêtage'!C199</f>
        <v>-10.21257117271635</v>
      </c>
      <c r="Q199" s="131"/>
    </row>
    <row r="200" spans="1:17" x14ac:dyDescent="0.25">
      <c r="A200" s="49">
        <f>+'A) Base RI'!A202</f>
        <v>5723</v>
      </c>
      <c r="B200" s="427" t="str">
        <f>+'A) Base RI'!B202</f>
        <v>Mies</v>
      </c>
      <c r="C200" s="299">
        <f>+'D) Ecrêtage'!C200</f>
        <v>571754.57660377375</v>
      </c>
      <c r="D200" s="428">
        <v>175986</v>
      </c>
      <c r="E200" s="430">
        <v>142509</v>
      </c>
      <c r="F200" s="428">
        <v>101832</v>
      </c>
      <c r="G200" s="299">
        <f t="shared" si="24"/>
        <v>420327</v>
      </c>
      <c r="H200" s="277">
        <f t="shared" si="25"/>
        <v>4574036.61283019</v>
      </c>
      <c r="I200" s="10">
        <f t="shared" si="26"/>
        <v>0</v>
      </c>
      <c r="J200" s="296">
        <f t="shared" si="27"/>
        <v>0</v>
      </c>
      <c r="K200" s="432">
        <v>0</v>
      </c>
      <c r="L200" s="10">
        <f t="shared" si="28"/>
        <v>571754.57660377375</v>
      </c>
      <c r="M200" s="14">
        <f t="shared" si="29"/>
        <v>0</v>
      </c>
      <c r="N200" s="2">
        <f t="shared" si="30"/>
        <v>0</v>
      </c>
      <c r="O200" s="135">
        <f t="shared" si="31"/>
        <v>0</v>
      </c>
      <c r="P200" s="33">
        <f>O200/'D) Ecrêtage'!C200</f>
        <v>0</v>
      </c>
      <c r="Q200" s="131"/>
    </row>
    <row r="201" spans="1:17" x14ac:dyDescent="0.25">
      <c r="A201" s="49">
        <f>+'A) Base RI'!A203</f>
        <v>5724</v>
      </c>
      <c r="B201" s="427" t="str">
        <f>+'A) Base RI'!B203</f>
        <v>Nyon</v>
      </c>
      <c r="C201" s="299">
        <f>+'D) Ecrêtage'!C201</f>
        <v>1403046.442824716</v>
      </c>
      <c r="D201" s="428">
        <v>7423955</v>
      </c>
      <c r="E201" s="430">
        <v>4421567</v>
      </c>
      <c r="F201" s="428">
        <v>178576</v>
      </c>
      <c r="G201" s="299">
        <f t="shared" si="24"/>
        <v>12024098</v>
      </c>
      <c r="H201" s="277">
        <f t="shared" si="25"/>
        <v>11224371.542597728</v>
      </c>
      <c r="I201" s="10">
        <f t="shared" si="26"/>
        <v>799726.45740227215</v>
      </c>
      <c r="J201" s="296">
        <f t="shared" si="27"/>
        <v>-594768.18815043836</v>
      </c>
      <c r="K201" s="432">
        <v>387518</v>
      </c>
      <c r="L201" s="10">
        <f t="shared" si="28"/>
        <v>1403046.442824716</v>
      </c>
      <c r="M201" s="14">
        <f t="shared" si="29"/>
        <v>0</v>
      </c>
      <c r="N201" s="2">
        <f t="shared" si="30"/>
        <v>0</v>
      </c>
      <c r="O201" s="135">
        <f t="shared" si="31"/>
        <v>-594768.18815043836</v>
      </c>
      <c r="P201" s="33">
        <f>O201/'D) Ecrêtage'!C201</f>
        <v>-0.42391197468346625</v>
      </c>
      <c r="Q201" s="131"/>
    </row>
    <row r="202" spans="1:17" x14ac:dyDescent="0.25">
      <c r="A202" s="49">
        <f>+'A) Base RI'!A204</f>
        <v>5725</v>
      </c>
      <c r="B202" s="427" t="str">
        <f>+'A) Base RI'!B204</f>
        <v>Prangins</v>
      </c>
      <c r="C202" s="299">
        <f>+'D) Ecrêtage'!C202</f>
        <v>339116.20058673463</v>
      </c>
      <c r="D202" s="428">
        <v>609459</v>
      </c>
      <c r="E202" s="430">
        <v>895758</v>
      </c>
      <c r="F202" s="428">
        <v>86834</v>
      </c>
      <c r="G202" s="299">
        <f t="shared" si="24"/>
        <v>1592051</v>
      </c>
      <c r="H202" s="277">
        <f t="shared" si="25"/>
        <v>2712929.604693877</v>
      </c>
      <c r="I202" s="10">
        <f t="shared" si="26"/>
        <v>0</v>
      </c>
      <c r="J202" s="296">
        <f t="shared" si="27"/>
        <v>0</v>
      </c>
      <c r="K202" s="432">
        <v>13646</v>
      </c>
      <c r="L202" s="10">
        <f t="shared" si="28"/>
        <v>339116.20058673463</v>
      </c>
      <c r="M202" s="14">
        <f t="shared" si="29"/>
        <v>0</v>
      </c>
      <c r="N202" s="2">
        <f t="shared" si="30"/>
        <v>0</v>
      </c>
      <c r="O202" s="135">
        <f t="shared" si="31"/>
        <v>0</v>
      </c>
      <c r="P202" s="33">
        <f>O202/'D) Ecrêtage'!C202</f>
        <v>0</v>
      </c>
      <c r="Q202" s="131"/>
    </row>
    <row r="203" spans="1:17" x14ac:dyDescent="0.25">
      <c r="A203" s="49">
        <f>+'A) Base RI'!A205</f>
        <v>5726</v>
      </c>
      <c r="B203" s="427" t="str">
        <f>+'A) Base RI'!B205</f>
        <v>La Rippe</v>
      </c>
      <c r="C203" s="299">
        <f>+'D) Ecrêtage'!C203</f>
        <v>61326.535692307698</v>
      </c>
      <c r="D203" s="428">
        <v>241168</v>
      </c>
      <c r="E203" s="430">
        <v>71621</v>
      </c>
      <c r="F203" s="428">
        <v>178743</v>
      </c>
      <c r="G203" s="299">
        <f t="shared" si="24"/>
        <v>491532</v>
      </c>
      <c r="H203" s="277">
        <f t="shared" si="25"/>
        <v>490612.28553846158</v>
      </c>
      <c r="I203" s="10">
        <f t="shared" si="26"/>
        <v>919.7144615384168</v>
      </c>
      <c r="J203" s="296">
        <f t="shared" si="27"/>
        <v>-684.0050105154944</v>
      </c>
      <c r="K203" s="432">
        <v>32648</v>
      </c>
      <c r="L203" s="10">
        <f t="shared" si="28"/>
        <v>61326.535692307698</v>
      </c>
      <c r="M203" s="14">
        <f t="shared" si="29"/>
        <v>0</v>
      </c>
      <c r="N203" s="2">
        <f t="shared" si="30"/>
        <v>0</v>
      </c>
      <c r="O203" s="135">
        <f t="shared" si="31"/>
        <v>-684.0050105154944</v>
      </c>
      <c r="P203" s="33">
        <f>O203/'D) Ecrêtage'!C203</f>
        <v>-1.1153491760032525E-2</v>
      </c>
      <c r="Q203" s="131"/>
    </row>
    <row r="204" spans="1:17" x14ac:dyDescent="0.25">
      <c r="A204" s="49">
        <f>+'A) Base RI'!A206</f>
        <v>5727</v>
      </c>
      <c r="B204" s="427" t="str">
        <f>+'A) Base RI'!B206</f>
        <v>Saint-Cergue</v>
      </c>
      <c r="C204" s="299">
        <f>+'D) Ecrêtage'!C204</f>
        <v>96125.190858585862</v>
      </c>
      <c r="D204" s="428">
        <v>874488</v>
      </c>
      <c r="E204" s="430">
        <v>225740</v>
      </c>
      <c r="F204" s="428">
        <v>114645</v>
      </c>
      <c r="G204" s="299">
        <f t="shared" si="24"/>
        <v>1214873</v>
      </c>
      <c r="H204" s="277">
        <f t="shared" si="25"/>
        <v>769001.52686868689</v>
      </c>
      <c r="I204" s="10">
        <f t="shared" si="26"/>
        <v>445871.47313131311</v>
      </c>
      <c r="J204" s="296">
        <f t="shared" si="27"/>
        <v>-331601.09405869525</v>
      </c>
      <c r="K204" s="432">
        <v>124912</v>
      </c>
      <c r="L204" s="10">
        <f t="shared" si="28"/>
        <v>96125.190858585862</v>
      </c>
      <c r="M204" s="14">
        <f t="shared" si="29"/>
        <v>28786.809141414138</v>
      </c>
      <c r="N204" s="2">
        <f t="shared" si="30"/>
        <v>-21409.168293977113</v>
      </c>
      <c r="O204" s="135">
        <f t="shared" si="31"/>
        <v>-353010.26235267235</v>
      </c>
      <c r="P204" s="33">
        <f>O204/'D) Ecrêtage'!C204</f>
        <v>-3.6724011593589632</v>
      </c>
      <c r="Q204" s="131"/>
    </row>
    <row r="205" spans="1:17" x14ac:dyDescent="0.25">
      <c r="A205" s="49">
        <f>+'A) Base RI'!A207</f>
        <v>5728</v>
      </c>
      <c r="B205" s="427" t="str">
        <f>+'A) Base RI'!B207</f>
        <v>Signy-Avenex</v>
      </c>
      <c r="C205" s="299">
        <f>+'D) Ecrêtage'!C205</f>
        <v>43125.38</v>
      </c>
      <c r="D205" s="428">
        <v>113031</v>
      </c>
      <c r="E205" s="430">
        <v>24102</v>
      </c>
      <c r="F205" s="428">
        <v>91546</v>
      </c>
      <c r="G205" s="299">
        <f t="shared" si="24"/>
        <v>228679</v>
      </c>
      <c r="H205" s="277">
        <f t="shared" si="25"/>
        <v>345003.04</v>
      </c>
      <c r="I205" s="10">
        <f t="shared" si="26"/>
        <v>0</v>
      </c>
      <c r="J205" s="296">
        <f t="shared" si="27"/>
        <v>0</v>
      </c>
      <c r="K205" s="432">
        <v>0</v>
      </c>
      <c r="L205" s="10">
        <f t="shared" si="28"/>
        <v>43125.38</v>
      </c>
      <c r="M205" s="14">
        <f t="shared" si="29"/>
        <v>0</v>
      </c>
      <c r="N205" s="2">
        <f t="shared" si="30"/>
        <v>0</v>
      </c>
      <c r="O205" s="135">
        <f t="shared" si="31"/>
        <v>0</v>
      </c>
      <c r="P205" s="33">
        <f>O205/'D) Ecrêtage'!C205</f>
        <v>0</v>
      </c>
      <c r="Q205" s="131"/>
    </row>
    <row r="206" spans="1:17" x14ac:dyDescent="0.25">
      <c r="A206" s="49">
        <f>+'A) Base RI'!A208</f>
        <v>5729</v>
      </c>
      <c r="B206" s="427" t="str">
        <f>+'A) Base RI'!B208</f>
        <v>Tannay</v>
      </c>
      <c r="C206" s="299">
        <f>+'D) Ecrêtage'!C206</f>
        <v>176892.2019125683</v>
      </c>
      <c r="D206" s="428">
        <v>629198</v>
      </c>
      <c r="E206" s="430">
        <v>109041</v>
      </c>
      <c r="F206" s="428">
        <v>77397</v>
      </c>
      <c r="G206" s="299">
        <f t="shared" si="24"/>
        <v>815636</v>
      </c>
      <c r="H206" s="277">
        <f t="shared" si="25"/>
        <v>1415137.6153005464</v>
      </c>
      <c r="I206" s="10">
        <f t="shared" si="26"/>
        <v>0</v>
      </c>
      <c r="J206" s="296">
        <f t="shared" si="27"/>
        <v>0</v>
      </c>
      <c r="K206" s="432">
        <v>0</v>
      </c>
      <c r="L206" s="10">
        <f t="shared" si="28"/>
        <v>176892.2019125683</v>
      </c>
      <c r="M206" s="14">
        <f t="shared" si="29"/>
        <v>0</v>
      </c>
      <c r="N206" s="2">
        <f t="shared" si="30"/>
        <v>0</v>
      </c>
      <c r="O206" s="135">
        <f t="shared" si="31"/>
        <v>0</v>
      </c>
      <c r="P206" s="33">
        <f>O206/'D) Ecrêtage'!C206</f>
        <v>0</v>
      </c>
      <c r="Q206" s="131"/>
    </row>
    <row r="207" spans="1:17" x14ac:dyDescent="0.25">
      <c r="A207" s="49">
        <f>+'A) Base RI'!A209</f>
        <v>5730</v>
      </c>
      <c r="B207" s="427" t="str">
        <f>+'A) Base RI'!B209</f>
        <v>Trélex</v>
      </c>
      <c r="C207" s="299">
        <f>+'D) Ecrêtage'!C207</f>
        <v>134482.25955165693</v>
      </c>
      <c r="D207" s="428">
        <v>254288</v>
      </c>
      <c r="E207" s="430">
        <v>92753</v>
      </c>
      <c r="F207" s="428">
        <v>90882</v>
      </c>
      <c r="G207" s="299">
        <f t="shared" si="24"/>
        <v>437923</v>
      </c>
      <c r="H207" s="277">
        <f t="shared" si="25"/>
        <v>1075858.0764132554</v>
      </c>
      <c r="I207" s="10">
        <f t="shared" si="26"/>
        <v>0</v>
      </c>
      <c r="J207" s="296">
        <f t="shared" si="27"/>
        <v>0</v>
      </c>
      <c r="K207" s="432">
        <v>-13775</v>
      </c>
      <c r="L207" s="10">
        <f t="shared" si="28"/>
        <v>134482.25955165693</v>
      </c>
      <c r="M207" s="14">
        <f t="shared" si="29"/>
        <v>0</v>
      </c>
      <c r="N207" s="2">
        <f t="shared" si="30"/>
        <v>0</v>
      </c>
      <c r="O207" s="135">
        <f t="shared" si="31"/>
        <v>0</v>
      </c>
      <c r="P207" s="33">
        <f>O207/'D) Ecrêtage'!C207</f>
        <v>0</v>
      </c>
      <c r="Q207" s="131"/>
    </row>
    <row r="208" spans="1:17" x14ac:dyDescent="0.25">
      <c r="A208" s="49">
        <f>+'A) Base RI'!A210</f>
        <v>5731</v>
      </c>
      <c r="B208" s="427" t="str">
        <f>+'A) Base RI'!B210</f>
        <v>Le Vaud</v>
      </c>
      <c r="C208" s="299">
        <f>+'D) Ecrêtage'!C208</f>
        <v>61944.089333333322</v>
      </c>
      <c r="D208" s="428">
        <v>437107</v>
      </c>
      <c r="E208" s="430">
        <v>52134</v>
      </c>
      <c r="F208" s="428">
        <v>149812</v>
      </c>
      <c r="G208" s="299">
        <f t="shared" si="24"/>
        <v>639053</v>
      </c>
      <c r="H208" s="277">
        <f t="shared" si="25"/>
        <v>495552.71466666658</v>
      </c>
      <c r="I208" s="10">
        <f t="shared" si="26"/>
        <v>143500.28533333342</v>
      </c>
      <c r="J208" s="296">
        <f t="shared" si="27"/>
        <v>-106723.24757644707</v>
      </c>
      <c r="K208" s="432">
        <v>-21016</v>
      </c>
      <c r="L208" s="10">
        <f t="shared" si="28"/>
        <v>61944.089333333322</v>
      </c>
      <c r="M208" s="14">
        <f t="shared" si="29"/>
        <v>0</v>
      </c>
      <c r="N208" s="2">
        <f t="shared" si="30"/>
        <v>0</v>
      </c>
      <c r="O208" s="135">
        <f t="shared" si="31"/>
        <v>-106723.24757644707</v>
      </c>
      <c r="P208" s="33">
        <f>O208/'D) Ecrêtage'!C208</f>
        <v>-1.7228963848697216</v>
      </c>
      <c r="Q208" s="131"/>
    </row>
    <row r="209" spans="1:17" x14ac:dyDescent="0.25">
      <c r="A209" s="49">
        <f>+'A) Base RI'!A211</f>
        <v>5732</v>
      </c>
      <c r="B209" s="427" t="str">
        <f>+'A) Base RI'!B211</f>
        <v>Vich</v>
      </c>
      <c r="C209" s="299">
        <f>+'D) Ecrêtage'!C209</f>
        <v>63992.408333333333</v>
      </c>
      <c r="D209" s="428">
        <v>232917</v>
      </c>
      <c r="E209" s="430">
        <v>64289</v>
      </c>
      <c r="F209" s="428">
        <v>111298</v>
      </c>
      <c r="G209" s="299">
        <f t="shared" si="24"/>
        <v>408504</v>
      </c>
      <c r="H209" s="277">
        <f t="shared" si="25"/>
        <v>511939.26666666666</v>
      </c>
      <c r="I209" s="10">
        <f t="shared" si="26"/>
        <v>0</v>
      </c>
      <c r="J209" s="296">
        <f t="shared" si="27"/>
        <v>0</v>
      </c>
      <c r="K209" s="432">
        <v>15640</v>
      </c>
      <c r="L209" s="10">
        <f t="shared" si="28"/>
        <v>63992.408333333333</v>
      </c>
      <c r="M209" s="14">
        <f t="shared" si="29"/>
        <v>0</v>
      </c>
      <c r="N209" s="2">
        <f t="shared" si="30"/>
        <v>0</v>
      </c>
      <c r="O209" s="135">
        <f t="shared" si="31"/>
        <v>0</v>
      </c>
      <c r="P209" s="33">
        <f>O209/'D) Ecrêtage'!C209</f>
        <v>0</v>
      </c>
      <c r="Q209" s="131"/>
    </row>
    <row r="210" spans="1:17" x14ac:dyDescent="0.25">
      <c r="A210" s="49">
        <f>+'A) Base RI'!A212</f>
        <v>5741</v>
      </c>
      <c r="B210" s="427" t="str">
        <f>+'A) Base RI'!B212</f>
        <v>L'Abergement</v>
      </c>
      <c r="C210" s="299">
        <f>+'D) Ecrêtage'!C210</f>
        <v>7144.356296296296</v>
      </c>
      <c r="D210" s="428">
        <v>165756</v>
      </c>
      <c r="E210" s="430">
        <v>10467</v>
      </c>
      <c r="F210" s="428">
        <v>18154</v>
      </c>
      <c r="G210" s="299">
        <f t="shared" si="24"/>
        <v>194377</v>
      </c>
      <c r="H210" s="277">
        <f t="shared" si="25"/>
        <v>57154.850370370368</v>
      </c>
      <c r="I210" s="10">
        <f t="shared" si="26"/>
        <v>137222.14962962962</v>
      </c>
      <c r="J210" s="296">
        <f t="shared" si="27"/>
        <v>-102054.10681851387</v>
      </c>
      <c r="K210" s="432">
        <v>29969</v>
      </c>
      <c r="L210" s="10">
        <f t="shared" si="28"/>
        <v>7144.356296296296</v>
      </c>
      <c r="M210" s="14">
        <f t="shared" si="29"/>
        <v>22824.643703703703</v>
      </c>
      <c r="N210" s="2">
        <f t="shared" si="30"/>
        <v>-16975.019214604508</v>
      </c>
      <c r="O210" s="135">
        <f t="shared" si="31"/>
        <v>-119029.12603311837</v>
      </c>
      <c r="P210" s="33">
        <f>O210/'D) Ecrêtage'!C210</f>
        <v>-16.660580897235519</v>
      </c>
      <c r="Q210" s="131"/>
    </row>
    <row r="211" spans="1:17" x14ac:dyDescent="0.25">
      <c r="A211" s="49">
        <f>+'A) Base RI'!A213</f>
        <v>5742</v>
      </c>
      <c r="B211" s="427" t="str">
        <f>+'A) Base RI'!B213</f>
        <v>Agiez</v>
      </c>
      <c r="C211" s="299">
        <f>+'D) Ecrêtage'!C211</f>
        <v>9023.5640789473691</v>
      </c>
      <c r="D211" s="428">
        <v>21890</v>
      </c>
      <c r="E211" s="430">
        <v>13801</v>
      </c>
      <c r="F211" s="428">
        <v>35639</v>
      </c>
      <c r="G211" s="299">
        <f t="shared" si="24"/>
        <v>71330</v>
      </c>
      <c r="H211" s="277">
        <f t="shared" si="25"/>
        <v>72188.512631578953</v>
      </c>
      <c r="I211" s="10">
        <f t="shared" si="26"/>
        <v>0</v>
      </c>
      <c r="J211" s="296">
        <f t="shared" si="27"/>
        <v>0</v>
      </c>
      <c r="K211" s="432">
        <v>31570</v>
      </c>
      <c r="L211" s="10">
        <f t="shared" si="28"/>
        <v>9023.5640789473691</v>
      </c>
      <c r="M211" s="14">
        <f t="shared" si="29"/>
        <v>22546.435921052631</v>
      </c>
      <c r="N211" s="2">
        <f t="shared" si="30"/>
        <v>-16768.112043677316</v>
      </c>
      <c r="O211" s="135">
        <f t="shared" si="31"/>
        <v>-16768.112043677316</v>
      </c>
      <c r="P211" s="33">
        <f>O211/'D) Ecrêtage'!C211</f>
        <v>-1.8582582111649808</v>
      </c>
      <c r="Q211" s="131"/>
    </row>
    <row r="212" spans="1:17" x14ac:dyDescent="0.25">
      <c r="A212" s="49">
        <f>+'A) Base RI'!A214</f>
        <v>5743</v>
      </c>
      <c r="B212" s="427" t="str">
        <f>+'A) Base RI'!B214</f>
        <v>Arnex-sur-Orbe</v>
      </c>
      <c r="C212" s="299">
        <f>+'D) Ecrêtage'!C212</f>
        <v>19009.64441780822</v>
      </c>
      <c r="D212" s="428">
        <v>119383</v>
      </c>
      <c r="E212" s="430">
        <v>66578</v>
      </c>
      <c r="F212" s="428">
        <v>66191</v>
      </c>
      <c r="G212" s="299">
        <f t="shared" si="24"/>
        <v>252152</v>
      </c>
      <c r="H212" s="277">
        <f t="shared" si="25"/>
        <v>152077.15534246576</v>
      </c>
      <c r="I212" s="10">
        <f t="shared" si="26"/>
        <v>100074.84465753424</v>
      </c>
      <c r="J212" s="296">
        <f t="shared" si="27"/>
        <v>-74427.116278908186</v>
      </c>
      <c r="K212" s="432">
        <v>889</v>
      </c>
      <c r="L212" s="10">
        <f t="shared" si="28"/>
        <v>19009.64441780822</v>
      </c>
      <c r="M212" s="14">
        <f t="shared" si="29"/>
        <v>0</v>
      </c>
      <c r="N212" s="2">
        <f t="shared" si="30"/>
        <v>0</v>
      </c>
      <c r="O212" s="135">
        <f t="shared" si="31"/>
        <v>-74427.116278908186</v>
      </c>
      <c r="P212" s="33">
        <f>O212/'D) Ecrêtage'!C212</f>
        <v>-3.9152292722101061</v>
      </c>
      <c r="Q212" s="131"/>
    </row>
    <row r="213" spans="1:17" x14ac:dyDescent="0.25">
      <c r="A213" s="49">
        <f>+'A) Base RI'!A215</f>
        <v>5744</v>
      </c>
      <c r="B213" s="427" t="str">
        <f>+'A) Base RI'!B215</f>
        <v>Ballaigues</v>
      </c>
      <c r="C213" s="299">
        <f>+'D) Ecrêtage'!C213</f>
        <v>63457.136212121215</v>
      </c>
      <c r="D213" s="428">
        <v>674235</v>
      </c>
      <c r="E213" s="430">
        <v>45370</v>
      </c>
      <c r="F213" s="428">
        <v>120197</v>
      </c>
      <c r="G213" s="299">
        <f t="shared" si="24"/>
        <v>839802</v>
      </c>
      <c r="H213" s="277">
        <f t="shared" si="25"/>
        <v>507657.08969696972</v>
      </c>
      <c r="I213" s="10">
        <f t="shared" si="26"/>
        <v>332144.91030303028</v>
      </c>
      <c r="J213" s="296">
        <f t="shared" si="27"/>
        <v>-247020.99658677858</v>
      </c>
      <c r="K213" s="432">
        <v>92854</v>
      </c>
      <c r="L213" s="10">
        <f t="shared" si="28"/>
        <v>63457.136212121215</v>
      </c>
      <c r="M213" s="14">
        <f t="shared" si="29"/>
        <v>29396.863787878785</v>
      </c>
      <c r="N213" s="2">
        <f t="shared" si="30"/>
        <v>-21862.874799985606</v>
      </c>
      <c r="O213" s="135">
        <f t="shared" si="31"/>
        <v>-268883.87138676416</v>
      </c>
      <c r="P213" s="33">
        <f>O213/'D) Ecrêtage'!C213</f>
        <v>-4.2372519063569642</v>
      </c>
      <c r="Q213" s="131"/>
    </row>
    <row r="214" spans="1:17" x14ac:dyDescent="0.25">
      <c r="A214" s="49">
        <f>+'A) Base RI'!A216</f>
        <v>5745</v>
      </c>
      <c r="B214" s="427" t="str">
        <f>+'A) Base RI'!B216</f>
        <v>Baulmes</v>
      </c>
      <c r="C214" s="299">
        <f>+'D) Ecrêtage'!C214</f>
        <v>27759.177948717952</v>
      </c>
      <c r="D214" s="428">
        <v>223214</v>
      </c>
      <c r="E214" s="430">
        <v>108361</v>
      </c>
      <c r="F214" s="428">
        <v>78132</v>
      </c>
      <c r="G214" s="299">
        <f t="shared" si="24"/>
        <v>409707</v>
      </c>
      <c r="H214" s="277">
        <f t="shared" si="25"/>
        <v>222073.42358974362</v>
      </c>
      <c r="I214" s="10">
        <f t="shared" si="26"/>
        <v>187633.57641025638</v>
      </c>
      <c r="J214" s="296">
        <f t="shared" si="27"/>
        <v>-139545.8175039214</v>
      </c>
      <c r="K214" s="432">
        <v>225084</v>
      </c>
      <c r="L214" s="10">
        <f t="shared" si="28"/>
        <v>27759.177948717952</v>
      </c>
      <c r="M214" s="14">
        <f t="shared" si="29"/>
        <v>197324.82205128204</v>
      </c>
      <c r="N214" s="2">
        <f t="shared" si="30"/>
        <v>-146753.33772221807</v>
      </c>
      <c r="O214" s="135">
        <f t="shared" si="31"/>
        <v>-286299.15522613947</v>
      </c>
      <c r="P214" s="33">
        <f>O214/'D) Ecrêtage'!C214</f>
        <v>-10.313675561828447</v>
      </c>
      <c r="Q214" s="131"/>
    </row>
    <row r="215" spans="1:17" x14ac:dyDescent="0.25">
      <c r="A215" s="49">
        <f>+'A) Base RI'!A217</f>
        <v>5746</v>
      </c>
      <c r="B215" s="427" t="str">
        <f>+'A) Base RI'!B217</f>
        <v>Bavois</v>
      </c>
      <c r="C215" s="299">
        <f>+'D) Ecrêtage'!C215</f>
        <v>26302.981735159818</v>
      </c>
      <c r="D215" s="428">
        <v>242857</v>
      </c>
      <c r="E215" s="430">
        <v>99393</v>
      </c>
      <c r="F215" s="428">
        <v>116280</v>
      </c>
      <c r="G215" s="299">
        <f t="shared" si="24"/>
        <v>458530</v>
      </c>
      <c r="H215" s="277">
        <f t="shared" si="25"/>
        <v>210423.85388127854</v>
      </c>
      <c r="I215" s="10">
        <f t="shared" si="26"/>
        <v>248106.14611872146</v>
      </c>
      <c r="J215" s="296">
        <f t="shared" si="27"/>
        <v>-184520.14639524746</v>
      </c>
      <c r="K215" s="432">
        <v>43553</v>
      </c>
      <c r="L215" s="10">
        <f t="shared" si="28"/>
        <v>26302.981735159818</v>
      </c>
      <c r="M215" s="14">
        <f t="shared" si="29"/>
        <v>17250.018264840182</v>
      </c>
      <c r="N215" s="2">
        <f t="shared" si="30"/>
        <v>-12829.089264180964</v>
      </c>
      <c r="O215" s="135">
        <f t="shared" si="31"/>
        <v>-197349.23565942844</v>
      </c>
      <c r="P215" s="33">
        <f>O215/'D) Ecrêtage'!C215</f>
        <v>-7.5029225829415012</v>
      </c>
      <c r="Q215" s="131"/>
    </row>
    <row r="216" spans="1:17" x14ac:dyDescent="0.25">
      <c r="A216" s="49">
        <f>+'A) Base RI'!A218</f>
        <v>5747</v>
      </c>
      <c r="B216" s="427" t="str">
        <f>+'A) Base RI'!B218</f>
        <v>Bofflens</v>
      </c>
      <c r="C216" s="299">
        <f>+'D) Ecrêtage'!C216</f>
        <v>5938.7008695652166</v>
      </c>
      <c r="D216" s="428">
        <v>332343</v>
      </c>
      <c r="E216" s="430">
        <v>8419</v>
      </c>
      <c r="F216" s="428">
        <v>21040</v>
      </c>
      <c r="G216" s="299">
        <f t="shared" si="24"/>
        <v>361802</v>
      </c>
      <c r="H216" s="277">
        <f t="shared" si="25"/>
        <v>47509.606956521733</v>
      </c>
      <c r="I216" s="10">
        <f t="shared" si="26"/>
        <v>314292.39304347825</v>
      </c>
      <c r="J216" s="296">
        <f t="shared" si="27"/>
        <v>-233743.82006459788</v>
      </c>
      <c r="K216" s="432">
        <v>-31866</v>
      </c>
      <c r="L216" s="10">
        <f t="shared" si="28"/>
        <v>5938.7008695652166</v>
      </c>
      <c r="M216" s="14">
        <f t="shared" si="29"/>
        <v>0</v>
      </c>
      <c r="N216" s="2">
        <f t="shared" si="30"/>
        <v>0</v>
      </c>
      <c r="O216" s="135">
        <f t="shared" si="31"/>
        <v>-233743.82006459788</v>
      </c>
      <c r="P216" s="33">
        <f>O216/'D) Ecrêtage'!C216</f>
        <v>-39.359419711218877</v>
      </c>
      <c r="Q216" s="131"/>
    </row>
    <row r="217" spans="1:17" x14ac:dyDescent="0.25">
      <c r="A217" s="49">
        <f>+'A) Base RI'!A219</f>
        <v>5748</v>
      </c>
      <c r="B217" s="427" t="str">
        <f>+'A) Base RI'!B219</f>
        <v>Bretonnières</v>
      </c>
      <c r="C217" s="299">
        <f>+'D) Ecrêtage'!C217</f>
        <v>7318.7627314814808</v>
      </c>
      <c r="D217" s="428">
        <v>58028</v>
      </c>
      <c r="E217" s="430">
        <v>27961</v>
      </c>
      <c r="F217" s="428">
        <v>32975</v>
      </c>
      <c r="G217" s="299">
        <f t="shared" si="24"/>
        <v>118964</v>
      </c>
      <c r="H217" s="277">
        <f t="shared" si="25"/>
        <v>58550.101851851847</v>
      </c>
      <c r="I217" s="10">
        <f t="shared" si="26"/>
        <v>60413.898148148153</v>
      </c>
      <c r="J217" s="296">
        <f t="shared" si="27"/>
        <v>-44930.693999291856</v>
      </c>
      <c r="K217" s="432">
        <v>17400</v>
      </c>
      <c r="L217" s="10">
        <f t="shared" si="28"/>
        <v>7318.7627314814808</v>
      </c>
      <c r="M217" s="14">
        <f t="shared" si="29"/>
        <v>10081.237268518518</v>
      </c>
      <c r="N217" s="2">
        <f t="shared" si="30"/>
        <v>-7497.5626590972879</v>
      </c>
      <c r="O217" s="135">
        <f t="shared" si="31"/>
        <v>-52428.256658389146</v>
      </c>
      <c r="P217" s="33">
        <f>O217/'D) Ecrêtage'!C217</f>
        <v>-7.1635409675012784</v>
      </c>
      <c r="Q217" s="131"/>
    </row>
    <row r="218" spans="1:17" x14ac:dyDescent="0.25">
      <c r="A218" s="49">
        <f>+'A) Base RI'!A220</f>
        <v>5749</v>
      </c>
      <c r="B218" s="427" t="str">
        <f>+'A) Base RI'!B220</f>
        <v>Chavornay</v>
      </c>
      <c r="C218" s="299">
        <f>+'D) Ecrêtage'!C218</f>
        <v>133236.15722222222</v>
      </c>
      <c r="D218" s="428">
        <v>636519</v>
      </c>
      <c r="E218" s="430">
        <v>527140</v>
      </c>
      <c r="F218" s="428">
        <v>644239</v>
      </c>
      <c r="G218" s="299">
        <f t="shared" si="24"/>
        <v>1807898</v>
      </c>
      <c r="H218" s="277">
        <f t="shared" si="25"/>
        <v>1065889.2577777777</v>
      </c>
      <c r="I218" s="10">
        <f t="shared" si="26"/>
        <v>742008.74222222227</v>
      </c>
      <c r="J218" s="296">
        <f t="shared" si="27"/>
        <v>-551842.68460597633</v>
      </c>
      <c r="K218" s="432">
        <v>217910</v>
      </c>
      <c r="L218" s="10">
        <f t="shared" si="28"/>
        <v>133236.15722222222</v>
      </c>
      <c r="M218" s="14">
        <f t="shared" si="29"/>
        <v>84673.842777777783</v>
      </c>
      <c r="N218" s="2">
        <f t="shared" si="30"/>
        <v>-62973.167370579591</v>
      </c>
      <c r="O218" s="135">
        <f t="shared" si="31"/>
        <v>-614815.85197655589</v>
      </c>
      <c r="P218" s="33">
        <f>O218/'D) Ecrêtage'!C218</f>
        <v>-4.6144820204557195</v>
      </c>
      <c r="Q218" s="131"/>
    </row>
    <row r="219" spans="1:17" x14ac:dyDescent="0.25">
      <c r="A219" s="49">
        <f>+'A) Base RI'!A221</f>
        <v>5750</v>
      </c>
      <c r="B219" s="427" t="str">
        <f>+'A) Base RI'!B221</f>
        <v>Les Clées</v>
      </c>
      <c r="C219" s="299">
        <f>+'D) Ecrêtage'!C219</f>
        <v>5052.8727083333342</v>
      </c>
      <c r="D219" s="428">
        <v>71488</v>
      </c>
      <c r="E219" s="430">
        <v>0</v>
      </c>
      <c r="F219" s="428">
        <v>18154</v>
      </c>
      <c r="G219" s="299">
        <f t="shared" si="24"/>
        <v>89642</v>
      </c>
      <c r="H219" s="277">
        <f t="shared" si="25"/>
        <v>40422.981666666674</v>
      </c>
      <c r="I219" s="10">
        <f t="shared" si="26"/>
        <v>49219.018333333326</v>
      </c>
      <c r="J219" s="296">
        <f t="shared" si="27"/>
        <v>-36604.899194843994</v>
      </c>
      <c r="K219" s="432">
        <v>33649</v>
      </c>
      <c r="L219" s="10">
        <f t="shared" si="28"/>
        <v>5052.8727083333342</v>
      </c>
      <c r="M219" s="14">
        <f t="shared" si="29"/>
        <v>28596.127291666664</v>
      </c>
      <c r="N219" s="2">
        <f t="shared" si="30"/>
        <v>-21267.355431294203</v>
      </c>
      <c r="O219" s="135">
        <f t="shared" si="31"/>
        <v>-57872.254626138194</v>
      </c>
      <c r="P219" s="33">
        <f>O219/'D) Ecrêtage'!C219</f>
        <v>-11.453337134476731</v>
      </c>
      <c r="Q219" s="131"/>
    </row>
    <row r="220" spans="1:17" x14ac:dyDescent="0.25">
      <c r="A220" s="49">
        <f>+'A) Base RI'!A222</f>
        <v>5752</v>
      </c>
      <c r="B220" s="427" t="str">
        <f>+'A) Base RI'!B222</f>
        <v>Croy</v>
      </c>
      <c r="C220" s="299">
        <f>+'D) Ecrêtage'!C220</f>
        <v>9724.9561776061801</v>
      </c>
      <c r="D220" s="428">
        <v>113505</v>
      </c>
      <c r="E220" s="430">
        <v>42627</v>
      </c>
      <c r="F220" s="428">
        <v>36655</v>
      </c>
      <c r="G220" s="299">
        <f t="shared" si="24"/>
        <v>192787</v>
      </c>
      <c r="H220" s="277">
        <f t="shared" si="25"/>
        <v>77799.649420849441</v>
      </c>
      <c r="I220" s="10">
        <f t="shared" si="26"/>
        <v>114987.35057915056</v>
      </c>
      <c r="J220" s="296">
        <f t="shared" si="27"/>
        <v>-85517.763644249702</v>
      </c>
      <c r="K220" s="432">
        <v>-9821</v>
      </c>
      <c r="L220" s="10">
        <f t="shared" si="28"/>
        <v>9724.9561776061801</v>
      </c>
      <c r="M220" s="14">
        <f t="shared" si="29"/>
        <v>0</v>
      </c>
      <c r="N220" s="2">
        <f t="shared" si="30"/>
        <v>0</v>
      </c>
      <c r="O220" s="135">
        <f t="shared" si="31"/>
        <v>-85517.763644249702</v>
      </c>
      <c r="P220" s="33">
        <f>O220/'D) Ecrêtage'!C220</f>
        <v>-8.7936400002678567</v>
      </c>
      <c r="Q220" s="131"/>
    </row>
    <row r="221" spans="1:17" x14ac:dyDescent="0.25">
      <c r="A221" s="49">
        <f>+'A) Base RI'!A223</f>
        <v>5754</v>
      </c>
      <c r="B221" s="427" t="str">
        <f>+'A) Base RI'!B223</f>
        <v>Juriens</v>
      </c>
      <c r="C221" s="299">
        <f>+'D) Ecrêtage'!C221</f>
        <v>9237.2617721518982</v>
      </c>
      <c r="D221" s="428">
        <v>60021</v>
      </c>
      <c r="E221" s="430">
        <v>12999</v>
      </c>
      <c r="F221" s="428">
        <v>30507</v>
      </c>
      <c r="G221" s="299">
        <f t="shared" si="24"/>
        <v>103527</v>
      </c>
      <c r="H221" s="277">
        <f t="shared" si="25"/>
        <v>73898.094177215185</v>
      </c>
      <c r="I221" s="10">
        <f t="shared" si="26"/>
        <v>29628.905822784815</v>
      </c>
      <c r="J221" s="296">
        <f t="shared" si="27"/>
        <v>-22035.447833425187</v>
      </c>
      <c r="K221" s="432">
        <v>25315</v>
      </c>
      <c r="L221" s="10">
        <f t="shared" si="28"/>
        <v>9237.2617721518982</v>
      </c>
      <c r="M221" s="14">
        <f t="shared" si="29"/>
        <v>16077.738227848102</v>
      </c>
      <c r="N221" s="2">
        <f t="shared" si="30"/>
        <v>-11957.24756486853</v>
      </c>
      <c r="O221" s="135">
        <f t="shared" si="31"/>
        <v>-33992.695398293719</v>
      </c>
      <c r="P221" s="33">
        <f>O221/'D) Ecrêtage'!C221</f>
        <v>-3.6799536742342243</v>
      </c>
      <c r="Q221" s="131"/>
    </row>
    <row r="222" spans="1:17" x14ac:dyDescent="0.25">
      <c r="A222" s="49">
        <f>+'A) Base RI'!A224</f>
        <v>5755</v>
      </c>
      <c r="B222" s="427" t="str">
        <f>+'A) Base RI'!B224</f>
        <v>Lignerolle</v>
      </c>
      <c r="C222" s="299">
        <f>+'D) Ecrêtage'!C222</f>
        <v>9846.5387499999997</v>
      </c>
      <c r="D222" s="428">
        <v>139406</v>
      </c>
      <c r="E222" s="430">
        <v>17810</v>
      </c>
      <c r="F222" s="428">
        <v>43677</v>
      </c>
      <c r="G222" s="299">
        <f t="shared" si="24"/>
        <v>200893</v>
      </c>
      <c r="H222" s="277">
        <f t="shared" si="25"/>
        <v>78772.31</v>
      </c>
      <c r="I222" s="10">
        <f t="shared" si="26"/>
        <v>122120.69</v>
      </c>
      <c r="J222" s="296">
        <f t="shared" si="27"/>
        <v>-90822.931834610819</v>
      </c>
      <c r="K222" s="432">
        <v>69514</v>
      </c>
      <c r="L222" s="10">
        <f t="shared" si="28"/>
        <v>9846.5387499999997</v>
      </c>
      <c r="M222" s="14">
        <f t="shared" si="29"/>
        <v>59667.46125</v>
      </c>
      <c r="N222" s="2">
        <f t="shared" si="30"/>
        <v>-44375.55803077294</v>
      </c>
      <c r="O222" s="135">
        <f t="shared" si="31"/>
        <v>-135198.48986538377</v>
      </c>
      <c r="P222" s="33">
        <f>O222/'D) Ecrêtage'!C222</f>
        <v>-13.730559874695439</v>
      </c>
      <c r="Q222" s="131"/>
    </row>
    <row r="223" spans="1:17" x14ac:dyDescent="0.25">
      <c r="A223" s="49">
        <f>+'A) Base RI'!A225</f>
        <v>5756</v>
      </c>
      <c r="B223" s="427" t="str">
        <f>+'A) Base RI'!B225</f>
        <v>Montcherand</v>
      </c>
      <c r="C223" s="299">
        <f>+'D) Ecrêtage'!C223</f>
        <v>16429.064166666663</v>
      </c>
      <c r="D223" s="428">
        <v>139227</v>
      </c>
      <c r="E223" s="430">
        <v>20638</v>
      </c>
      <c r="F223" s="428">
        <v>55328</v>
      </c>
      <c r="G223" s="299">
        <f t="shared" si="24"/>
        <v>215193</v>
      </c>
      <c r="H223" s="277">
        <f t="shared" si="25"/>
        <v>131432.51333333331</v>
      </c>
      <c r="I223" s="10">
        <f t="shared" si="26"/>
        <v>83760.486666666693</v>
      </c>
      <c r="J223" s="296">
        <f t="shared" si="27"/>
        <v>-62293.891157677688</v>
      </c>
      <c r="K223" s="432">
        <v>10209</v>
      </c>
      <c r="L223" s="10">
        <f t="shared" si="28"/>
        <v>16429.064166666663</v>
      </c>
      <c r="M223" s="14">
        <f t="shared" si="29"/>
        <v>0</v>
      </c>
      <c r="N223" s="2">
        <f t="shared" si="30"/>
        <v>0</v>
      </c>
      <c r="O223" s="135">
        <f t="shared" si="31"/>
        <v>-62293.891157677688</v>
      </c>
      <c r="P223" s="33">
        <f>O223/'D) Ecrêtage'!C223</f>
        <v>-3.7916883472929221</v>
      </c>
      <c r="Q223" s="131"/>
    </row>
    <row r="224" spans="1:17" x14ac:dyDescent="0.25">
      <c r="A224" s="49">
        <f>+'A) Base RI'!A226</f>
        <v>5757</v>
      </c>
      <c r="B224" s="427" t="str">
        <f>+'A) Base RI'!B226</f>
        <v>Orbe</v>
      </c>
      <c r="C224" s="299">
        <f>+'D) Ecrêtage'!C224</f>
        <v>203622.90168831171</v>
      </c>
      <c r="D224" s="428">
        <v>2118447</v>
      </c>
      <c r="E224" s="430">
        <v>892389</v>
      </c>
      <c r="F224" s="428">
        <v>713920</v>
      </c>
      <c r="G224" s="299">
        <f t="shared" si="24"/>
        <v>3724756</v>
      </c>
      <c r="H224" s="277">
        <f t="shared" si="25"/>
        <v>1628983.2135064937</v>
      </c>
      <c r="I224" s="10">
        <f t="shared" si="26"/>
        <v>2095772.7864935063</v>
      </c>
      <c r="J224" s="296">
        <f t="shared" si="27"/>
        <v>-1558656.6774928318</v>
      </c>
      <c r="K224" s="432">
        <v>78930</v>
      </c>
      <c r="L224" s="10">
        <f t="shared" si="28"/>
        <v>203622.90168831171</v>
      </c>
      <c r="M224" s="14">
        <f t="shared" si="29"/>
        <v>0</v>
      </c>
      <c r="N224" s="2">
        <f t="shared" si="30"/>
        <v>0</v>
      </c>
      <c r="O224" s="135">
        <f t="shared" si="31"/>
        <v>-1558656.6774928318</v>
      </c>
      <c r="P224" s="33">
        <f>O224/'D) Ecrêtage'!C224</f>
        <v>-7.6546236428684642</v>
      </c>
      <c r="Q224" s="131"/>
    </row>
    <row r="225" spans="1:17" x14ac:dyDescent="0.25">
      <c r="A225" s="49">
        <f>+'A) Base RI'!A227</f>
        <v>5758</v>
      </c>
      <c r="B225" s="427" t="str">
        <f>+'A) Base RI'!B227</f>
        <v>La Praz</v>
      </c>
      <c r="C225" s="299">
        <f>+'D) Ecrêtage'!C225</f>
        <v>4513.7940160642565</v>
      </c>
      <c r="D225" s="428">
        <v>39591</v>
      </c>
      <c r="E225" s="430">
        <v>6964</v>
      </c>
      <c r="F225" s="428">
        <v>16033</v>
      </c>
      <c r="G225" s="299">
        <f t="shared" si="24"/>
        <v>62588</v>
      </c>
      <c r="H225" s="277">
        <f t="shared" si="25"/>
        <v>36110.352128514052</v>
      </c>
      <c r="I225" s="10">
        <f t="shared" si="26"/>
        <v>26477.647871485948</v>
      </c>
      <c r="J225" s="296">
        <f t="shared" si="27"/>
        <v>-19691.811500350977</v>
      </c>
      <c r="K225" s="432">
        <v>20655</v>
      </c>
      <c r="L225" s="10">
        <f t="shared" si="28"/>
        <v>4513.7940160642565</v>
      </c>
      <c r="M225" s="14">
        <f t="shared" si="29"/>
        <v>16141.205983935743</v>
      </c>
      <c r="N225" s="2">
        <f t="shared" si="30"/>
        <v>-12004.44945739668</v>
      </c>
      <c r="O225" s="135">
        <f t="shared" si="31"/>
        <v>-31696.260957747658</v>
      </c>
      <c r="P225" s="33">
        <f>O225/'D) Ecrêtage'!C225</f>
        <v>-7.022088479213501</v>
      </c>
      <c r="Q225" s="131"/>
    </row>
    <row r="226" spans="1:17" x14ac:dyDescent="0.25">
      <c r="A226" s="49">
        <f>+'A) Base RI'!A228</f>
        <v>5759</v>
      </c>
      <c r="B226" s="427" t="str">
        <f>+'A) Base RI'!B228</f>
        <v>Premier</v>
      </c>
      <c r="C226" s="299">
        <f>+'D) Ecrêtage'!C226</f>
        <v>5266.2719753086421</v>
      </c>
      <c r="D226" s="428">
        <v>75640</v>
      </c>
      <c r="E226" s="430">
        <v>8989</v>
      </c>
      <c r="F226" s="428">
        <v>27044</v>
      </c>
      <c r="G226" s="299">
        <f t="shared" si="24"/>
        <v>111673</v>
      </c>
      <c r="H226" s="277">
        <f t="shared" si="25"/>
        <v>42130.175802469137</v>
      </c>
      <c r="I226" s="10">
        <f t="shared" si="26"/>
        <v>69542.824197530863</v>
      </c>
      <c r="J226" s="296">
        <f t="shared" si="27"/>
        <v>-51720.008965546047</v>
      </c>
      <c r="K226" s="432">
        <v>1108</v>
      </c>
      <c r="L226" s="10">
        <f t="shared" si="28"/>
        <v>5266.2719753086421</v>
      </c>
      <c r="M226" s="14">
        <f t="shared" si="29"/>
        <v>0</v>
      </c>
      <c r="N226" s="2">
        <f t="shared" si="30"/>
        <v>0</v>
      </c>
      <c r="O226" s="135">
        <f t="shared" si="31"/>
        <v>-51720.008965546047</v>
      </c>
      <c r="P226" s="33">
        <f>O226/'D) Ecrêtage'!C226</f>
        <v>-9.8209908656521439</v>
      </c>
      <c r="Q226" s="131"/>
    </row>
    <row r="227" spans="1:17" x14ac:dyDescent="0.25">
      <c r="A227" s="49">
        <f>+'A) Base RI'!A229</f>
        <v>5760</v>
      </c>
      <c r="B227" s="427" t="str">
        <f>+'A) Base RI'!B229</f>
        <v>Rances</v>
      </c>
      <c r="C227" s="299">
        <f>+'D) Ecrêtage'!C227</f>
        <v>12393.154658119658</v>
      </c>
      <c r="D227" s="428">
        <v>89888</v>
      </c>
      <c r="E227" s="430">
        <v>30514</v>
      </c>
      <c r="F227" s="428">
        <v>46397</v>
      </c>
      <c r="G227" s="299">
        <f t="shared" si="24"/>
        <v>166799</v>
      </c>
      <c r="H227" s="277">
        <f t="shared" si="25"/>
        <v>99145.237264957264</v>
      </c>
      <c r="I227" s="10">
        <f t="shared" si="26"/>
        <v>67653.762735042736</v>
      </c>
      <c r="J227" s="296">
        <f t="shared" si="27"/>
        <v>-50315.086503685168</v>
      </c>
      <c r="K227" s="432">
        <v>104230</v>
      </c>
      <c r="L227" s="10">
        <f t="shared" si="28"/>
        <v>12393.154658119658</v>
      </c>
      <c r="M227" s="14">
        <f t="shared" si="29"/>
        <v>91836.84534188034</v>
      </c>
      <c r="N227" s="2">
        <f t="shared" si="30"/>
        <v>-68300.396471648623</v>
      </c>
      <c r="O227" s="135">
        <f t="shared" si="31"/>
        <v>-118615.48297533378</v>
      </c>
      <c r="P227" s="33">
        <f>O227/'D) Ecrêtage'!C227</f>
        <v>-9.571048393043343</v>
      </c>
      <c r="Q227" s="131"/>
    </row>
    <row r="228" spans="1:17" x14ac:dyDescent="0.25">
      <c r="A228" s="49">
        <f>+'A) Base RI'!A230</f>
        <v>5761</v>
      </c>
      <c r="B228" s="427" t="str">
        <f>+'A) Base RI'!B230</f>
        <v>Romainmôtier-Envy</v>
      </c>
      <c r="C228" s="299">
        <f>+'D) Ecrêtage'!C228</f>
        <v>12300.346363636363</v>
      </c>
      <c r="D228" s="428">
        <v>178019</v>
      </c>
      <c r="E228" s="430">
        <v>45857</v>
      </c>
      <c r="F228" s="428">
        <v>54024</v>
      </c>
      <c r="G228" s="299">
        <f t="shared" si="24"/>
        <v>277900</v>
      </c>
      <c r="H228" s="277">
        <f t="shared" si="25"/>
        <v>98402.770909090905</v>
      </c>
      <c r="I228" s="10">
        <f t="shared" si="26"/>
        <v>179497.2290909091</v>
      </c>
      <c r="J228" s="296">
        <f t="shared" si="27"/>
        <v>-133494.69776354163</v>
      </c>
      <c r="K228" s="432">
        <v>14743</v>
      </c>
      <c r="L228" s="10">
        <f t="shared" si="28"/>
        <v>12300.346363636363</v>
      </c>
      <c r="M228" s="14">
        <f t="shared" si="29"/>
        <v>2442.6536363636369</v>
      </c>
      <c r="N228" s="2">
        <f t="shared" si="30"/>
        <v>-1816.637006481202</v>
      </c>
      <c r="O228" s="135">
        <f t="shared" si="31"/>
        <v>-135311.33477002283</v>
      </c>
      <c r="P228" s="33">
        <f>O228/'D) Ecrêtage'!C228</f>
        <v>-11.000611752693818</v>
      </c>
      <c r="Q228" s="131"/>
    </row>
    <row r="229" spans="1:17" x14ac:dyDescent="0.25">
      <c r="A229" s="49">
        <f>+'A) Base RI'!A231</f>
        <v>5762</v>
      </c>
      <c r="B229" s="427" t="str">
        <f>+'A) Base RI'!B231</f>
        <v>Sergey</v>
      </c>
      <c r="C229" s="299">
        <f>+'D) Ecrêtage'!C229</f>
        <v>4008.7221794871789</v>
      </c>
      <c r="D229" s="428">
        <v>7579</v>
      </c>
      <c r="E229" s="430">
        <v>6162</v>
      </c>
      <c r="F229" s="428">
        <v>14965</v>
      </c>
      <c r="G229" s="299">
        <f t="shared" si="24"/>
        <v>28706</v>
      </c>
      <c r="H229" s="277">
        <f t="shared" si="25"/>
        <v>32069.777435897431</v>
      </c>
      <c r="I229" s="10">
        <f t="shared" si="26"/>
        <v>0</v>
      </c>
      <c r="J229" s="296">
        <f t="shared" si="27"/>
        <v>0</v>
      </c>
      <c r="K229" s="432">
        <v>6049</v>
      </c>
      <c r="L229" s="10">
        <f t="shared" si="28"/>
        <v>4008.7221794871789</v>
      </c>
      <c r="M229" s="14">
        <f t="shared" si="29"/>
        <v>2040.2778205128211</v>
      </c>
      <c r="N229" s="2">
        <f t="shared" si="30"/>
        <v>-1517.384264829361</v>
      </c>
      <c r="O229" s="135">
        <f t="shared" si="31"/>
        <v>-1517.384264829361</v>
      </c>
      <c r="P229" s="33">
        <f>O229/'D) Ecrêtage'!C229</f>
        <v>-0.37852068486908075</v>
      </c>
      <c r="Q229" s="131"/>
    </row>
    <row r="230" spans="1:17" x14ac:dyDescent="0.25">
      <c r="A230" s="49">
        <f>+'A) Base RI'!A232</f>
        <v>5763</v>
      </c>
      <c r="B230" s="427" t="str">
        <f>+'A) Base RI'!B232</f>
        <v>Valeyres-sous-Rances</v>
      </c>
      <c r="C230" s="299">
        <f>+'D) Ecrêtage'!C230</f>
        <v>21916.016764705884</v>
      </c>
      <c r="D230" s="428">
        <v>159631</v>
      </c>
      <c r="E230" s="430">
        <v>39377</v>
      </c>
      <c r="F230" s="428">
        <v>73125</v>
      </c>
      <c r="G230" s="299">
        <f t="shared" si="24"/>
        <v>272133</v>
      </c>
      <c r="H230" s="277">
        <f t="shared" si="25"/>
        <v>175328.13411764707</v>
      </c>
      <c r="I230" s="10">
        <f t="shared" si="26"/>
        <v>96804.865882352926</v>
      </c>
      <c r="J230" s="296">
        <f t="shared" si="27"/>
        <v>-71995.185543838496</v>
      </c>
      <c r="K230" s="432">
        <v>59001</v>
      </c>
      <c r="L230" s="10">
        <f t="shared" si="28"/>
        <v>21916.016764705884</v>
      </c>
      <c r="M230" s="14">
        <f t="shared" si="29"/>
        <v>37084.983235294116</v>
      </c>
      <c r="N230" s="2">
        <f t="shared" si="30"/>
        <v>-27580.640958274987</v>
      </c>
      <c r="O230" s="135">
        <f t="shared" si="31"/>
        <v>-99575.826502113487</v>
      </c>
      <c r="P230" s="33">
        <f>O230/'D) Ecrêtage'!C230</f>
        <v>-4.5435184491404916</v>
      </c>
      <c r="Q230" s="131"/>
    </row>
    <row r="231" spans="1:17" x14ac:dyDescent="0.25">
      <c r="A231" s="49">
        <f>+'A) Base RI'!A233</f>
        <v>5764</v>
      </c>
      <c r="B231" s="427" t="str">
        <f>+'A) Base RI'!B233</f>
        <v>Vallorbe</v>
      </c>
      <c r="C231" s="299">
        <f>+'D) Ecrêtage'!C231</f>
        <v>88041.024794520548</v>
      </c>
      <c r="D231" s="428">
        <v>1983832</v>
      </c>
      <c r="E231" s="430">
        <v>406434</v>
      </c>
      <c r="F231" s="428">
        <v>450371</v>
      </c>
      <c r="G231" s="299">
        <f t="shared" si="24"/>
        <v>2840637</v>
      </c>
      <c r="H231" s="277">
        <f t="shared" si="25"/>
        <v>704328.19835616439</v>
      </c>
      <c r="I231" s="10">
        <f t="shared" si="26"/>
        <v>2136308.8016438354</v>
      </c>
      <c r="J231" s="296">
        <f t="shared" si="27"/>
        <v>-1588803.9010373852</v>
      </c>
      <c r="K231" s="432">
        <v>954459</v>
      </c>
      <c r="L231" s="10">
        <f t="shared" si="28"/>
        <v>88041.024794520548</v>
      </c>
      <c r="M231" s="14">
        <f t="shared" si="29"/>
        <v>866417.97520547942</v>
      </c>
      <c r="N231" s="2">
        <f t="shared" si="30"/>
        <v>-644367.6391147871</v>
      </c>
      <c r="O231" s="135">
        <f t="shared" si="31"/>
        <v>-2233171.5401521726</v>
      </c>
      <c r="P231" s="33">
        <f>O231/'D) Ecrêtage'!C231</f>
        <v>-25.365124331119322</v>
      </c>
      <c r="Q231" s="131"/>
    </row>
    <row r="232" spans="1:17" x14ac:dyDescent="0.25">
      <c r="A232" s="49">
        <f>+'A) Base RI'!A234</f>
        <v>5765</v>
      </c>
      <c r="B232" s="427" t="str">
        <f>+'A) Base RI'!B234</f>
        <v>Vaulion</v>
      </c>
      <c r="C232" s="299">
        <f>+'D) Ecrêtage'!C232</f>
        <v>11969.433580246912</v>
      </c>
      <c r="D232" s="428">
        <v>199226</v>
      </c>
      <c r="E232" s="430">
        <v>20035</v>
      </c>
      <c r="F232" s="428">
        <v>53942</v>
      </c>
      <c r="G232" s="299">
        <f t="shared" si="24"/>
        <v>273203</v>
      </c>
      <c r="H232" s="277">
        <f t="shared" si="25"/>
        <v>95755.468641975298</v>
      </c>
      <c r="I232" s="10">
        <f t="shared" si="26"/>
        <v>177447.53135802469</v>
      </c>
      <c r="J232" s="296">
        <f t="shared" si="27"/>
        <v>-131970.3077729895</v>
      </c>
      <c r="K232" s="432">
        <v>6165</v>
      </c>
      <c r="L232" s="10">
        <f t="shared" si="28"/>
        <v>11969.433580246912</v>
      </c>
      <c r="M232" s="14">
        <f t="shared" si="29"/>
        <v>0</v>
      </c>
      <c r="N232" s="2">
        <f t="shared" si="30"/>
        <v>0</v>
      </c>
      <c r="O232" s="135">
        <f t="shared" si="31"/>
        <v>-131970.3077729895</v>
      </c>
      <c r="P232" s="33">
        <f>O232/'D) Ecrêtage'!C232</f>
        <v>-11.025610099944858</v>
      </c>
      <c r="Q232" s="131"/>
    </row>
    <row r="233" spans="1:17" x14ac:dyDescent="0.25">
      <c r="A233" s="49">
        <f>+'A) Base RI'!A235</f>
        <v>5766</v>
      </c>
      <c r="B233" s="427" t="str">
        <f>+'A) Base RI'!B235</f>
        <v>Vuiteboeuf</v>
      </c>
      <c r="C233" s="299">
        <f>+'D) Ecrêtage'!C233</f>
        <v>13963.194675324676</v>
      </c>
      <c r="D233" s="428">
        <v>128259</v>
      </c>
      <c r="E233" s="430">
        <v>61619</v>
      </c>
      <c r="F233" s="428">
        <v>49867</v>
      </c>
      <c r="G233" s="299">
        <f t="shared" si="24"/>
        <v>239745</v>
      </c>
      <c r="H233" s="277">
        <f t="shared" si="25"/>
        <v>111705.55740259741</v>
      </c>
      <c r="I233" s="10">
        <f t="shared" si="26"/>
        <v>128039.44259740259</v>
      </c>
      <c r="J233" s="296">
        <f t="shared" si="27"/>
        <v>-95224.794153762647</v>
      </c>
      <c r="K233" s="432">
        <v>15473</v>
      </c>
      <c r="L233" s="10">
        <f t="shared" si="28"/>
        <v>13963.194675324676</v>
      </c>
      <c r="M233" s="14">
        <f t="shared" si="29"/>
        <v>1509.8053246753243</v>
      </c>
      <c r="N233" s="2">
        <f t="shared" si="30"/>
        <v>-1122.8641607455661</v>
      </c>
      <c r="O233" s="135">
        <f t="shared" si="31"/>
        <v>-96347.658314508211</v>
      </c>
      <c r="P233" s="33">
        <f>O233/'D) Ecrêtage'!C233</f>
        <v>-6.9001156651329083</v>
      </c>
      <c r="Q233" s="131"/>
    </row>
    <row r="234" spans="1:17" x14ac:dyDescent="0.25">
      <c r="A234" s="49">
        <f>+'A) Base RI'!A236</f>
        <v>5785</v>
      </c>
      <c r="B234" s="427" t="str">
        <f>+'A) Base RI'!B236</f>
        <v>Corcelles-le-Jorat</v>
      </c>
      <c r="C234" s="299">
        <f>+'D) Ecrêtage'!C234</f>
        <v>16982.100779220782</v>
      </c>
      <c r="D234" s="428">
        <v>165239</v>
      </c>
      <c r="E234" s="430">
        <v>13124</v>
      </c>
      <c r="F234" s="428">
        <v>59189</v>
      </c>
      <c r="G234" s="299">
        <f t="shared" si="24"/>
        <v>237552</v>
      </c>
      <c r="H234" s="277">
        <f t="shared" si="25"/>
        <v>135856.80623376626</v>
      </c>
      <c r="I234" s="10">
        <f t="shared" si="26"/>
        <v>101695.19376623374</v>
      </c>
      <c r="J234" s="296">
        <f t="shared" si="27"/>
        <v>-75632.193458276291</v>
      </c>
      <c r="K234" s="432">
        <v>-22815</v>
      </c>
      <c r="L234" s="10">
        <f t="shared" si="28"/>
        <v>16982.100779220782</v>
      </c>
      <c r="M234" s="14">
        <f t="shared" si="29"/>
        <v>0</v>
      </c>
      <c r="N234" s="2">
        <f t="shared" si="30"/>
        <v>0</v>
      </c>
      <c r="O234" s="135">
        <f t="shared" si="31"/>
        <v>-75632.193458276291</v>
      </c>
      <c r="P234" s="33">
        <f>O234/'D) Ecrêtage'!C234</f>
        <v>-4.4536417750399577</v>
      </c>
      <c r="Q234" s="131"/>
    </row>
    <row r="235" spans="1:17" x14ac:dyDescent="0.25">
      <c r="A235" s="49">
        <f>+'A) Base RI'!A237</f>
        <v>5788</v>
      </c>
      <c r="B235" s="427" t="str">
        <f>+'A) Base RI'!B237</f>
        <v>Essertes</v>
      </c>
      <c r="C235" s="299">
        <f>+'D) Ecrêtage'!C235</f>
        <v>12373.296527777777</v>
      </c>
      <c r="D235" s="428">
        <v>81788</v>
      </c>
      <c r="E235" s="430">
        <v>16545</v>
      </c>
      <c r="F235" s="428">
        <v>43473</v>
      </c>
      <c r="G235" s="299">
        <f t="shared" si="24"/>
        <v>141806</v>
      </c>
      <c r="H235" s="277">
        <f t="shared" si="25"/>
        <v>98986.372222222213</v>
      </c>
      <c r="I235" s="10">
        <f t="shared" si="26"/>
        <v>42819.627777777787</v>
      </c>
      <c r="J235" s="296">
        <f t="shared" si="27"/>
        <v>-31845.579441489564</v>
      </c>
      <c r="K235" s="432">
        <v>529</v>
      </c>
      <c r="L235" s="10">
        <f t="shared" si="28"/>
        <v>12373.296527777777</v>
      </c>
      <c r="M235" s="14">
        <f t="shared" si="29"/>
        <v>0</v>
      </c>
      <c r="N235" s="2">
        <f t="shared" si="30"/>
        <v>0</v>
      </c>
      <c r="O235" s="135">
        <f t="shared" si="31"/>
        <v>-31845.579441489564</v>
      </c>
      <c r="P235" s="33">
        <f>O235/'D) Ecrêtage'!C235</f>
        <v>-2.5737344425551383</v>
      </c>
      <c r="Q235" s="131"/>
    </row>
    <row r="236" spans="1:17" x14ac:dyDescent="0.25">
      <c r="A236" s="49">
        <f>+'A) Base RI'!A238</f>
        <v>5790</v>
      </c>
      <c r="B236" s="427" t="str">
        <f>+'A) Base RI'!B238</f>
        <v>Maracon</v>
      </c>
      <c r="C236" s="299">
        <f>+'D) Ecrêtage'!C236</f>
        <v>14432.888421052632</v>
      </c>
      <c r="D236" s="428">
        <v>165988</v>
      </c>
      <c r="E236" s="430">
        <v>14510</v>
      </c>
      <c r="F236" s="428">
        <v>65207</v>
      </c>
      <c r="G236" s="299">
        <f t="shared" si="24"/>
        <v>245705</v>
      </c>
      <c r="H236" s="277">
        <f t="shared" si="25"/>
        <v>115463.10736842106</v>
      </c>
      <c r="I236" s="10">
        <f t="shared" si="26"/>
        <v>130241.89263157894</v>
      </c>
      <c r="J236" s="296">
        <f t="shared" si="27"/>
        <v>-96862.788250611717</v>
      </c>
      <c r="K236" s="432">
        <v>-951</v>
      </c>
      <c r="L236" s="10">
        <f t="shared" si="28"/>
        <v>14432.888421052632</v>
      </c>
      <c r="M236" s="14">
        <f t="shared" si="29"/>
        <v>0</v>
      </c>
      <c r="N236" s="2">
        <f t="shared" si="30"/>
        <v>0</v>
      </c>
      <c r="O236" s="135">
        <f t="shared" si="31"/>
        <v>-96862.788250611717</v>
      </c>
      <c r="P236" s="33">
        <f>O236/'D) Ecrêtage'!C236</f>
        <v>-6.7112545614446892</v>
      </c>
      <c r="Q236" s="131"/>
    </row>
    <row r="237" spans="1:17" x14ac:dyDescent="0.25">
      <c r="A237" s="49">
        <f>+'A) Base RI'!A239</f>
        <v>5792</v>
      </c>
      <c r="B237" s="427" t="str">
        <f>+'A) Base RI'!B239</f>
        <v>Montpreveyres</v>
      </c>
      <c r="C237" s="299">
        <f>+'D) Ecrêtage'!C237</f>
        <v>20144.698311688313</v>
      </c>
      <c r="D237" s="428">
        <v>214024</v>
      </c>
      <c r="E237" s="430">
        <v>28445</v>
      </c>
      <c r="F237" s="428">
        <v>90095</v>
      </c>
      <c r="G237" s="299">
        <f t="shared" si="24"/>
        <v>332564</v>
      </c>
      <c r="H237" s="277">
        <f t="shared" si="25"/>
        <v>161157.5864935065</v>
      </c>
      <c r="I237" s="10">
        <f t="shared" si="26"/>
        <v>171406.4135064935</v>
      </c>
      <c r="J237" s="296">
        <f t="shared" si="27"/>
        <v>-127477.44063610658</v>
      </c>
      <c r="K237" s="432">
        <v>-7362</v>
      </c>
      <c r="L237" s="10">
        <f t="shared" si="28"/>
        <v>20144.698311688313</v>
      </c>
      <c r="M237" s="14">
        <f t="shared" si="29"/>
        <v>0</v>
      </c>
      <c r="N237" s="2">
        <f t="shared" si="30"/>
        <v>0</v>
      </c>
      <c r="O237" s="135">
        <f t="shared" si="31"/>
        <v>-127477.44063610658</v>
      </c>
      <c r="P237" s="33">
        <f>O237/'D) Ecrêtage'!C237</f>
        <v>-6.328088843213993</v>
      </c>
      <c r="Q237" s="131"/>
    </row>
    <row r="238" spans="1:17" x14ac:dyDescent="0.25">
      <c r="A238" s="49">
        <f>+'A) Base RI'!A240</f>
        <v>5798</v>
      </c>
      <c r="B238" s="427" t="str">
        <f>+'A) Base RI'!B240</f>
        <v>Ropraz</v>
      </c>
      <c r="C238" s="299">
        <f>+'D) Ecrêtage'!C238</f>
        <v>14372.607741935482</v>
      </c>
      <c r="D238" s="428">
        <v>109227</v>
      </c>
      <c r="E238" s="430">
        <v>14569</v>
      </c>
      <c r="F238" s="428">
        <v>65600</v>
      </c>
      <c r="G238" s="299">
        <f t="shared" si="24"/>
        <v>189396</v>
      </c>
      <c r="H238" s="277">
        <f t="shared" si="25"/>
        <v>114980.86193548386</v>
      </c>
      <c r="I238" s="10">
        <f t="shared" si="26"/>
        <v>74415.138064516141</v>
      </c>
      <c r="J238" s="296">
        <f t="shared" si="27"/>
        <v>-55343.619593835429</v>
      </c>
      <c r="K238" s="432">
        <v>4231</v>
      </c>
      <c r="L238" s="10">
        <f t="shared" si="28"/>
        <v>14372.607741935482</v>
      </c>
      <c r="M238" s="14">
        <f t="shared" si="29"/>
        <v>0</v>
      </c>
      <c r="N238" s="2">
        <f t="shared" si="30"/>
        <v>0</v>
      </c>
      <c r="O238" s="135">
        <f t="shared" si="31"/>
        <v>-55343.619593835429</v>
      </c>
      <c r="P238" s="33">
        <f>O238/'D) Ecrêtage'!C238</f>
        <v>-3.8506317425165184</v>
      </c>
      <c r="Q238" s="131"/>
    </row>
    <row r="239" spans="1:17" x14ac:dyDescent="0.25">
      <c r="A239" s="49">
        <f>+'A) Base RI'!A241</f>
        <v>5799</v>
      </c>
      <c r="B239" s="427" t="str">
        <f>+'A) Base RI'!B241</f>
        <v>Servion</v>
      </c>
      <c r="C239" s="299">
        <f>+'D) Ecrêtage'!C239</f>
        <v>71130.218550724647</v>
      </c>
      <c r="D239" s="428">
        <v>551123</v>
      </c>
      <c r="E239" s="430">
        <v>85911</v>
      </c>
      <c r="F239" s="428">
        <v>263743</v>
      </c>
      <c r="G239" s="299">
        <f t="shared" si="24"/>
        <v>900777</v>
      </c>
      <c r="H239" s="277">
        <f t="shared" si="25"/>
        <v>569041.74840579717</v>
      </c>
      <c r="I239" s="10">
        <f t="shared" si="26"/>
        <v>331735.25159420283</v>
      </c>
      <c r="J239" s="296">
        <f t="shared" si="27"/>
        <v>-246716.32745178361</v>
      </c>
      <c r="K239" s="432">
        <v>53779</v>
      </c>
      <c r="L239" s="10">
        <f t="shared" si="28"/>
        <v>71130.218550724647</v>
      </c>
      <c r="M239" s="14">
        <f t="shared" si="29"/>
        <v>0</v>
      </c>
      <c r="N239" s="2">
        <f t="shared" si="30"/>
        <v>0</v>
      </c>
      <c r="O239" s="135">
        <f t="shared" si="31"/>
        <v>-246716.32745178361</v>
      </c>
      <c r="P239" s="33">
        <f>O239/'D) Ecrêtage'!C239</f>
        <v>-3.4685163700972512</v>
      </c>
      <c r="Q239" s="131"/>
    </row>
    <row r="240" spans="1:17" x14ac:dyDescent="0.25">
      <c r="A240" s="49">
        <f>+'A) Base RI'!A242</f>
        <v>5803</v>
      </c>
      <c r="B240" s="427" t="str">
        <f>+'A) Base RI'!B242</f>
        <v>Vulliens</v>
      </c>
      <c r="C240" s="299">
        <f>+'D) Ecrêtage'!C240</f>
        <v>17471.95461538462</v>
      </c>
      <c r="D240" s="428">
        <v>162606</v>
      </c>
      <c r="E240" s="430">
        <v>17548</v>
      </c>
      <c r="F240" s="428">
        <v>81163</v>
      </c>
      <c r="G240" s="299">
        <f t="shared" si="24"/>
        <v>261317</v>
      </c>
      <c r="H240" s="277">
        <f t="shared" si="25"/>
        <v>139775.63692307696</v>
      </c>
      <c r="I240" s="10">
        <f t="shared" si="26"/>
        <v>121541.36307692304</v>
      </c>
      <c r="J240" s="296">
        <f t="shared" si="27"/>
        <v>-90392.077983027004</v>
      </c>
      <c r="K240" s="432">
        <v>35771</v>
      </c>
      <c r="L240" s="10">
        <f t="shared" si="28"/>
        <v>17471.95461538462</v>
      </c>
      <c r="M240" s="14">
        <f t="shared" si="29"/>
        <v>18299.04538461538</v>
      </c>
      <c r="N240" s="2">
        <f t="shared" si="30"/>
        <v>-13609.265977823843</v>
      </c>
      <c r="O240" s="135">
        <f t="shared" si="31"/>
        <v>-104001.34396085085</v>
      </c>
      <c r="P240" s="33">
        <f>O240/'D) Ecrêtage'!C240</f>
        <v>-5.9524733351398647</v>
      </c>
      <c r="Q240" s="131"/>
    </row>
    <row r="241" spans="1:17" x14ac:dyDescent="0.25">
      <c r="A241" s="49">
        <f>+'A) Base RI'!A243</f>
        <v>5804</v>
      </c>
      <c r="B241" s="427" t="str">
        <f>+'A) Base RI'!B243</f>
        <v>Jorat-Menthue</v>
      </c>
      <c r="C241" s="299">
        <f>+'D) Ecrêtage'!C241</f>
        <v>44252.610972222225</v>
      </c>
      <c r="D241" s="428">
        <v>1644559</v>
      </c>
      <c r="E241" s="430">
        <v>46775</v>
      </c>
      <c r="F241" s="428">
        <v>138870</v>
      </c>
      <c r="G241" s="299">
        <f t="shared" si="24"/>
        <v>1830204</v>
      </c>
      <c r="H241" s="277">
        <f t="shared" si="25"/>
        <v>354020.8877777778</v>
      </c>
      <c r="I241" s="10">
        <f t="shared" si="26"/>
        <v>1476183.1122222221</v>
      </c>
      <c r="J241" s="296">
        <f t="shared" si="27"/>
        <v>-1097858.8327396654</v>
      </c>
      <c r="K241" s="432">
        <v>169290</v>
      </c>
      <c r="L241" s="10">
        <f t="shared" si="28"/>
        <v>44252.610972222225</v>
      </c>
      <c r="M241" s="14">
        <f t="shared" si="29"/>
        <v>125037.38902777777</v>
      </c>
      <c r="N241" s="2">
        <f t="shared" si="30"/>
        <v>-92992.123287606519</v>
      </c>
      <c r="O241" s="135">
        <f t="shared" si="31"/>
        <v>-1190850.9560272719</v>
      </c>
      <c r="P241" s="33">
        <f>O241/'D) Ecrêtage'!C241</f>
        <v>-26.910298169181026</v>
      </c>
      <c r="Q241" s="131"/>
    </row>
    <row r="242" spans="1:17" x14ac:dyDescent="0.25">
      <c r="A242" s="49">
        <f>+'A) Base RI'!A244</f>
        <v>5805</v>
      </c>
      <c r="B242" s="427" t="str">
        <f>+'A) Base RI'!B244</f>
        <v>Oron</v>
      </c>
      <c r="C242" s="299">
        <f>+'D) Ecrêtage'!C242</f>
        <v>158737.86322793149</v>
      </c>
      <c r="D242" s="428">
        <v>1262240</v>
      </c>
      <c r="E242" s="430">
        <v>405591</v>
      </c>
      <c r="F242" s="428">
        <v>669786</v>
      </c>
      <c r="G242" s="299">
        <f t="shared" si="24"/>
        <v>2337617</v>
      </c>
      <c r="H242" s="277">
        <f t="shared" si="25"/>
        <v>1269902.9058234519</v>
      </c>
      <c r="I242" s="10">
        <f t="shared" si="26"/>
        <v>1067714.0941765481</v>
      </c>
      <c r="J242" s="296">
        <f t="shared" si="27"/>
        <v>-794074.48806790938</v>
      </c>
      <c r="K242" s="432">
        <v>26600</v>
      </c>
      <c r="L242" s="10">
        <f t="shared" si="28"/>
        <v>158737.86322793149</v>
      </c>
      <c r="M242" s="14">
        <f t="shared" si="29"/>
        <v>0</v>
      </c>
      <c r="N242" s="2">
        <f t="shared" si="30"/>
        <v>0</v>
      </c>
      <c r="O242" s="135">
        <f t="shared" si="31"/>
        <v>-794074.48806790938</v>
      </c>
      <c r="P242" s="33">
        <f>O242/'D) Ecrêtage'!C242</f>
        <v>-5.0024264653713955</v>
      </c>
      <c r="Q242" s="131"/>
    </row>
    <row r="243" spans="1:17" x14ac:dyDescent="0.25">
      <c r="A243" s="49">
        <f>+'A) Base RI'!A245</f>
        <v>5806</v>
      </c>
      <c r="B243" s="427" t="str">
        <f>+'A) Base RI'!B245</f>
        <v>Jorat-Mézières</v>
      </c>
      <c r="C243" s="299">
        <f>+'D) Ecrêtage'!C243</f>
        <v>92100.572236842127</v>
      </c>
      <c r="D243" s="428">
        <v>656966</v>
      </c>
      <c r="E243" s="430">
        <v>126920</v>
      </c>
      <c r="F243" s="428">
        <v>417060</v>
      </c>
      <c r="G243" s="299">
        <f t="shared" si="24"/>
        <v>1200946</v>
      </c>
      <c r="H243" s="277">
        <f t="shared" si="25"/>
        <v>736804.57789473701</v>
      </c>
      <c r="I243" s="10">
        <f t="shared" si="26"/>
        <v>464141.42210526299</v>
      </c>
      <c r="J243" s="296">
        <f t="shared" si="27"/>
        <v>-345188.72061307245</v>
      </c>
      <c r="K243" s="432">
        <v>-32593</v>
      </c>
      <c r="L243" s="10">
        <f t="shared" si="28"/>
        <v>92100.572236842127</v>
      </c>
      <c r="M243" s="14">
        <f t="shared" si="29"/>
        <v>0</v>
      </c>
      <c r="N243" s="2">
        <f t="shared" si="30"/>
        <v>0</v>
      </c>
      <c r="O243" s="135">
        <f t="shared" si="31"/>
        <v>-345188.72061307245</v>
      </c>
      <c r="P243" s="33">
        <f>O243/'D) Ecrêtage'!C243</f>
        <v>-3.7479541356746298</v>
      </c>
      <c r="Q243" s="131"/>
    </row>
    <row r="244" spans="1:17" x14ac:dyDescent="0.25">
      <c r="A244" s="49">
        <f>+'A) Base RI'!A246</f>
        <v>5812</v>
      </c>
      <c r="B244" s="427" t="str">
        <f>+'A) Base RI'!B246</f>
        <v>Champtauroz</v>
      </c>
      <c r="C244" s="299">
        <f>+'D) Ecrêtage'!C244</f>
        <v>3697.8804870129875</v>
      </c>
      <c r="D244" s="428">
        <v>27098</v>
      </c>
      <c r="E244" s="430">
        <v>4078</v>
      </c>
      <c r="F244" s="428">
        <v>16400</v>
      </c>
      <c r="G244" s="299">
        <f t="shared" si="24"/>
        <v>47576</v>
      </c>
      <c r="H244" s="277">
        <f t="shared" si="25"/>
        <v>29583.0438961039</v>
      </c>
      <c r="I244" s="10">
        <f t="shared" si="26"/>
        <v>17992.9561038961</v>
      </c>
      <c r="J244" s="296">
        <f t="shared" si="27"/>
        <v>-13381.622931603975</v>
      </c>
      <c r="K244" s="432">
        <v>609</v>
      </c>
      <c r="L244" s="10">
        <f t="shared" si="28"/>
        <v>3697.8804870129875</v>
      </c>
      <c r="M244" s="14">
        <f t="shared" si="29"/>
        <v>0</v>
      </c>
      <c r="N244" s="2">
        <f t="shared" si="30"/>
        <v>0</v>
      </c>
      <c r="O244" s="135">
        <f t="shared" si="31"/>
        <v>-13381.622931603975</v>
      </c>
      <c r="P244" s="33">
        <f>O244/'D) Ecrêtage'!C244</f>
        <v>-3.6187278032917609</v>
      </c>
      <c r="Q244" s="131"/>
    </row>
    <row r="245" spans="1:17" x14ac:dyDescent="0.25">
      <c r="A245" s="49">
        <f>+'A) Base RI'!A247</f>
        <v>5813</v>
      </c>
      <c r="B245" s="427" t="str">
        <f>+'A) Base RI'!B247</f>
        <v>Chevroux</v>
      </c>
      <c r="C245" s="299">
        <f>+'D) Ecrêtage'!C245</f>
        <v>14717.819857142857</v>
      </c>
      <c r="D245" s="428">
        <v>126832</v>
      </c>
      <c r="E245" s="430">
        <v>24068</v>
      </c>
      <c r="F245" s="428">
        <v>35010</v>
      </c>
      <c r="G245" s="299">
        <f t="shared" si="24"/>
        <v>185910</v>
      </c>
      <c r="H245" s="277">
        <f t="shared" si="25"/>
        <v>117742.55885714285</v>
      </c>
      <c r="I245" s="10">
        <f t="shared" si="26"/>
        <v>68167.441142857147</v>
      </c>
      <c r="J245" s="296">
        <f t="shared" si="27"/>
        <v>-50697.116600451242</v>
      </c>
      <c r="K245" s="432">
        <v>5888</v>
      </c>
      <c r="L245" s="10">
        <f t="shared" si="28"/>
        <v>14717.819857142857</v>
      </c>
      <c r="M245" s="14">
        <f t="shared" si="29"/>
        <v>0</v>
      </c>
      <c r="N245" s="2">
        <f t="shared" si="30"/>
        <v>0</v>
      </c>
      <c r="O245" s="135">
        <f t="shared" si="31"/>
        <v>-50697.116600451242</v>
      </c>
      <c r="P245" s="33">
        <f>O245/'D) Ecrêtage'!C245</f>
        <v>-3.4446077674912501</v>
      </c>
      <c r="Q245" s="131"/>
    </row>
    <row r="246" spans="1:17" x14ac:dyDescent="0.25">
      <c r="A246" s="49">
        <f>+'A) Base RI'!A248</f>
        <v>5816</v>
      </c>
      <c r="B246" s="427" t="str">
        <f>+'A) Base RI'!B248</f>
        <v>Corcelles-près-Payerne</v>
      </c>
      <c r="C246" s="299">
        <f>+'D) Ecrêtage'!C246</f>
        <v>60753.42418367348</v>
      </c>
      <c r="D246" s="428">
        <v>722709</v>
      </c>
      <c r="E246" s="430">
        <v>207172</v>
      </c>
      <c r="F246" s="428">
        <v>188264</v>
      </c>
      <c r="G246" s="299">
        <f t="shared" si="24"/>
        <v>1118145</v>
      </c>
      <c r="H246" s="277">
        <f t="shared" si="25"/>
        <v>486027.39346938784</v>
      </c>
      <c r="I246" s="10">
        <f t="shared" si="26"/>
        <v>632117.6065306121</v>
      </c>
      <c r="J246" s="296">
        <f t="shared" si="27"/>
        <v>-470115.05003277602</v>
      </c>
      <c r="K246" s="432">
        <v>3128</v>
      </c>
      <c r="L246" s="10">
        <f t="shared" si="28"/>
        <v>60753.42418367348</v>
      </c>
      <c r="M246" s="14">
        <f t="shared" si="29"/>
        <v>0</v>
      </c>
      <c r="N246" s="2">
        <f t="shared" si="30"/>
        <v>0</v>
      </c>
      <c r="O246" s="135">
        <f t="shared" si="31"/>
        <v>-470115.05003277602</v>
      </c>
      <c r="P246" s="33">
        <f>O246/'D) Ecrêtage'!C246</f>
        <v>-7.7380831837806436</v>
      </c>
      <c r="Q246" s="131"/>
    </row>
    <row r="247" spans="1:17" x14ac:dyDescent="0.25">
      <c r="A247" s="49">
        <f>+'A) Base RI'!A249</f>
        <v>5817</v>
      </c>
      <c r="B247" s="427" t="str">
        <f>+'A) Base RI'!B249</f>
        <v>Grandcour</v>
      </c>
      <c r="C247" s="299">
        <f>+'D) Ecrêtage'!C247</f>
        <v>21844.312857142857</v>
      </c>
      <c r="D247" s="428">
        <v>212345</v>
      </c>
      <c r="E247" s="430">
        <v>31055</v>
      </c>
      <c r="F247" s="428">
        <v>77492</v>
      </c>
      <c r="G247" s="299">
        <f t="shared" si="24"/>
        <v>320892</v>
      </c>
      <c r="H247" s="277">
        <f t="shared" si="25"/>
        <v>174754.50285714286</v>
      </c>
      <c r="I247" s="10">
        <f t="shared" si="26"/>
        <v>146137.49714285714</v>
      </c>
      <c r="J247" s="296">
        <f t="shared" si="27"/>
        <v>-108684.58032366463</v>
      </c>
      <c r="K247" s="432">
        <v>78458</v>
      </c>
      <c r="L247" s="10">
        <f t="shared" si="28"/>
        <v>21844.312857142857</v>
      </c>
      <c r="M247" s="14">
        <f t="shared" si="29"/>
        <v>56613.687142857147</v>
      </c>
      <c r="N247" s="2">
        <f t="shared" si="30"/>
        <v>-42104.421849251732</v>
      </c>
      <c r="O247" s="135">
        <f t="shared" si="31"/>
        <v>-150789.00217291637</v>
      </c>
      <c r="P247" s="33">
        <f>O247/'D) Ecrêtage'!C247</f>
        <v>-6.9028951910295486</v>
      </c>
      <c r="Q247" s="131"/>
    </row>
    <row r="248" spans="1:17" x14ac:dyDescent="0.25">
      <c r="A248" s="49">
        <f>+'A) Base RI'!A250</f>
        <v>5819</v>
      </c>
      <c r="B248" s="427" t="str">
        <f>+'A) Base RI'!B250</f>
        <v>Henniez</v>
      </c>
      <c r="C248" s="299">
        <f>+'D) Ecrêtage'!C248</f>
        <v>12524.767971014497</v>
      </c>
      <c r="D248" s="428">
        <v>128118</v>
      </c>
      <c r="E248" s="430">
        <v>13613</v>
      </c>
      <c r="F248" s="428">
        <v>59277</v>
      </c>
      <c r="G248" s="299">
        <f t="shared" si="24"/>
        <v>201008</v>
      </c>
      <c r="H248" s="277">
        <f t="shared" si="25"/>
        <v>100198.14376811597</v>
      </c>
      <c r="I248" s="10">
        <f t="shared" si="26"/>
        <v>100809.85623188403</v>
      </c>
      <c r="J248" s="296">
        <f t="shared" si="27"/>
        <v>-74973.755068083221</v>
      </c>
      <c r="K248" s="432">
        <v>0</v>
      </c>
      <c r="L248" s="10">
        <f t="shared" si="28"/>
        <v>12524.767971014497</v>
      </c>
      <c r="M248" s="14">
        <f t="shared" si="29"/>
        <v>0</v>
      </c>
      <c r="N248" s="2">
        <f t="shared" si="30"/>
        <v>0</v>
      </c>
      <c r="O248" s="135">
        <f t="shared" si="31"/>
        <v>-74973.755068083221</v>
      </c>
      <c r="P248" s="33">
        <f>O248/'D) Ecrêtage'!C248</f>
        <v>-5.9860394413366844</v>
      </c>
      <c r="Q248" s="131"/>
    </row>
    <row r="249" spans="1:17" x14ac:dyDescent="0.25">
      <c r="A249" s="49">
        <f>+'A) Base RI'!A251</f>
        <v>5821</v>
      </c>
      <c r="B249" s="427" t="str">
        <f>+'A) Base RI'!B251</f>
        <v>Missy</v>
      </c>
      <c r="C249" s="299">
        <f>+'D) Ecrêtage'!C249</f>
        <v>8359.2275000000009</v>
      </c>
      <c r="D249" s="428">
        <v>50017</v>
      </c>
      <c r="E249" s="430">
        <v>12302</v>
      </c>
      <c r="F249" s="428">
        <v>29292</v>
      </c>
      <c r="G249" s="299">
        <f t="shared" si="24"/>
        <v>91611</v>
      </c>
      <c r="H249" s="277">
        <f t="shared" si="25"/>
        <v>66873.820000000007</v>
      </c>
      <c r="I249" s="10">
        <f t="shared" si="26"/>
        <v>24737.179999999993</v>
      </c>
      <c r="J249" s="296">
        <f t="shared" si="27"/>
        <v>-18397.400251509367</v>
      </c>
      <c r="K249" s="432">
        <v>0</v>
      </c>
      <c r="L249" s="10">
        <f t="shared" si="28"/>
        <v>8359.2275000000009</v>
      </c>
      <c r="M249" s="14">
        <f t="shared" si="29"/>
        <v>0</v>
      </c>
      <c r="N249" s="2">
        <f t="shared" si="30"/>
        <v>0</v>
      </c>
      <c r="O249" s="135">
        <f t="shared" si="31"/>
        <v>-18397.400251509367</v>
      </c>
      <c r="P249" s="33">
        <f>O249/'D) Ecrêtage'!C249</f>
        <v>-2.2008493310547372</v>
      </c>
      <c r="Q249" s="131"/>
    </row>
    <row r="250" spans="1:17" x14ac:dyDescent="0.25">
      <c r="A250" s="49">
        <f>+'A) Base RI'!A252</f>
        <v>5822</v>
      </c>
      <c r="B250" s="427" t="str">
        <f>+'A) Base RI'!B252</f>
        <v>Payerne</v>
      </c>
      <c r="C250" s="299">
        <f>+'D) Ecrêtage'!C250</f>
        <v>246662.05359999998</v>
      </c>
      <c r="D250" s="428">
        <v>2245438</v>
      </c>
      <c r="E250" s="430">
        <v>1214963</v>
      </c>
      <c r="F250" s="428">
        <v>781296</v>
      </c>
      <c r="G250" s="299">
        <f t="shared" si="24"/>
        <v>4241697</v>
      </c>
      <c r="H250" s="277">
        <f t="shared" si="25"/>
        <v>1973296.4287999999</v>
      </c>
      <c r="I250" s="10">
        <f t="shared" si="26"/>
        <v>2268400.5712000001</v>
      </c>
      <c r="J250" s="296">
        <f t="shared" si="27"/>
        <v>-1687042.4696395826</v>
      </c>
      <c r="K250" s="432">
        <v>111970</v>
      </c>
      <c r="L250" s="10">
        <f t="shared" si="28"/>
        <v>246662.05359999998</v>
      </c>
      <c r="M250" s="14">
        <f t="shared" si="29"/>
        <v>0</v>
      </c>
      <c r="N250" s="2">
        <f t="shared" si="30"/>
        <v>0</v>
      </c>
      <c r="O250" s="135">
        <f t="shared" si="31"/>
        <v>-1687042.4696395826</v>
      </c>
      <c r="P250" s="33">
        <f>O250/'D) Ecrêtage'!C250</f>
        <v>-6.8394892729441814</v>
      </c>
      <c r="Q250" s="131"/>
    </row>
    <row r="251" spans="1:17" x14ac:dyDescent="0.25">
      <c r="A251" s="49">
        <f>+'A) Base RI'!A253</f>
        <v>5827</v>
      </c>
      <c r="B251" s="427" t="str">
        <f>+'A) Base RI'!B253</f>
        <v>Trey</v>
      </c>
      <c r="C251" s="299">
        <f>+'D) Ecrêtage'!C251</f>
        <v>6768.899124999999</v>
      </c>
      <c r="D251" s="428">
        <v>80899</v>
      </c>
      <c r="E251" s="430">
        <v>8925</v>
      </c>
      <c r="F251" s="428">
        <v>31146</v>
      </c>
      <c r="G251" s="299">
        <f t="shared" si="24"/>
        <v>120970</v>
      </c>
      <c r="H251" s="277">
        <f t="shared" si="25"/>
        <v>54151.192999999992</v>
      </c>
      <c r="I251" s="10">
        <f t="shared" si="26"/>
        <v>66818.807000000001</v>
      </c>
      <c r="J251" s="296">
        <f t="shared" si="27"/>
        <v>-49694.117789794807</v>
      </c>
      <c r="K251" s="432">
        <v>11998</v>
      </c>
      <c r="L251" s="10">
        <f t="shared" si="28"/>
        <v>6768.899124999999</v>
      </c>
      <c r="M251" s="14">
        <f t="shared" si="29"/>
        <v>5229.100875000001</v>
      </c>
      <c r="N251" s="2">
        <f t="shared" si="30"/>
        <v>-3888.9583110481026</v>
      </c>
      <c r="O251" s="135">
        <f t="shared" si="31"/>
        <v>-53583.076100842911</v>
      </c>
      <c r="P251" s="33">
        <f>O251/'D) Ecrêtage'!C251</f>
        <v>-7.9160695279002136</v>
      </c>
      <c r="Q251" s="131"/>
    </row>
    <row r="252" spans="1:17" x14ac:dyDescent="0.25">
      <c r="A252" s="49">
        <f>+'A) Base RI'!A254</f>
        <v>5828</v>
      </c>
      <c r="B252" s="427" t="str">
        <f>+'A) Base RI'!B254</f>
        <v>Treytorrens (Payerne)</v>
      </c>
      <c r="C252" s="299">
        <f>+'D) Ecrêtage'!C252</f>
        <v>2424.4907539682545</v>
      </c>
      <c r="D252" s="428">
        <v>38691</v>
      </c>
      <c r="E252" s="430">
        <v>3978</v>
      </c>
      <c r="F252" s="428">
        <v>18567</v>
      </c>
      <c r="G252" s="299">
        <f t="shared" si="24"/>
        <v>61236</v>
      </c>
      <c r="H252" s="277">
        <f t="shared" si="25"/>
        <v>19395.926031746036</v>
      </c>
      <c r="I252" s="10">
        <f t="shared" si="26"/>
        <v>41840.073968253964</v>
      </c>
      <c r="J252" s="296">
        <f t="shared" si="27"/>
        <v>-31117.071038280283</v>
      </c>
      <c r="K252" s="432">
        <v>3510</v>
      </c>
      <c r="L252" s="10">
        <f t="shared" si="28"/>
        <v>2424.4907539682545</v>
      </c>
      <c r="M252" s="14">
        <f t="shared" si="29"/>
        <v>1085.5092460317455</v>
      </c>
      <c r="N252" s="2">
        <f t="shared" si="30"/>
        <v>-807.30900110522646</v>
      </c>
      <c r="O252" s="135">
        <f t="shared" si="31"/>
        <v>-31924.380039385509</v>
      </c>
      <c r="P252" s="33">
        <f>O252/'D) Ecrêtage'!C252</f>
        <v>-13.167457944367776</v>
      </c>
      <c r="Q252" s="131"/>
    </row>
    <row r="253" spans="1:17" x14ac:dyDescent="0.25">
      <c r="A253" s="49">
        <f>+'A) Base RI'!A255</f>
        <v>5830</v>
      </c>
      <c r="B253" s="427" t="str">
        <f>+'A) Base RI'!B255</f>
        <v>Villarzel</v>
      </c>
      <c r="C253" s="299">
        <f>+'D) Ecrêtage'!C253</f>
        <v>13652.802077922079</v>
      </c>
      <c r="D253" s="428">
        <v>132294</v>
      </c>
      <c r="E253" s="430">
        <v>22363</v>
      </c>
      <c r="F253" s="428">
        <v>72797</v>
      </c>
      <c r="G253" s="299">
        <f t="shared" si="24"/>
        <v>227454</v>
      </c>
      <c r="H253" s="277">
        <f t="shared" si="25"/>
        <v>109222.41662337663</v>
      </c>
      <c r="I253" s="10">
        <f t="shared" si="26"/>
        <v>118231.58337662337</v>
      </c>
      <c r="J253" s="296">
        <f t="shared" si="27"/>
        <v>-87930.546721552018</v>
      </c>
      <c r="K253" s="432">
        <v>3079</v>
      </c>
      <c r="L253" s="10">
        <f t="shared" si="28"/>
        <v>13652.802077922079</v>
      </c>
      <c r="M253" s="14">
        <f t="shared" si="29"/>
        <v>0</v>
      </c>
      <c r="N253" s="2">
        <f t="shared" si="30"/>
        <v>0</v>
      </c>
      <c r="O253" s="135">
        <f t="shared" si="31"/>
        <v>-87930.546721552018</v>
      </c>
      <c r="P253" s="33">
        <f>O253/'D) Ecrêtage'!C253</f>
        <v>-6.4404761908725199</v>
      </c>
      <c r="Q253" s="131"/>
    </row>
    <row r="254" spans="1:17" x14ac:dyDescent="0.25">
      <c r="A254" s="49">
        <f>+'A) Base RI'!A256</f>
        <v>5831</v>
      </c>
      <c r="B254" s="427" t="str">
        <f>+'A) Base RI'!B256</f>
        <v>Valbroye</v>
      </c>
      <c r="C254" s="299">
        <f>+'D) Ecrêtage'!C254</f>
        <v>90573.475753424646</v>
      </c>
      <c r="D254" s="428">
        <v>1189728</v>
      </c>
      <c r="E254" s="430">
        <v>265254</v>
      </c>
      <c r="F254" s="428">
        <v>472029</v>
      </c>
      <c r="G254" s="299">
        <f t="shared" si="24"/>
        <v>1927011</v>
      </c>
      <c r="H254" s="277">
        <f t="shared" si="25"/>
        <v>724587.80602739716</v>
      </c>
      <c r="I254" s="10">
        <f t="shared" si="26"/>
        <v>1202423.193972603</v>
      </c>
      <c r="J254" s="296">
        <f t="shared" si="27"/>
        <v>-894259.60320506501</v>
      </c>
      <c r="K254" s="432">
        <v>58297</v>
      </c>
      <c r="L254" s="10">
        <f t="shared" si="28"/>
        <v>90573.475753424646</v>
      </c>
      <c r="M254" s="14">
        <f t="shared" si="29"/>
        <v>0</v>
      </c>
      <c r="N254" s="2">
        <f t="shared" si="30"/>
        <v>0</v>
      </c>
      <c r="O254" s="135">
        <f t="shared" si="31"/>
        <v>-894259.60320506501</v>
      </c>
      <c r="P254" s="33">
        <f>O254/'D) Ecrêtage'!C254</f>
        <v>-9.873305576122295</v>
      </c>
      <c r="Q254" s="131"/>
    </row>
    <row r="255" spans="1:17" x14ac:dyDescent="0.25">
      <c r="A255" s="49">
        <f>+'A) Base RI'!A257</f>
        <v>5841</v>
      </c>
      <c r="B255" s="427" t="str">
        <f>+'A) Base RI'!B257</f>
        <v>Château-d'Oex</v>
      </c>
      <c r="C255" s="299">
        <f>+'D) Ecrêtage'!C255</f>
        <v>118643.61518072287</v>
      </c>
      <c r="D255" s="428">
        <v>3095527</v>
      </c>
      <c r="E255" s="430">
        <v>261961</v>
      </c>
      <c r="F255" s="428">
        <v>441257</v>
      </c>
      <c r="G255" s="299">
        <f t="shared" si="24"/>
        <v>3798745</v>
      </c>
      <c r="H255" s="277">
        <f t="shared" si="25"/>
        <v>949148.92144578299</v>
      </c>
      <c r="I255" s="10">
        <f t="shared" si="26"/>
        <v>2849596.0785542168</v>
      </c>
      <c r="J255" s="296">
        <f t="shared" si="27"/>
        <v>-2119286.0145050273</v>
      </c>
      <c r="K255" s="432">
        <v>45546</v>
      </c>
      <c r="L255" s="10">
        <f t="shared" si="28"/>
        <v>118643.61518072287</v>
      </c>
      <c r="M255" s="14">
        <f t="shared" si="29"/>
        <v>0</v>
      </c>
      <c r="N255" s="2">
        <f t="shared" si="30"/>
        <v>0</v>
      </c>
      <c r="O255" s="135">
        <f t="shared" si="31"/>
        <v>-2119286.0145050273</v>
      </c>
      <c r="P255" s="33">
        <f>O255/'D) Ecrêtage'!C255</f>
        <v>-17.862621695038904</v>
      </c>
      <c r="Q255" s="131"/>
    </row>
    <row r="256" spans="1:17" x14ac:dyDescent="0.25">
      <c r="A256" s="49">
        <f>+'A) Base RI'!A258</f>
        <v>5842</v>
      </c>
      <c r="B256" s="427" t="str">
        <f>+'A) Base RI'!B258</f>
        <v>Rossinière</v>
      </c>
      <c r="C256" s="299">
        <f>+'D) Ecrêtage'!C256</f>
        <v>13727.475720164608</v>
      </c>
      <c r="D256" s="428">
        <v>337067</v>
      </c>
      <c r="E256" s="430">
        <v>41490</v>
      </c>
      <c r="F256" s="428">
        <v>107000</v>
      </c>
      <c r="G256" s="299">
        <f t="shared" si="24"/>
        <v>485557</v>
      </c>
      <c r="H256" s="277">
        <f t="shared" si="25"/>
        <v>109819.80576131686</v>
      </c>
      <c r="I256" s="10">
        <f t="shared" si="26"/>
        <v>375737.19423868315</v>
      </c>
      <c r="J256" s="296">
        <f t="shared" si="27"/>
        <v>-279441.21164126939</v>
      </c>
      <c r="K256" s="432">
        <v>0</v>
      </c>
      <c r="L256" s="10">
        <f t="shared" si="28"/>
        <v>13727.475720164608</v>
      </c>
      <c r="M256" s="14">
        <f t="shared" si="29"/>
        <v>0</v>
      </c>
      <c r="N256" s="2">
        <f t="shared" si="30"/>
        <v>0</v>
      </c>
      <c r="O256" s="135">
        <f t="shared" si="31"/>
        <v>-279441.21164126939</v>
      </c>
      <c r="P256" s="33">
        <f>O256/'D) Ecrêtage'!C256</f>
        <v>-20.35634353596355</v>
      </c>
      <c r="Q256" s="131"/>
    </row>
    <row r="257" spans="1:17" x14ac:dyDescent="0.25">
      <c r="A257" s="49">
        <f>+'A) Base RI'!A259</f>
        <v>5843</v>
      </c>
      <c r="B257" s="427" t="str">
        <f>+'A) Base RI'!B259</f>
        <v>Rougemont</v>
      </c>
      <c r="C257" s="299">
        <f>+'D) Ecrêtage'!C257</f>
        <v>86224.81779279279</v>
      </c>
      <c r="D257" s="428">
        <v>953303</v>
      </c>
      <c r="E257" s="430">
        <v>83471</v>
      </c>
      <c r="F257" s="428">
        <v>101402</v>
      </c>
      <c r="G257" s="299">
        <f t="shared" si="24"/>
        <v>1138176</v>
      </c>
      <c r="H257" s="277">
        <f t="shared" si="25"/>
        <v>689798.54234234232</v>
      </c>
      <c r="I257" s="10">
        <f t="shared" si="26"/>
        <v>448377.45765765768</v>
      </c>
      <c r="J257" s="296">
        <f t="shared" si="27"/>
        <v>-333464.83116839203</v>
      </c>
      <c r="K257" s="432">
        <v>0</v>
      </c>
      <c r="L257" s="10">
        <f t="shared" si="28"/>
        <v>86224.81779279279</v>
      </c>
      <c r="M257" s="14">
        <f t="shared" si="29"/>
        <v>0</v>
      </c>
      <c r="N257" s="2">
        <f t="shared" si="30"/>
        <v>0</v>
      </c>
      <c r="O257" s="135">
        <f t="shared" si="31"/>
        <v>-333464.83116839203</v>
      </c>
      <c r="P257" s="33">
        <f>O257/'D) Ecrêtage'!C257</f>
        <v>-3.8673880641852176</v>
      </c>
      <c r="Q257" s="131"/>
    </row>
    <row r="258" spans="1:17" x14ac:dyDescent="0.25">
      <c r="A258" s="49">
        <f>+'A) Base RI'!A260</f>
        <v>5851</v>
      </c>
      <c r="B258" s="427" t="str">
        <f>+'A) Base RI'!B260</f>
        <v>Allaman</v>
      </c>
      <c r="C258" s="299">
        <f>+'D) Ecrêtage'!C258</f>
        <v>23662.073064516131</v>
      </c>
      <c r="D258" s="428">
        <v>93515</v>
      </c>
      <c r="E258" s="430">
        <v>28590</v>
      </c>
      <c r="F258" s="428">
        <v>42349</v>
      </c>
      <c r="G258" s="299">
        <f t="shared" si="24"/>
        <v>164454</v>
      </c>
      <c r="H258" s="277">
        <f t="shared" si="25"/>
        <v>189296.58451612905</v>
      </c>
      <c r="I258" s="10">
        <f t="shared" si="26"/>
        <v>0</v>
      </c>
      <c r="J258" s="296">
        <f t="shared" si="27"/>
        <v>0</v>
      </c>
      <c r="K258" s="432">
        <v>0</v>
      </c>
      <c r="L258" s="10">
        <f t="shared" si="28"/>
        <v>23662.073064516131</v>
      </c>
      <c r="M258" s="14">
        <f t="shared" si="29"/>
        <v>0</v>
      </c>
      <c r="N258" s="2">
        <f t="shared" si="30"/>
        <v>0</v>
      </c>
      <c r="O258" s="135">
        <f t="shared" si="31"/>
        <v>0</v>
      </c>
      <c r="P258" s="33">
        <f>O258/'D) Ecrêtage'!C258</f>
        <v>0</v>
      </c>
      <c r="Q258" s="131"/>
    </row>
    <row r="259" spans="1:17" x14ac:dyDescent="0.25">
      <c r="A259" s="49">
        <f>+'A) Base RI'!A261</f>
        <v>5852</v>
      </c>
      <c r="B259" s="427" t="str">
        <f>+'A) Base RI'!B261</f>
        <v>Bursinel</v>
      </c>
      <c r="C259" s="299">
        <f>+'D) Ecrêtage'!C259</f>
        <v>39686.843918575076</v>
      </c>
      <c r="D259" s="428">
        <v>223974</v>
      </c>
      <c r="E259" s="430">
        <v>26008</v>
      </c>
      <c r="F259" s="428">
        <v>44320</v>
      </c>
      <c r="G259" s="299">
        <f t="shared" si="24"/>
        <v>294302</v>
      </c>
      <c r="H259" s="277">
        <f t="shared" si="25"/>
        <v>317494.75134860061</v>
      </c>
      <c r="I259" s="10">
        <f t="shared" si="26"/>
        <v>0</v>
      </c>
      <c r="J259" s="296">
        <f t="shared" si="27"/>
        <v>0</v>
      </c>
      <c r="K259" s="432">
        <v>4977</v>
      </c>
      <c r="L259" s="10">
        <f t="shared" si="28"/>
        <v>39686.843918575076</v>
      </c>
      <c r="M259" s="14">
        <f t="shared" si="29"/>
        <v>0</v>
      </c>
      <c r="N259" s="2">
        <f t="shared" si="30"/>
        <v>0</v>
      </c>
      <c r="O259" s="135">
        <f t="shared" si="31"/>
        <v>0</v>
      </c>
      <c r="P259" s="33">
        <f>O259/'D) Ecrêtage'!C259</f>
        <v>0</v>
      </c>
      <c r="Q259" s="131"/>
    </row>
    <row r="260" spans="1:17" x14ac:dyDescent="0.25">
      <c r="A260" s="49">
        <f>+'A) Base RI'!A262</f>
        <v>5853</v>
      </c>
      <c r="B260" s="427" t="str">
        <f>+'A) Base RI'!B262</f>
        <v>Bursins</v>
      </c>
      <c r="C260" s="299">
        <f>+'D) Ecrêtage'!C260</f>
        <v>36429.778873239433</v>
      </c>
      <c r="D260" s="428">
        <v>202199</v>
      </c>
      <c r="E260" s="430">
        <v>55372</v>
      </c>
      <c r="F260" s="428">
        <v>64581</v>
      </c>
      <c r="G260" s="299">
        <f t="shared" si="24"/>
        <v>322152</v>
      </c>
      <c r="H260" s="277">
        <f t="shared" si="25"/>
        <v>291438.23098591546</v>
      </c>
      <c r="I260" s="10">
        <f t="shared" si="26"/>
        <v>30713.769014084537</v>
      </c>
      <c r="J260" s="296">
        <f t="shared" si="27"/>
        <v>-22842.276354237616</v>
      </c>
      <c r="K260" s="432">
        <v>39679</v>
      </c>
      <c r="L260" s="10">
        <f t="shared" si="28"/>
        <v>36429.778873239433</v>
      </c>
      <c r="M260" s="14">
        <f t="shared" si="29"/>
        <v>3249.2211267605671</v>
      </c>
      <c r="N260" s="2">
        <f t="shared" si="30"/>
        <v>-2416.492970284989</v>
      </c>
      <c r="O260" s="135">
        <f t="shared" si="31"/>
        <v>-25258.769324522604</v>
      </c>
      <c r="P260" s="33">
        <f>O260/'D) Ecrêtage'!C260</f>
        <v>-0.69335499983166726</v>
      </c>
      <c r="Q260" s="131"/>
    </row>
    <row r="261" spans="1:17" x14ac:dyDescent="0.25">
      <c r="A261" s="49">
        <f>+'A) Base RI'!A263</f>
        <v>5854</v>
      </c>
      <c r="B261" s="427" t="str">
        <f>+'A) Base RI'!B263</f>
        <v>Burtigny</v>
      </c>
      <c r="C261" s="299">
        <f>+'D) Ecrêtage'!C261</f>
        <v>11092.867583333333</v>
      </c>
      <c r="D261" s="428">
        <v>108045</v>
      </c>
      <c r="E261" s="430">
        <v>10581</v>
      </c>
      <c r="F261" s="428">
        <v>40090</v>
      </c>
      <c r="G261" s="299">
        <f t="shared" si="24"/>
        <v>158716</v>
      </c>
      <c r="H261" s="277">
        <f t="shared" si="25"/>
        <v>88742.940666666662</v>
      </c>
      <c r="I261" s="10">
        <f t="shared" si="26"/>
        <v>69973.059333333338</v>
      </c>
      <c r="J261" s="296">
        <f t="shared" si="27"/>
        <v>-52039.981088302993</v>
      </c>
      <c r="K261" s="432">
        <v>11891</v>
      </c>
      <c r="L261" s="10">
        <f t="shared" si="28"/>
        <v>11092.867583333333</v>
      </c>
      <c r="M261" s="14">
        <f t="shared" si="29"/>
        <v>798.13241666666727</v>
      </c>
      <c r="N261" s="2">
        <f t="shared" si="30"/>
        <v>-593.5826768904592</v>
      </c>
      <c r="O261" s="135">
        <f t="shared" si="31"/>
        <v>-52633.563765193452</v>
      </c>
      <c r="P261" s="33">
        <f>O261/'D) Ecrêtage'!C261</f>
        <v>-4.7448113276204289</v>
      </c>
      <c r="Q261" s="131"/>
    </row>
    <row r="262" spans="1:17" x14ac:dyDescent="0.25">
      <c r="A262" s="49">
        <f>+'A) Base RI'!A264</f>
        <v>5855</v>
      </c>
      <c r="B262" s="427" t="str">
        <f>+'A) Base RI'!B264</f>
        <v>Dully</v>
      </c>
      <c r="C262" s="299">
        <f>+'D) Ecrêtage'!C262</f>
        <v>79675.83</v>
      </c>
      <c r="D262" s="428">
        <v>245355</v>
      </c>
      <c r="E262" s="430">
        <v>30329</v>
      </c>
      <c r="F262" s="428">
        <v>43930</v>
      </c>
      <c r="G262" s="299">
        <f t="shared" ref="G262:G313" si="32">SUM(D262:F262)</f>
        <v>319614</v>
      </c>
      <c r="H262" s="277">
        <f t="shared" ref="H262:H313" si="33">+C262*$I$4</f>
        <v>637406.64</v>
      </c>
      <c r="I262" s="10">
        <f t="shared" ref="I262:I313" si="34">IF(G262&gt;H262,G262-H262,0)</f>
        <v>0</v>
      </c>
      <c r="J262" s="296">
        <f t="shared" ref="J262:J313" si="35">-I262*J$4</f>
        <v>0</v>
      </c>
      <c r="K262" s="432">
        <v>1535</v>
      </c>
      <c r="L262" s="10">
        <f t="shared" ref="L262:L313" si="36">C262*M$4</f>
        <v>79675.83</v>
      </c>
      <c r="M262" s="14">
        <f t="shared" ref="M262:M313" si="37">IF(K262&gt;L262,K262-L262,0)</f>
        <v>0</v>
      </c>
      <c r="N262" s="2">
        <f t="shared" ref="N262:N313" si="38">-M262*N$4</f>
        <v>0</v>
      </c>
      <c r="O262" s="135">
        <f t="shared" ref="O262:O313" si="39">N262+J262</f>
        <v>0</v>
      </c>
      <c r="P262" s="33">
        <f>O262/'D) Ecrêtage'!C262</f>
        <v>0</v>
      </c>
      <c r="Q262" s="131"/>
    </row>
    <row r="263" spans="1:17" x14ac:dyDescent="0.25">
      <c r="A263" s="49">
        <f>+'A) Base RI'!A265</f>
        <v>5856</v>
      </c>
      <c r="B263" s="427" t="str">
        <f>+'A) Base RI'!B265</f>
        <v>Essertines-sur-Rolle</v>
      </c>
      <c r="C263" s="299">
        <f>+'D) Ecrêtage'!C263</f>
        <v>36504.775588235294</v>
      </c>
      <c r="D263" s="428">
        <v>178476</v>
      </c>
      <c r="E263" s="430">
        <v>22427</v>
      </c>
      <c r="F263" s="428">
        <v>53544</v>
      </c>
      <c r="G263" s="299">
        <f t="shared" si="32"/>
        <v>254447</v>
      </c>
      <c r="H263" s="277">
        <f t="shared" si="33"/>
        <v>292038.20470588235</v>
      </c>
      <c r="I263" s="10">
        <f t="shared" si="34"/>
        <v>0</v>
      </c>
      <c r="J263" s="296">
        <f t="shared" si="35"/>
        <v>0</v>
      </c>
      <c r="K263" s="432">
        <v>-18491</v>
      </c>
      <c r="L263" s="10">
        <f t="shared" si="36"/>
        <v>36504.775588235294</v>
      </c>
      <c r="M263" s="14">
        <f t="shared" si="37"/>
        <v>0</v>
      </c>
      <c r="N263" s="2">
        <f t="shared" si="38"/>
        <v>0</v>
      </c>
      <c r="O263" s="135">
        <f t="shared" si="39"/>
        <v>0</v>
      </c>
      <c r="P263" s="33">
        <f>O263/'D) Ecrêtage'!C263</f>
        <v>0</v>
      </c>
      <c r="Q263" s="131"/>
    </row>
    <row r="264" spans="1:17" x14ac:dyDescent="0.25">
      <c r="A264" s="49">
        <f>+'A) Base RI'!A266</f>
        <v>5857</v>
      </c>
      <c r="B264" s="427" t="str">
        <f>+'A) Base RI'!B266</f>
        <v>Gilly</v>
      </c>
      <c r="C264" s="299">
        <f>+'D) Ecrêtage'!C264</f>
        <v>85344.541363636366</v>
      </c>
      <c r="D264" s="428">
        <v>178995</v>
      </c>
      <c r="E264" s="430">
        <v>64079</v>
      </c>
      <c r="F264" s="428">
        <v>105573</v>
      </c>
      <c r="G264" s="299">
        <f t="shared" si="32"/>
        <v>348647</v>
      </c>
      <c r="H264" s="277">
        <f t="shared" si="33"/>
        <v>682756.33090909093</v>
      </c>
      <c r="I264" s="10">
        <f t="shared" si="34"/>
        <v>0</v>
      </c>
      <c r="J264" s="296">
        <f t="shared" si="35"/>
        <v>0</v>
      </c>
      <c r="K264" s="432">
        <v>17281</v>
      </c>
      <c r="L264" s="10">
        <f t="shared" si="36"/>
        <v>85344.541363636366</v>
      </c>
      <c r="M264" s="14">
        <f t="shared" si="37"/>
        <v>0</v>
      </c>
      <c r="N264" s="2">
        <f t="shared" si="38"/>
        <v>0</v>
      </c>
      <c r="O264" s="135">
        <f t="shared" si="39"/>
        <v>0</v>
      </c>
      <c r="P264" s="33">
        <f>O264/'D) Ecrêtage'!C264</f>
        <v>0</v>
      </c>
      <c r="Q264" s="131"/>
    </row>
    <row r="265" spans="1:17" x14ac:dyDescent="0.25">
      <c r="A265" s="49">
        <f>+'A) Base RI'!A267</f>
        <v>5858</v>
      </c>
      <c r="B265" s="427" t="str">
        <f>+'A) Base RI'!B267</f>
        <v>Luins</v>
      </c>
      <c r="C265" s="299">
        <f>+'D) Ecrêtage'!C265</f>
        <v>46698.811277777771</v>
      </c>
      <c r="D265" s="428">
        <v>65652</v>
      </c>
      <c r="E265" s="430">
        <v>41290</v>
      </c>
      <c r="F265" s="428">
        <v>52251</v>
      </c>
      <c r="G265" s="299">
        <f t="shared" si="32"/>
        <v>159193</v>
      </c>
      <c r="H265" s="277">
        <f t="shared" si="33"/>
        <v>373590.49022222217</v>
      </c>
      <c r="I265" s="10">
        <f t="shared" si="34"/>
        <v>0</v>
      </c>
      <c r="J265" s="296">
        <f t="shared" si="35"/>
        <v>0</v>
      </c>
      <c r="K265" s="432">
        <v>4734</v>
      </c>
      <c r="L265" s="10">
        <f t="shared" si="36"/>
        <v>46698.811277777771</v>
      </c>
      <c r="M265" s="14">
        <f t="shared" si="37"/>
        <v>0</v>
      </c>
      <c r="N265" s="2">
        <f t="shared" si="38"/>
        <v>0</v>
      </c>
      <c r="O265" s="135">
        <f t="shared" si="39"/>
        <v>0</v>
      </c>
      <c r="P265" s="33">
        <f>O265/'D) Ecrêtage'!C265</f>
        <v>0</v>
      </c>
      <c r="Q265" s="131"/>
    </row>
    <row r="266" spans="1:17" x14ac:dyDescent="0.25">
      <c r="A266" s="49">
        <f>+'A) Base RI'!A268</f>
        <v>5859</v>
      </c>
      <c r="B266" s="427" t="str">
        <f>+'A) Base RI'!B268</f>
        <v>Mont-sur-Rolle</v>
      </c>
      <c r="C266" s="299">
        <f>+'D) Ecrêtage'!C266</f>
        <v>136402.77030769232</v>
      </c>
      <c r="D266" s="428">
        <v>379269</v>
      </c>
      <c r="E266" s="430">
        <v>169347</v>
      </c>
      <c r="F266" s="428">
        <v>233523</v>
      </c>
      <c r="G266" s="299">
        <f t="shared" si="32"/>
        <v>782139</v>
      </c>
      <c r="H266" s="277">
        <f t="shared" si="33"/>
        <v>1091222.1624615386</v>
      </c>
      <c r="I266" s="10">
        <f t="shared" si="34"/>
        <v>0</v>
      </c>
      <c r="J266" s="296">
        <f t="shared" si="35"/>
        <v>0</v>
      </c>
      <c r="K266" s="432">
        <v>3037</v>
      </c>
      <c r="L266" s="10">
        <f t="shared" si="36"/>
        <v>136402.77030769232</v>
      </c>
      <c r="M266" s="14">
        <f t="shared" si="37"/>
        <v>0</v>
      </c>
      <c r="N266" s="2">
        <f t="shared" si="38"/>
        <v>0</v>
      </c>
      <c r="O266" s="135">
        <f t="shared" si="39"/>
        <v>0</v>
      </c>
      <c r="P266" s="33">
        <f>O266/'D) Ecrêtage'!C266</f>
        <v>0</v>
      </c>
      <c r="Q266" s="131"/>
    </row>
    <row r="267" spans="1:17" x14ac:dyDescent="0.25">
      <c r="A267" s="49">
        <f>+'A) Base RI'!A269</f>
        <v>5860</v>
      </c>
      <c r="B267" s="427" t="str">
        <f>+'A) Base RI'!B269</f>
        <v>Perroy</v>
      </c>
      <c r="C267" s="299">
        <f>+'D) Ecrêtage'!C267</f>
        <v>102583.41574358974</v>
      </c>
      <c r="D267" s="428">
        <v>3353809</v>
      </c>
      <c r="E267" s="430">
        <v>60948</v>
      </c>
      <c r="F267" s="428">
        <v>123540</v>
      </c>
      <c r="G267" s="299">
        <f t="shared" si="32"/>
        <v>3538297</v>
      </c>
      <c r="H267" s="277">
        <f t="shared" si="33"/>
        <v>820667.32594871789</v>
      </c>
      <c r="I267" s="10">
        <f t="shared" si="34"/>
        <v>2717629.674051282</v>
      </c>
      <c r="J267" s="296">
        <f t="shared" si="35"/>
        <v>-2021140.6817147464</v>
      </c>
      <c r="K267" s="432">
        <v>18641</v>
      </c>
      <c r="L267" s="10">
        <f t="shared" si="36"/>
        <v>102583.41574358974</v>
      </c>
      <c r="M267" s="14">
        <f t="shared" si="37"/>
        <v>0</v>
      </c>
      <c r="N267" s="2">
        <f t="shared" si="38"/>
        <v>0</v>
      </c>
      <c r="O267" s="135">
        <f t="shared" si="39"/>
        <v>-2021140.6817147464</v>
      </c>
      <c r="P267" s="33">
        <f>O267/'D) Ecrêtage'!C267</f>
        <v>-19.702411613653489</v>
      </c>
      <c r="Q267" s="131"/>
    </row>
    <row r="268" spans="1:17" x14ac:dyDescent="0.25">
      <c r="A268" s="49">
        <f>+'A) Base RI'!A270</f>
        <v>5861</v>
      </c>
      <c r="B268" s="427" t="str">
        <f>+'A) Base RI'!B270</f>
        <v>Rolle</v>
      </c>
      <c r="C268" s="299">
        <f>+'D) Ecrêtage'!C268</f>
        <v>762445.16588235286</v>
      </c>
      <c r="D268" s="428">
        <v>2502927</v>
      </c>
      <c r="E268" s="430">
        <v>267503</v>
      </c>
      <c r="F268" s="428">
        <v>498088</v>
      </c>
      <c r="G268" s="299">
        <f t="shared" si="32"/>
        <v>3268518</v>
      </c>
      <c r="H268" s="277">
        <f t="shared" si="33"/>
        <v>6099561.3270588228</v>
      </c>
      <c r="I268" s="10">
        <f t="shared" si="34"/>
        <v>0</v>
      </c>
      <c r="J268" s="296">
        <f t="shared" si="35"/>
        <v>0</v>
      </c>
      <c r="K268" s="432">
        <v>120055</v>
      </c>
      <c r="L268" s="10">
        <f t="shared" si="36"/>
        <v>762445.16588235286</v>
      </c>
      <c r="M268" s="14">
        <f t="shared" si="37"/>
        <v>0</v>
      </c>
      <c r="N268" s="2">
        <f t="shared" si="38"/>
        <v>0</v>
      </c>
      <c r="O268" s="135">
        <f t="shared" si="39"/>
        <v>0</v>
      </c>
      <c r="P268" s="33">
        <f>O268/'D) Ecrêtage'!C268</f>
        <v>0</v>
      </c>
      <c r="Q268" s="131"/>
    </row>
    <row r="269" spans="1:17" x14ac:dyDescent="0.25">
      <c r="A269" s="49">
        <f>+'A) Base RI'!A271</f>
        <v>5862</v>
      </c>
      <c r="B269" s="427" t="str">
        <f>+'A) Base RI'!B271</f>
        <v>Tartegnin</v>
      </c>
      <c r="C269" s="299">
        <f>+'D) Ecrêtage'!C269</f>
        <v>10955.91814814815</v>
      </c>
      <c r="D269" s="428">
        <v>13837</v>
      </c>
      <c r="E269" s="430">
        <v>11459</v>
      </c>
      <c r="F269" s="428">
        <v>19455</v>
      </c>
      <c r="G269" s="299">
        <f t="shared" si="32"/>
        <v>44751</v>
      </c>
      <c r="H269" s="277">
        <f t="shared" si="33"/>
        <v>87647.345185185201</v>
      </c>
      <c r="I269" s="10">
        <f t="shared" si="34"/>
        <v>0</v>
      </c>
      <c r="J269" s="296">
        <f t="shared" si="35"/>
        <v>0</v>
      </c>
      <c r="K269" s="432">
        <v>4748</v>
      </c>
      <c r="L269" s="10">
        <f t="shared" si="36"/>
        <v>10955.91814814815</v>
      </c>
      <c r="M269" s="14">
        <f t="shared" si="37"/>
        <v>0</v>
      </c>
      <c r="N269" s="2">
        <f t="shared" si="38"/>
        <v>0</v>
      </c>
      <c r="O269" s="135">
        <f t="shared" si="39"/>
        <v>0</v>
      </c>
      <c r="P269" s="33">
        <f>O269/'D) Ecrêtage'!C269</f>
        <v>0</v>
      </c>
      <c r="Q269" s="131"/>
    </row>
    <row r="270" spans="1:17" x14ac:dyDescent="0.25">
      <c r="A270" s="49">
        <f>+'A) Base RI'!A272</f>
        <v>5863</v>
      </c>
      <c r="B270" s="427" t="str">
        <f>+'A) Base RI'!B272</f>
        <v>Vinzel</v>
      </c>
      <c r="C270" s="299">
        <f>+'D) Ecrêtage'!C270</f>
        <v>17885.432686567161</v>
      </c>
      <c r="D270" s="428">
        <v>20318</v>
      </c>
      <c r="E270" s="430">
        <v>20496</v>
      </c>
      <c r="F270" s="428">
        <v>25671</v>
      </c>
      <c r="G270" s="299">
        <f t="shared" si="32"/>
        <v>66485</v>
      </c>
      <c r="H270" s="277">
        <f t="shared" si="33"/>
        <v>143083.46149253729</v>
      </c>
      <c r="I270" s="10">
        <f t="shared" si="34"/>
        <v>0</v>
      </c>
      <c r="J270" s="296">
        <f t="shared" si="35"/>
        <v>0</v>
      </c>
      <c r="K270" s="432">
        <v>4916</v>
      </c>
      <c r="L270" s="10">
        <f t="shared" si="36"/>
        <v>17885.432686567161</v>
      </c>
      <c r="M270" s="14">
        <f t="shared" si="37"/>
        <v>0</v>
      </c>
      <c r="N270" s="2">
        <f t="shared" si="38"/>
        <v>0</v>
      </c>
      <c r="O270" s="135">
        <f t="shared" si="39"/>
        <v>0</v>
      </c>
      <c r="P270" s="33">
        <f>O270/'D) Ecrêtage'!C270</f>
        <v>0</v>
      </c>
      <c r="Q270" s="131"/>
    </row>
    <row r="271" spans="1:17" x14ac:dyDescent="0.25">
      <c r="A271" s="49">
        <f>+'A) Base RI'!A273</f>
        <v>5871</v>
      </c>
      <c r="B271" s="427" t="str">
        <f>+'A) Base RI'!B273</f>
        <v>L'Abbaye</v>
      </c>
      <c r="C271" s="299">
        <f>+'D) Ecrêtage'!C271</f>
        <v>46763.12603092783</v>
      </c>
      <c r="D271" s="428">
        <v>525346</v>
      </c>
      <c r="E271" s="430">
        <v>158204</v>
      </c>
      <c r="F271" s="428">
        <v>220085</v>
      </c>
      <c r="G271" s="299">
        <f t="shared" si="32"/>
        <v>903635</v>
      </c>
      <c r="H271" s="277">
        <f t="shared" si="33"/>
        <v>374105.00824742264</v>
      </c>
      <c r="I271" s="10">
        <f t="shared" si="34"/>
        <v>529529.99175257736</v>
      </c>
      <c r="J271" s="296">
        <f t="shared" si="35"/>
        <v>-393819.15009918768</v>
      </c>
      <c r="K271" s="432">
        <v>8918</v>
      </c>
      <c r="L271" s="10">
        <f t="shared" si="36"/>
        <v>46763.12603092783</v>
      </c>
      <c r="M271" s="14">
        <f t="shared" si="37"/>
        <v>0</v>
      </c>
      <c r="N271" s="2">
        <f t="shared" si="38"/>
        <v>0</v>
      </c>
      <c r="O271" s="135">
        <f t="shared" si="39"/>
        <v>-393819.15009918768</v>
      </c>
      <c r="P271" s="33">
        <f>O271/'D) Ecrêtage'!C271</f>
        <v>-8.4215745080584785</v>
      </c>
      <c r="Q271" s="131"/>
    </row>
    <row r="272" spans="1:17" x14ac:dyDescent="0.25">
      <c r="A272" s="49">
        <f>+'A) Base RI'!A274</f>
        <v>5872</v>
      </c>
      <c r="B272" s="427" t="str">
        <f>+'A) Base RI'!B274</f>
        <v>Le Chenit</v>
      </c>
      <c r="C272" s="299">
        <f>+'D) Ecrêtage'!C272</f>
        <v>269128.75712823507</v>
      </c>
      <c r="D272" s="428">
        <v>2529811</v>
      </c>
      <c r="E272" s="430">
        <v>491881</v>
      </c>
      <c r="F272" s="428">
        <v>694697</v>
      </c>
      <c r="G272" s="299">
        <f t="shared" si="32"/>
        <v>3716389</v>
      </c>
      <c r="H272" s="277">
        <f t="shared" si="33"/>
        <v>2153030.0570258806</v>
      </c>
      <c r="I272" s="10">
        <f t="shared" si="34"/>
        <v>1563358.9429741194</v>
      </c>
      <c r="J272" s="296">
        <f t="shared" si="35"/>
        <v>-1162692.7649259735</v>
      </c>
      <c r="K272" s="432">
        <v>284085</v>
      </c>
      <c r="L272" s="10">
        <f t="shared" si="36"/>
        <v>269128.75712823507</v>
      </c>
      <c r="M272" s="14">
        <f t="shared" si="37"/>
        <v>14956.242871764931</v>
      </c>
      <c r="N272" s="2">
        <f t="shared" si="38"/>
        <v>-11123.175170760911</v>
      </c>
      <c r="O272" s="135">
        <f t="shared" si="39"/>
        <v>-1173815.9400967343</v>
      </c>
      <c r="P272" s="33">
        <f>O272/'D) Ecrêtage'!C272</f>
        <v>-4.3615403742879542</v>
      </c>
      <c r="Q272" s="131"/>
    </row>
    <row r="273" spans="1:17" x14ac:dyDescent="0.25">
      <c r="A273" s="49">
        <f>+'A) Base RI'!A275</f>
        <v>5873</v>
      </c>
      <c r="B273" s="427" t="str">
        <f>+'A) Base RI'!B275</f>
        <v>Le Lieu</v>
      </c>
      <c r="C273" s="299">
        <f>+'D) Ecrêtage'!C273</f>
        <v>28965.792761904762</v>
      </c>
      <c r="D273" s="428">
        <v>824885</v>
      </c>
      <c r="E273" s="430">
        <v>92323</v>
      </c>
      <c r="F273" s="428">
        <v>118423</v>
      </c>
      <c r="G273" s="299">
        <f t="shared" si="32"/>
        <v>1035631</v>
      </c>
      <c r="H273" s="277">
        <f t="shared" si="33"/>
        <v>231726.3420952381</v>
      </c>
      <c r="I273" s="10">
        <f t="shared" si="34"/>
        <v>803904.65790476184</v>
      </c>
      <c r="J273" s="296">
        <f t="shared" si="35"/>
        <v>-597875.57658256206</v>
      </c>
      <c r="K273" s="432">
        <v>147419</v>
      </c>
      <c r="L273" s="10">
        <f t="shared" si="36"/>
        <v>28965.792761904762</v>
      </c>
      <c r="M273" s="14">
        <f t="shared" si="37"/>
        <v>118453.20723809523</v>
      </c>
      <c r="N273" s="2">
        <f t="shared" si="38"/>
        <v>-88095.371608009693</v>
      </c>
      <c r="O273" s="135">
        <f t="shared" si="39"/>
        <v>-685970.94819057174</v>
      </c>
      <c r="P273" s="33">
        <f>O273/'D) Ecrêtage'!C273</f>
        <v>-23.68210508958509</v>
      </c>
      <c r="Q273" s="131"/>
    </row>
    <row r="274" spans="1:17" x14ac:dyDescent="0.25">
      <c r="A274" s="49">
        <f>+'A) Base RI'!A276</f>
        <v>5881</v>
      </c>
      <c r="B274" s="427" t="str">
        <f>+'A) Base RI'!B276</f>
        <v>Blonay</v>
      </c>
      <c r="C274" s="299">
        <f>+'D) Ecrêtage'!C274</f>
        <v>355898.72514285718</v>
      </c>
      <c r="D274" s="428">
        <v>1977992</v>
      </c>
      <c r="E274" s="430">
        <v>1006012</v>
      </c>
      <c r="F274" s="428">
        <v>440246</v>
      </c>
      <c r="G274" s="299">
        <f t="shared" si="32"/>
        <v>3424250</v>
      </c>
      <c r="H274" s="277">
        <f t="shared" si="33"/>
        <v>2847189.8011428574</v>
      </c>
      <c r="I274" s="10">
        <f t="shared" si="34"/>
        <v>577060.19885714259</v>
      </c>
      <c r="J274" s="296">
        <f t="shared" si="35"/>
        <v>-429168.05584106367</v>
      </c>
      <c r="K274" s="432">
        <v>562127</v>
      </c>
      <c r="L274" s="10">
        <f t="shared" si="36"/>
        <v>355898.72514285718</v>
      </c>
      <c r="M274" s="14">
        <f t="shared" si="37"/>
        <v>206228.27485714282</v>
      </c>
      <c r="N274" s="2">
        <f t="shared" si="38"/>
        <v>-153374.96496064399</v>
      </c>
      <c r="O274" s="135">
        <f t="shared" si="39"/>
        <v>-582543.02080170764</v>
      </c>
      <c r="P274" s="33">
        <f>O274/'D) Ecrêtage'!C274</f>
        <v>-1.6368224431483305</v>
      </c>
      <c r="Q274" s="131"/>
    </row>
    <row r="275" spans="1:17" x14ac:dyDescent="0.25">
      <c r="A275" s="49">
        <f>+'A) Base RI'!A277</f>
        <v>5882</v>
      </c>
      <c r="B275" s="427" t="str">
        <f>+'A) Base RI'!B277</f>
        <v>Chardonne</v>
      </c>
      <c r="C275" s="299">
        <f>+'D) Ecrêtage'!C275</f>
        <v>184082.76117647055</v>
      </c>
      <c r="D275" s="428">
        <v>1564358</v>
      </c>
      <c r="E275" s="430">
        <v>278333</v>
      </c>
      <c r="F275" s="428">
        <v>162910</v>
      </c>
      <c r="G275" s="299">
        <f t="shared" si="32"/>
        <v>2005601</v>
      </c>
      <c r="H275" s="277">
        <f t="shared" si="33"/>
        <v>1472662.0894117644</v>
      </c>
      <c r="I275" s="10">
        <f t="shared" si="34"/>
        <v>532938.91058823559</v>
      </c>
      <c r="J275" s="296">
        <f t="shared" si="35"/>
        <v>-396354.41257633799</v>
      </c>
      <c r="K275" s="432">
        <v>35502</v>
      </c>
      <c r="L275" s="10">
        <f t="shared" si="36"/>
        <v>184082.76117647055</v>
      </c>
      <c r="M275" s="14">
        <f t="shared" si="37"/>
        <v>0</v>
      </c>
      <c r="N275" s="2">
        <f t="shared" si="38"/>
        <v>0</v>
      </c>
      <c r="O275" s="135">
        <f t="shared" si="39"/>
        <v>-396354.41257633799</v>
      </c>
      <c r="P275" s="33">
        <f>O275/'D) Ecrêtage'!C275</f>
        <v>-2.1531316134288843</v>
      </c>
      <c r="Q275" s="131"/>
    </row>
    <row r="276" spans="1:17" x14ac:dyDescent="0.25">
      <c r="A276" s="49">
        <f>+'A) Base RI'!A278</f>
        <v>5883</v>
      </c>
      <c r="B276" s="427" t="str">
        <f>+'A) Base RI'!B278</f>
        <v>Corseaux</v>
      </c>
      <c r="C276" s="299">
        <f>+'D) Ecrêtage'!C276</f>
        <v>164555.95811594205</v>
      </c>
      <c r="D276" s="428">
        <v>370751</v>
      </c>
      <c r="E276" s="430">
        <v>571037</v>
      </c>
      <c r="F276" s="428">
        <v>113619</v>
      </c>
      <c r="G276" s="299">
        <f t="shared" si="32"/>
        <v>1055407</v>
      </c>
      <c r="H276" s="277">
        <f t="shared" si="33"/>
        <v>1316447.6649275364</v>
      </c>
      <c r="I276" s="10">
        <f t="shared" si="34"/>
        <v>0</v>
      </c>
      <c r="J276" s="296">
        <f t="shared" si="35"/>
        <v>0</v>
      </c>
      <c r="K276" s="432">
        <v>1666</v>
      </c>
      <c r="L276" s="10">
        <f t="shared" si="36"/>
        <v>164555.95811594205</v>
      </c>
      <c r="M276" s="14">
        <f t="shared" si="37"/>
        <v>0</v>
      </c>
      <c r="N276" s="2">
        <f t="shared" si="38"/>
        <v>0</v>
      </c>
      <c r="O276" s="135">
        <f t="shared" si="39"/>
        <v>0</v>
      </c>
      <c r="P276" s="33">
        <f>O276/'D) Ecrêtage'!C276</f>
        <v>0</v>
      </c>
      <c r="Q276" s="131"/>
    </row>
    <row r="277" spans="1:17" x14ac:dyDescent="0.25">
      <c r="A277" s="49">
        <f>+'A) Base RI'!A279</f>
        <v>5884</v>
      </c>
      <c r="B277" s="427" t="str">
        <f>+'A) Base RI'!B279</f>
        <v>Corsier-sur-Vevey</v>
      </c>
      <c r="C277" s="299">
        <f>+'D) Ecrêtage'!C277</f>
        <v>127106.22217171718</v>
      </c>
      <c r="D277" s="428">
        <v>1702905</v>
      </c>
      <c r="E277" s="430">
        <v>1019410</v>
      </c>
      <c r="F277" s="428">
        <v>205523</v>
      </c>
      <c r="G277" s="299">
        <f t="shared" si="32"/>
        <v>2927838</v>
      </c>
      <c r="H277" s="277">
        <f t="shared" si="33"/>
        <v>1016849.7773737374</v>
      </c>
      <c r="I277" s="10">
        <f t="shared" si="34"/>
        <v>1910988.2226262626</v>
      </c>
      <c r="J277" s="296">
        <f t="shared" si="35"/>
        <v>-1421229.7120195532</v>
      </c>
      <c r="K277" s="432">
        <v>37103</v>
      </c>
      <c r="L277" s="10">
        <f t="shared" si="36"/>
        <v>127106.22217171718</v>
      </c>
      <c r="M277" s="14">
        <f t="shared" si="37"/>
        <v>0</v>
      </c>
      <c r="N277" s="2">
        <f t="shared" si="38"/>
        <v>0</v>
      </c>
      <c r="O277" s="135">
        <f t="shared" si="39"/>
        <v>-1421229.7120195532</v>
      </c>
      <c r="P277" s="33">
        <f>O277/'D) Ecrêtage'!C277</f>
        <v>-11.181433038734399</v>
      </c>
      <c r="Q277" s="131"/>
    </row>
    <row r="278" spans="1:17" x14ac:dyDescent="0.25">
      <c r="A278" s="49">
        <f>+'A) Base RI'!A280</f>
        <v>5885</v>
      </c>
      <c r="B278" s="427" t="str">
        <f>+'A) Base RI'!B280</f>
        <v>Jongny</v>
      </c>
      <c r="C278" s="299">
        <f>+'D) Ecrêtage'!C278</f>
        <v>79120.74528169015</v>
      </c>
      <c r="D278" s="428">
        <v>576657</v>
      </c>
      <c r="E278" s="430">
        <v>121556</v>
      </c>
      <c r="F278" s="428">
        <v>91356</v>
      </c>
      <c r="G278" s="299">
        <f t="shared" si="32"/>
        <v>789569</v>
      </c>
      <c r="H278" s="277">
        <f t="shared" si="33"/>
        <v>632965.9622535212</v>
      </c>
      <c r="I278" s="10">
        <f t="shared" si="34"/>
        <v>156603.0377464788</v>
      </c>
      <c r="J278" s="296">
        <f t="shared" si="35"/>
        <v>-116467.95495784891</v>
      </c>
      <c r="K278" s="432">
        <v>9004</v>
      </c>
      <c r="L278" s="10">
        <f t="shared" si="36"/>
        <v>79120.74528169015</v>
      </c>
      <c r="M278" s="14">
        <f t="shared" si="37"/>
        <v>0</v>
      </c>
      <c r="N278" s="2">
        <f t="shared" si="38"/>
        <v>0</v>
      </c>
      <c r="O278" s="135">
        <f t="shared" si="39"/>
        <v>-116467.95495784891</v>
      </c>
      <c r="P278" s="33">
        <f>O278/'D) Ecrêtage'!C278</f>
        <v>-1.472028031879542</v>
      </c>
      <c r="Q278" s="131"/>
    </row>
    <row r="279" spans="1:17" x14ac:dyDescent="0.25">
      <c r="A279" s="49">
        <f>+'A) Base RI'!A281</f>
        <v>5886</v>
      </c>
      <c r="B279" s="427" t="str">
        <f>+'A) Base RI'!B281</f>
        <v>Montreux</v>
      </c>
      <c r="C279" s="299">
        <f>+'D) Ecrêtage'!C279</f>
        <v>1142059.586051282</v>
      </c>
      <c r="D279" s="428">
        <v>9152159</v>
      </c>
      <c r="E279" s="430">
        <v>6411738</v>
      </c>
      <c r="F279" s="428">
        <v>233859</v>
      </c>
      <c r="G279" s="299">
        <f t="shared" si="32"/>
        <v>15797756</v>
      </c>
      <c r="H279" s="277">
        <f t="shared" si="33"/>
        <v>9136476.6884102561</v>
      </c>
      <c r="I279" s="10">
        <f t="shared" si="34"/>
        <v>6661279.3115897439</v>
      </c>
      <c r="J279" s="296">
        <f t="shared" si="35"/>
        <v>-4954090.2270353911</v>
      </c>
      <c r="K279" s="432">
        <v>1622474</v>
      </c>
      <c r="L279" s="10">
        <f t="shared" si="36"/>
        <v>1142059.586051282</v>
      </c>
      <c r="M279" s="14">
        <f t="shared" si="37"/>
        <v>480414.41394871799</v>
      </c>
      <c r="N279" s="2">
        <f t="shared" si="38"/>
        <v>-357291.18112933135</v>
      </c>
      <c r="O279" s="135">
        <f t="shared" si="39"/>
        <v>-5311381.4081647228</v>
      </c>
      <c r="P279" s="33">
        <f>O279/'D) Ecrêtage'!C279</f>
        <v>-4.6507042828903895</v>
      </c>
      <c r="Q279" s="131"/>
    </row>
    <row r="280" spans="1:17" x14ac:dyDescent="0.25">
      <c r="A280" s="49">
        <f>+'A) Base RI'!A282</f>
        <v>5888</v>
      </c>
      <c r="B280" s="427" t="str">
        <f>+'A) Base RI'!B282</f>
        <v>Saint-Légier-La Chiésaz</v>
      </c>
      <c r="C280" s="299">
        <f>+'D) Ecrêtage'!C280</f>
        <v>338249.0701666667</v>
      </c>
      <c r="D280" s="428">
        <v>1563612</v>
      </c>
      <c r="E280" s="430">
        <v>817825</v>
      </c>
      <c r="F280" s="428">
        <v>346708</v>
      </c>
      <c r="G280" s="299">
        <f t="shared" si="32"/>
        <v>2728145</v>
      </c>
      <c r="H280" s="277">
        <f t="shared" si="33"/>
        <v>2705992.5613333336</v>
      </c>
      <c r="I280" s="10">
        <f t="shared" si="34"/>
        <v>22152.438666666392</v>
      </c>
      <c r="J280" s="296">
        <f t="shared" si="35"/>
        <v>-16475.090559945565</v>
      </c>
      <c r="K280" s="432">
        <v>596765</v>
      </c>
      <c r="L280" s="10">
        <f t="shared" si="36"/>
        <v>338249.0701666667</v>
      </c>
      <c r="M280" s="14">
        <f t="shared" si="37"/>
        <v>258515.9298333333</v>
      </c>
      <c r="N280" s="2">
        <f t="shared" si="38"/>
        <v>-192262.05382080519</v>
      </c>
      <c r="O280" s="135">
        <f t="shared" si="39"/>
        <v>-208737.14438075075</v>
      </c>
      <c r="P280" s="33">
        <f>O280/'D) Ecrêtage'!C280</f>
        <v>-0.61711077070485054</v>
      </c>
      <c r="Q280" s="131"/>
    </row>
    <row r="281" spans="1:17" x14ac:dyDescent="0.25">
      <c r="A281" s="49">
        <f>+'A) Base RI'!A283</f>
        <v>5889</v>
      </c>
      <c r="B281" s="427" t="str">
        <f>+'A) Base RI'!B283</f>
        <v>La Tour-de-Peilz</v>
      </c>
      <c r="C281" s="299">
        <f>+'D) Ecrêtage'!C281</f>
        <v>693156.74124999996</v>
      </c>
      <c r="D281" s="428">
        <v>2326382</v>
      </c>
      <c r="E281" s="430">
        <v>2508737</v>
      </c>
      <c r="F281" s="428">
        <v>6166</v>
      </c>
      <c r="G281" s="299">
        <f t="shared" si="32"/>
        <v>4841285</v>
      </c>
      <c r="H281" s="277">
        <f t="shared" si="33"/>
        <v>5545253.9299999997</v>
      </c>
      <c r="I281" s="10">
        <f t="shared" si="34"/>
        <v>0</v>
      </c>
      <c r="J281" s="296">
        <f t="shared" si="35"/>
        <v>0</v>
      </c>
      <c r="K281" s="432">
        <v>46469</v>
      </c>
      <c r="L281" s="10">
        <f t="shared" si="36"/>
        <v>693156.74124999996</v>
      </c>
      <c r="M281" s="14">
        <f t="shared" si="37"/>
        <v>0</v>
      </c>
      <c r="N281" s="2">
        <f t="shared" si="38"/>
        <v>0</v>
      </c>
      <c r="O281" s="135">
        <f t="shared" si="39"/>
        <v>0</v>
      </c>
      <c r="P281" s="33">
        <f>O281/'D) Ecrêtage'!C281</f>
        <v>0</v>
      </c>
      <c r="Q281" s="131"/>
    </row>
    <row r="282" spans="1:17" x14ac:dyDescent="0.25">
      <c r="A282" s="49">
        <f>+'A) Base RI'!A284</f>
        <v>5890</v>
      </c>
      <c r="B282" s="427" t="str">
        <f>+'A) Base RI'!B284</f>
        <v>Vevey</v>
      </c>
      <c r="C282" s="299">
        <f>+'D) Ecrêtage'!C282</f>
        <v>976839.63723684219</v>
      </c>
      <c r="D282" s="428">
        <v>6577883</v>
      </c>
      <c r="E282" s="430">
        <v>4555153</v>
      </c>
      <c r="F282" s="428">
        <v>349821</v>
      </c>
      <c r="G282" s="299">
        <f t="shared" si="32"/>
        <v>11482857</v>
      </c>
      <c r="H282" s="277">
        <f t="shared" si="33"/>
        <v>7814717.0978947375</v>
      </c>
      <c r="I282" s="10">
        <f t="shared" si="34"/>
        <v>3668139.9021052625</v>
      </c>
      <c r="J282" s="296">
        <f t="shared" si="35"/>
        <v>-2728048.951317932</v>
      </c>
      <c r="K282" s="432">
        <v>100000</v>
      </c>
      <c r="L282" s="10">
        <f t="shared" si="36"/>
        <v>976839.63723684219</v>
      </c>
      <c r="M282" s="14">
        <f t="shared" si="37"/>
        <v>0</v>
      </c>
      <c r="N282" s="2">
        <f t="shared" si="38"/>
        <v>0</v>
      </c>
      <c r="O282" s="135">
        <f t="shared" si="39"/>
        <v>-2728048.951317932</v>
      </c>
      <c r="P282" s="33">
        <f>O282/'D) Ecrêtage'!C282</f>
        <v>-2.7927295815254638</v>
      </c>
      <c r="Q282" s="131"/>
    </row>
    <row r="283" spans="1:17" x14ac:dyDescent="0.25">
      <c r="A283" s="49">
        <f>+'A) Base RI'!A285</f>
        <v>5891</v>
      </c>
      <c r="B283" s="427" t="str">
        <f>+'A) Base RI'!B285</f>
        <v>Veytaux</v>
      </c>
      <c r="C283" s="299">
        <f>+'D) Ecrêtage'!C283</f>
        <v>37197.97126760563</v>
      </c>
      <c r="D283" s="428">
        <v>906421</v>
      </c>
      <c r="E283" s="430">
        <v>254089</v>
      </c>
      <c r="F283" s="428">
        <v>30000</v>
      </c>
      <c r="G283" s="299">
        <f t="shared" si="32"/>
        <v>1190510</v>
      </c>
      <c r="H283" s="277">
        <f t="shared" si="33"/>
        <v>297583.77014084504</v>
      </c>
      <c r="I283" s="10">
        <f t="shared" si="34"/>
        <v>892926.2298591549</v>
      </c>
      <c r="J283" s="296">
        <f t="shared" si="35"/>
        <v>-664082.2133238361</v>
      </c>
      <c r="K283" s="432">
        <v>328198</v>
      </c>
      <c r="L283" s="10">
        <f t="shared" si="36"/>
        <v>37197.97126760563</v>
      </c>
      <c r="M283" s="14">
        <f t="shared" si="37"/>
        <v>291000.02873239439</v>
      </c>
      <c r="N283" s="2">
        <f t="shared" si="38"/>
        <v>-216420.95023727795</v>
      </c>
      <c r="O283" s="135">
        <f t="shared" si="39"/>
        <v>-880503.16356111411</v>
      </c>
      <c r="P283" s="33">
        <f>O283/'D) Ecrêtage'!C283</f>
        <v>-23.670730783318618</v>
      </c>
      <c r="Q283" s="131"/>
    </row>
    <row r="284" spans="1:17" x14ac:dyDescent="0.25">
      <c r="A284" s="49">
        <f>+'A) Base RI'!A286</f>
        <v>5902</v>
      </c>
      <c r="B284" s="427" t="str">
        <f>+'A) Base RI'!B286</f>
        <v>Belmont-sur-Yverdon</v>
      </c>
      <c r="C284" s="299">
        <f>+'D) Ecrêtage'!C284</f>
        <v>10777.690131578949</v>
      </c>
      <c r="D284" s="428">
        <v>13650</v>
      </c>
      <c r="E284" s="430">
        <v>16207</v>
      </c>
      <c r="F284" s="428">
        <v>46232</v>
      </c>
      <c r="G284" s="299">
        <f t="shared" si="32"/>
        <v>76089</v>
      </c>
      <c r="H284" s="277">
        <f t="shared" si="33"/>
        <v>86221.521052631593</v>
      </c>
      <c r="I284" s="10">
        <f t="shared" si="34"/>
        <v>0</v>
      </c>
      <c r="J284" s="296">
        <f t="shared" si="35"/>
        <v>0</v>
      </c>
      <c r="K284" s="432">
        <v>23256</v>
      </c>
      <c r="L284" s="10">
        <f t="shared" si="36"/>
        <v>10777.690131578949</v>
      </c>
      <c r="M284" s="14">
        <f t="shared" si="37"/>
        <v>12478.309868421051</v>
      </c>
      <c r="N284" s="2">
        <f t="shared" si="38"/>
        <v>-9280.3003863698832</v>
      </c>
      <c r="O284" s="135">
        <f t="shared" si="39"/>
        <v>-9280.3003863698832</v>
      </c>
      <c r="P284" s="33">
        <f>O284/'D) Ecrêtage'!C284</f>
        <v>-0.86106580102709862</v>
      </c>
      <c r="Q284" s="131"/>
    </row>
    <row r="285" spans="1:17" x14ac:dyDescent="0.25">
      <c r="A285" s="49">
        <f>+'A) Base RI'!A287</f>
        <v>5903</v>
      </c>
      <c r="B285" s="427" t="str">
        <f>+'A) Base RI'!B287</f>
        <v>Bioley-Magnoux</v>
      </c>
      <c r="C285" s="299">
        <f>+'D) Ecrêtage'!C285</f>
        <v>6482.7722393822396</v>
      </c>
      <c r="D285" s="428">
        <v>249742</v>
      </c>
      <c r="E285" s="430">
        <v>9496</v>
      </c>
      <c r="F285" s="428">
        <v>19964</v>
      </c>
      <c r="G285" s="299">
        <f t="shared" si="32"/>
        <v>279202</v>
      </c>
      <c r="H285" s="277">
        <f t="shared" si="33"/>
        <v>51862.177915057917</v>
      </c>
      <c r="I285" s="10">
        <f t="shared" si="34"/>
        <v>227339.82208494208</v>
      </c>
      <c r="J285" s="296">
        <f t="shared" si="35"/>
        <v>-169075.92943106731</v>
      </c>
      <c r="K285" s="432">
        <v>60312</v>
      </c>
      <c r="L285" s="10">
        <f t="shared" si="36"/>
        <v>6482.7722393822396</v>
      </c>
      <c r="M285" s="14">
        <f t="shared" si="37"/>
        <v>53829.227760617759</v>
      </c>
      <c r="N285" s="2">
        <f t="shared" si="38"/>
        <v>-40033.578942375185</v>
      </c>
      <c r="O285" s="135">
        <f t="shared" si="39"/>
        <v>-209109.50837344251</v>
      </c>
      <c r="P285" s="33">
        <f>O285/'D) Ecrêtage'!C285</f>
        <v>-32.256186188853228</v>
      </c>
      <c r="Q285" s="131"/>
    </row>
    <row r="286" spans="1:17" x14ac:dyDescent="0.25">
      <c r="A286" s="49">
        <f>+'A) Base RI'!A288</f>
        <v>5904</v>
      </c>
      <c r="B286" s="427" t="str">
        <f>+'A) Base RI'!B288</f>
        <v>Chamblon</v>
      </c>
      <c r="C286" s="299">
        <f>+'D) Ecrêtage'!C286</f>
        <v>21977.410303030305</v>
      </c>
      <c r="D286" s="428">
        <v>54539</v>
      </c>
      <c r="E286" s="430">
        <v>22875</v>
      </c>
      <c r="F286" s="428">
        <v>15744</v>
      </c>
      <c r="G286" s="299">
        <f t="shared" si="32"/>
        <v>93158</v>
      </c>
      <c r="H286" s="277">
        <f t="shared" si="33"/>
        <v>175819.28242424244</v>
      </c>
      <c r="I286" s="10">
        <f t="shared" si="34"/>
        <v>0</v>
      </c>
      <c r="J286" s="296">
        <f t="shared" si="35"/>
        <v>0</v>
      </c>
      <c r="K286" s="432">
        <v>602</v>
      </c>
      <c r="L286" s="10">
        <f t="shared" si="36"/>
        <v>21977.410303030305</v>
      </c>
      <c r="M286" s="14">
        <f t="shared" si="37"/>
        <v>0</v>
      </c>
      <c r="N286" s="2">
        <f t="shared" si="38"/>
        <v>0</v>
      </c>
      <c r="O286" s="135">
        <f t="shared" si="39"/>
        <v>0</v>
      </c>
      <c r="P286" s="33">
        <f>O286/'D) Ecrêtage'!C286</f>
        <v>0</v>
      </c>
      <c r="Q286" s="131"/>
    </row>
    <row r="287" spans="1:17" x14ac:dyDescent="0.25">
      <c r="A287" s="49">
        <f>+'A) Base RI'!A289</f>
        <v>5905</v>
      </c>
      <c r="B287" s="427" t="str">
        <f>+'A) Base RI'!B289</f>
        <v>Champvent</v>
      </c>
      <c r="C287" s="299">
        <f>+'D) Ecrêtage'!C287</f>
        <v>23661.341690140842</v>
      </c>
      <c r="D287" s="428">
        <v>63542</v>
      </c>
      <c r="E287" s="430">
        <v>72276</v>
      </c>
      <c r="F287" s="428">
        <v>26150.45</v>
      </c>
      <c r="G287" s="299">
        <f t="shared" si="32"/>
        <v>161968.45000000001</v>
      </c>
      <c r="H287" s="277">
        <f t="shared" si="33"/>
        <v>189290.73352112673</v>
      </c>
      <c r="I287" s="10">
        <f t="shared" si="34"/>
        <v>0</v>
      </c>
      <c r="J287" s="296">
        <f t="shared" si="35"/>
        <v>0</v>
      </c>
      <c r="K287" s="432">
        <v>64655</v>
      </c>
      <c r="L287" s="10">
        <f t="shared" si="36"/>
        <v>23661.341690140842</v>
      </c>
      <c r="M287" s="14">
        <f t="shared" si="37"/>
        <v>40993.658309859158</v>
      </c>
      <c r="N287" s="2">
        <f t="shared" si="38"/>
        <v>-30487.57941285515</v>
      </c>
      <c r="O287" s="135">
        <f t="shared" si="39"/>
        <v>-30487.57941285515</v>
      </c>
      <c r="P287" s="33">
        <f>O287/'D) Ecrêtage'!C287</f>
        <v>-1.2884974914824314</v>
      </c>
      <c r="Q287" s="131"/>
    </row>
    <row r="288" spans="1:17" x14ac:dyDescent="0.25">
      <c r="A288" s="49">
        <f>+'A) Base RI'!A290</f>
        <v>5907</v>
      </c>
      <c r="B288" s="427" t="str">
        <f>+'A) Base RI'!B290</f>
        <v>Chavannes-le-Chêne</v>
      </c>
      <c r="C288" s="299">
        <f>+'D) Ecrêtage'!C288</f>
        <v>9481.5466666666634</v>
      </c>
      <c r="D288" s="428">
        <v>144362</v>
      </c>
      <c r="E288" s="430">
        <v>12999</v>
      </c>
      <c r="F288" s="428">
        <v>27400</v>
      </c>
      <c r="G288" s="299">
        <f t="shared" si="32"/>
        <v>184761</v>
      </c>
      <c r="H288" s="277">
        <f t="shared" si="33"/>
        <v>75852.373333333308</v>
      </c>
      <c r="I288" s="10">
        <f t="shared" si="34"/>
        <v>108908.62666666669</v>
      </c>
      <c r="J288" s="296">
        <f t="shared" si="35"/>
        <v>-80996.928333337681</v>
      </c>
      <c r="K288" s="432">
        <v>7130</v>
      </c>
      <c r="L288" s="10">
        <f t="shared" si="36"/>
        <v>9481.5466666666634</v>
      </c>
      <c r="M288" s="14">
        <f t="shared" si="37"/>
        <v>0</v>
      </c>
      <c r="N288" s="2">
        <f t="shared" si="38"/>
        <v>0</v>
      </c>
      <c r="O288" s="135">
        <f t="shared" si="39"/>
        <v>-80996.928333337681</v>
      </c>
      <c r="P288" s="33">
        <f>O288/'D) Ecrêtage'!C288</f>
        <v>-8.5425860548775834</v>
      </c>
      <c r="Q288" s="131"/>
    </row>
    <row r="289" spans="1:17" x14ac:dyDescent="0.25">
      <c r="A289" s="49">
        <f>+'A) Base RI'!A291</f>
        <v>5908</v>
      </c>
      <c r="B289" s="427" t="str">
        <f>+'A) Base RI'!B291</f>
        <v>Chêne-Pâquier</v>
      </c>
      <c r="C289" s="299">
        <f>+'D) Ecrêtage'!C289</f>
        <v>3375.4056962025325</v>
      </c>
      <c r="D289" s="428">
        <v>31229</v>
      </c>
      <c r="E289" s="430">
        <v>5950</v>
      </c>
      <c r="F289" s="428">
        <v>12340</v>
      </c>
      <c r="G289" s="299">
        <f t="shared" si="32"/>
        <v>49519</v>
      </c>
      <c r="H289" s="277">
        <f t="shared" si="33"/>
        <v>27003.24556962026</v>
      </c>
      <c r="I289" s="10">
        <f t="shared" si="34"/>
        <v>22515.75443037974</v>
      </c>
      <c r="J289" s="296">
        <f t="shared" si="35"/>
        <v>-16745.293773194498</v>
      </c>
      <c r="K289" s="432">
        <v>13067</v>
      </c>
      <c r="L289" s="10">
        <f t="shared" si="36"/>
        <v>3375.4056962025325</v>
      </c>
      <c r="M289" s="14">
        <f t="shared" si="37"/>
        <v>9691.5943037974685</v>
      </c>
      <c r="N289" s="2">
        <f t="shared" si="38"/>
        <v>-7207.7795238669223</v>
      </c>
      <c r="O289" s="135">
        <f t="shared" si="39"/>
        <v>-23953.073297061419</v>
      </c>
      <c r="P289" s="33">
        <f>O289/'D) Ecrêtage'!C289</f>
        <v>-7.0963538765161154</v>
      </c>
      <c r="Q289" s="131"/>
    </row>
    <row r="290" spans="1:17" x14ac:dyDescent="0.25">
      <c r="A290" s="49">
        <f>+'A) Base RI'!A292</f>
        <v>5909</v>
      </c>
      <c r="B290" s="427" t="str">
        <f>+'A) Base RI'!B292</f>
        <v>Cheseaux-Noréaz</v>
      </c>
      <c r="C290" s="299">
        <f>+'D) Ecrêtage'!C290</f>
        <v>32349.342000000001</v>
      </c>
      <c r="D290" s="428">
        <v>207970</v>
      </c>
      <c r="E290" s="430">
        <v>161472</v>
      </c>
      <c r="F290" s="428">
        <v>36190</v>
      </c>
      <c r="G290" s="299">
        <f t="shared" si="32"/>
        <v>405632</v>
      </c>
      <c r="H290" s="277">
        <f t="shared" si="33"/>
        <v>258794.736</v>
      </c>
      <c r="I290" s="10">
        <f t="shared" si="34"/>
        <v>146837.264</v>
      </c>
      <c r="J290" s="296">
        <f t="shared" si="35"/>
        <v>-109205.0071044698</v>
      </c>
      <c r="K290" s="432">
        <v>-1110</v>
      </c>
      <c r="L290" s="10">
        <f t="shared" si="36"/>
        <v>32349.342000000001</v>
      </c>
      <c r="M290" s="14">
        <f t="shared" si="37"/>
        <v>0</v>
      </c>
      <c r="N290" s="2">
        <f t="shared" si="38"/>
        <v>0</v>
      </c>
      <c r="O290" s="135">
        <f t="shared" si="39"/>
        <v>-109205.0071044698</v>
      </c>
      <c r="P290" s="33">
        <f>O290/'D) Ecrêtage'!C290</f>
        <v>-3.3758030412015736</v>
      </c>
      <c r="Q290" s="131"/>
    </row>
    <row r="291" spans="1:17" x14ac:dyDescent="0.25">
      <c r="A291" s="49">
        <f>+'A) Base RI'!A293</f>
        <v>5910</v>
      </c>
      <c r="B291" s="427" t="str">
        <f>+'A) Base RI'!B293</f>
        <v>Cronay</v>
      </c>
      <c r="C291" s="299">
        <f>+'D) Ecrêtage'!C291</f>
        <v>10200.577848101264</v>
      </c>
      <c r="D291" s="428">
        <v>18777</v>
      </c>
      <c r="E291" s="430">
        <v>24373</v>
      </c>
      <c r="F291" s="428">
        <v>34615</v>
      </c>
      <c r="G291" s="299">
        <f t="shared" si="32"/>
        <v>77765</v>
      </c>
      <c r="H291" s="277">
        <f t="shared" si="33"/>
        <v>81604.622784810112</v>
      </c>
      <c r="I291" s="10">
        <f t="shared" si="34"/>
        <v>0</v>
      </c>
      <c r="J291" s="296">
        <f t="shared" si="35"/>
        <v>0</v>
      </c>
      <c r="K291" s="432">
        <v>11505</v>
      </c>
      <c r="L291" s="10">
        <f t="shared" si="36"/>
        <v>10200.577848101264</v>
      </c>
      <c r="M291" s="14">
        <f t="shared" si="37"/>
        <v>1304.422151898736</v>
      </c>
      <c r="N291" s="2">
        <f t="shared" si="38"/>
        <v>-970.11771048341825</v>
      </c>
      <c r="O291" s="135">
        <f t="shared" si="39"/>
        <v>-970.11771048341825</v>
      </c>
      <c r="P291" s="33">
        <f>O291/'D) Ecrêtage'!C291</f>
        <v>-9.5104191637927257E-2</v>
      </c>
      <c r="Q291" s="131"/>
    </row>
    <row r="292" spans="1:17" x14ac:dyDescent="0.25">
      <c r="A292" s="49">
        <f>+'A) Base RI'!A294</f>
        <v>5911</v>
      </c>
      <c r="B292" s="427" t="str">
        <f>+'A) Base RI'!B294</f>
        <v>Cuarny</v>
      </c>
      <c r="C292" s="299">
        <f>+'D) Ecrêtage'!C292</f>
        <v>7836.9853164556971</v>
      </c>
      <c r="D292" s="428">
        <v>13102</v>
      </c>
      <c r="E292" s="430">
        <v>10256</v>
      </c>
      <c r="F292" s="428">
        <v>18247</v>
      </c>
      <c r="G292" s="299">
        <f t="shared" si="32"/>
        <v>41605</v>
      </c>
      <c r="H292" s="277">
        <f t="shared" si="33"/>
        <v>62695.882531645577</v>
      </c>
      <c r="I292" s="10">
        <f t="shared" si="34"/>
        <v>0</v>
      </c>
      <c r="J292" s="296">
        <f t="shared" si="35"/>
        <v>0</v>
      </c>
      <c r="K292" s="432">
        <v>27337</v>
      </c>
      <c r="L292" s="10">
        <f t="shared" si="36"/>
        <v>7836.9853164556971</v>
      </c>
      <c r="M292" s="14">
        <f t="shared" si="37"/>
        <v>19500.014683544301</v>
      </c>
      <c r="N292" s="2">
        <f t="shared" si="38"/>
        <v>-14502.444298156637</v>
      </c>
      <c r="O292" s="135">
        <f t="shared" si="39"/>
        <v>-14502.444298156637</v>
      </c>
      <c r="P292" s="33">
        <f>O292/'D) Ecrêtage'!C292</f>
        <v>-1.8505131389879159</v>
      </c>
      <c r="Q292" s="131"/>
    </row>
    <row r="293" spans="1:17" x14ac:dyDescent="0.25">
      <c r="A293" s="49">
        <f>+'A) Base RI'!A295</f>
        <v>5912</v>
      </c>
      <c r="B293" s="427" t="str">
        <f>+'A) Base RI'!B295</f>
        <v>Démoret</v>
      </c>
      <c r="C293" s="299">
        <f>+'D) Ecrêtage'!C293</f>
        <v>3965.4814814814822</v>
      </c>
      <c r="D293" s="428">
        <v>11232</v>
      </c>
      <c r="E293" s="430">
        <v>5951</v>
      </c>
      <c r="F293" s="428">
        <v>10618</v>
      </c>
      <c r="G293" s="299">
        <f t="shared" si="32"/>
        <v>27801</v>
      </c>
      <c r="H293" s="277">
        <f t="shared" si="33"/>
        <v>31723.851851851858</v>
      </c>
      <c r="I293" s="10">
        <f t="shared" si="34"/>
        <v>0</v>
      </c>
      <c r="J293" s="296">
        <f t="shared" si="35"/>
        <v>0</v>
      </c>
      <c r="K293" s="432">
        <v>27059</v>
      </c>
      <c r="L293" s="10">
        <f t="shared" si="36"/>
        <v>3965.4814814814822</v>
      </c>
      <c r="M293" s="14">
        <f t="shared" si="37"/>
        <v>23093.518518518518</v>
      </c>
      <c r="N293" s="2">
        <f t="shared" si="38"/>
        <v>-17174.985321723372</v>
      </c>
      <c r="O293" s="135">
        <f t="shared" si="39"/>
        <v>-17174.985321723372</v>
      </c>
      <c r="P293" s="33">
        <f>O293/'D) Ecrêtage'!C293</f>
        <v>-4.3311223118628437</v>
      </c>
      <c r="Q293" s="131"/>
    </row>
    <row r="294" spans="1:17" x14ac:dyDescent="0.25">
      <c r="A294" s="49">
        <f>+'A) Base RI'!A296</f>
        <v>5913</v>
      </c>
      <c r="B294" s="427" t="str">
        <f>+'A) Base RI'!B296</f>
        <v>Donneloye</v>
      </c>
      <c r="C294" s="299">
        <f>+'D) Ecrêtage'!C294</f>
        <v>21603.148082191776</v>
      </c>
      <c r="D294" s="428">
        <v>98961</v>
      </c>
      <c r="E294" s="430">
        <v>51215</v>
      </c>
      <c r="F294" s="428">
        <v>70836</v>
      </c>
      <c r="G294" s="299">
        <f t="shared" si="32"/>
        <v>221012</v>
      </c>
      <c r="H294" s="277">
        <f t="shared" si="33"/>
        <v>172825.18465753421</v>
      </c>
      <c r="I294" s="10">
        <f t="shared" si="34"/>
        <v>48186.815342465794</v>
      </c>
      <c r="J294" s="296">
        <f t="shared" si="35"/>
        <v>-35837.23483036126</v>
      </c>
      <c r="K294" s="432">
        <v>47763</v>
      </c>
      <c r="L294" s="10">
        <f t="shared" si="36"/>
        <v>21603.148082191776</v>
      </c>
      <c r="M294" s="14">
        <f t="shared" si="37"/>
        <v>26159.851917808224</v>
      </c>
      <c r="N294" s="2">
        <f t="shared" si="38"/>
        <v>-19455.462031328268</v>
      </c>
      <c r="O294" s="135">
        <f t="shared" si="39"/>
        <v>-55292.696861689532</v>
      </c>
      <c r="P294" s="33">
        <f>O294/'D) Ecrêtage'!C294</f>
        <v>-2.5594740475472286</v>
      </c>
      <c r="Q294" s="131"/>
    </row>
    <row r="295" spans="1:17" x14ac:dyDescent="0.25">
      <c r="A295" s="49">
        <f>+'A) Base RI'!A297</f>
        <v>5914</v>
      </c>
      <c r="B295" s="427" t="str">
        <f>+'A) Base RI'!B297</f>
        <v>Ependes</v>
      </c>
      <c r="C295" s="299">
        <f>+'D) Ecrêtage'!C295</f>
        <v>10115.447866666666</v>
      </c>
      <c r="D295" s="428">
        <v>54044</v>
      </c>
      <c r="E295" s="430">
        <v>37985</v>
      </c>
      <c r="F295" s="428">
        <v>45889</v>
      </c>
      <c r="G295" s="299">
        <f t="shared" si="32"/>
        <v>137918</v>
      </c>
      <c r="H295" s="277">
        <f t="shared" si="33"/>
        <v>80923.582933333324</v>
      </c>
      <c r="I295" s="10">
        <f t="shared" si="34"/>
        <v>56994.417066666676</v>
      </c>
      <c r="J295" s="296">
        <f t="shared" si="35"/>
        <v>-42387.576226430159</v>
      </c>
      <c r="K295" s="432">
        <v>16155</v>
      </c>
      <c r="L295" s="10">
        <f t="shared" si="36"/>
        <v>10115.447866666666</v>
      </c>
      <c r="M295" s="14">
        <f t="shared" si="37"/>
        <v>6039.5521333333345</v>
      </c>
      <c r="N295" s="2">
        <f t="shared" si="38"/>
        <v>-4491.7026895058634</v>
      </c>
      <c r="O295" s="135">
        <f t="shared" si="39"/>
        <v>-46879.278915936025</v>
      </c>
      <c r="P295" s="33">
        <f>O295/'D) Ecrêtage'!C295</f>
        <v>-4.6344244499956195</v>
      </c>
      <c r="Q295" s="131"/>
    </row>
    <row r="296" spans="1:17" x14ac:dyDescent="0.25">
      <c r="A296" s="49">
        <f>+'A) Base RI'!A298</f>
        <v>5919</v>
      </c>
      <c r="B296" s="427" t="str">
        <f>+'A) Base RI'!B298</f>
        <v>Mathod</v>
      </c>
      <c r="C296" s="299">
        <f>+'D) Ecrêtage'!C296</f>
        <v>17475.442962962959</v>
      </c>
      <c r="D296" s="428">
        <v>200587</v>
      </c>
      <c r="E296" s="430">
        <v>38681</v>
      </c>
      <c r="F296" s="428">
        <v>22594</v>
      </c>
      <c r="G296" s="299">
        <f t="shared" si="32"/>
        <v>261862</v>
      </c>
      <c r="H296" s="277">
        <f t="shared" si="33"/>
        <v>139803.54370370368</v>
      </c>
      <c r="I296" s="10">
        <f t="shared" si="34"/>
        <v>122058.45629629632</v>
      </c>
      <c r="J296" s="296">
        <f t="shared" si="35"/>
        <v>-90776.647724774113</v>
      </c>
      <c r="K296" s="432">
        <v>10920</v>
      </c>
      <c r="L296" s="10">
        <f t="shared" si="36"/>
        <v>17475.442962962959</v>
      </c>
      <c r="M296" s="14">
        <f t="shared" si="37"/>
        <v>0</v>
      </c>
      <c r="N296" s="2">
        <f t="shared" si="38"/>
        <v>0</v>
      </c>
      <c r="O296" s="135">
        <f t="shared" si="39"/>
        <v>-90776.647724774113</v>
      </c>
      <c r="P296" s="33">
        <f>O296/'D) Ecrêtage'!C296</f>
        <v>-5.194526279944033</v>
      </c>
      <c r="Q296" s="131"/>
    </row>
    <row r="297" spans="1:17" x14ac:dyDescent="0.25">
      <c r="A297" s="49">
        <f>+'A) Base RI'!A299</f>
        <v>5921</v>
      </c>
      <c r="B297" s="427" t="str">
        <f>+'A) Base RI'!B299</f>
        <v>Molondin</v>
      </c>
      <c r="C297" s="299">
        <f>+'D) Ecrêtage'!C297</f>
        <v>5665.6146913580242</v>
      </c>
      <c r="D297" s="428">
        <v>16156</v>
      </c>
      <c r="E297" s="430">
        <v>9918</v>
      </c>
      <c r="F297" s="428">
        <v>17938</v>
      </c>
      <c r="G297" s="299">
        <f t="shared" si="32"/>
        <v>44012</v>
      </c>
      <c r="H297" s="277">
        <f t="shared" si="33"/>
        <v>45324.917530864193</v>
      </c>
      <c r="I297" s="10">
        <f t="shared" si="34"/>
        <v>0</v>
      </c>
      <c r="J297" s="296">
        <f t="shared" si="35"/>
        <v>0</v>
      </c>
      <c r="K297" s="432">
        <v>55404</v>
      </c>
      <c r="L297" s="10">
        <f t="shared" si="36"/>
        <v>5665.6146913580242</v>
      </c>
      <c r="M297" s="14">
        <f t="shared" si="37"/>
        <v>49738.385308641977</v>
      </c>
      <c r="N297" s="2">
        <f t="shared" si="38"/>
        <v>-36991.159961922902</v>
      </c>
      <c r="O297" s="135">
        <f t="shared" si="39"/>
        <v>-36991.159961922902</v>
      </c>
      <c r="P297" s="33">
        <f>O297/'D) Ecrêtage'!C297</f>
        <v>-6.529063831034418</v>
      </c>
      <c r="Q297" s="131"/>
    </row>
    <row r="298" spans="1:17" x14ac:dyDescent="0.25">
      <c r="A298" s="49">
        <f>+'A) Base RI'!A300</f>
        <v>5922</v>
      </c>
      <c r="B298" s="427" t="str">
        <f>+'A) Base RI'!B300</f>
        <v>Montagny-près-Yverdon</v>
      </c>
      <c r="C298" s="299">
        <f>+'D) Ecrêtage'!C298</f>
        <v>37619.371576923077</v>
      </c>
      <c r="D298" s="428">
        <v>147492</v>
      </c>
      <c r="E298" s="430">
        <v>324967</v>
      </c>
      <c r="F298" s="428">
        <v>99148</v>
      </c>
      <c r="G298" s="299">
        <f t="shared" si="32"/>
        <v>571607</v>
      </c>
      <c r="H298" s="277">
        <f t="shared" si="33"/>
        <v>300954.97261538461</v>
      </c>
      <c r="I298" s="10">
        <f t="shared" si="34"/>
        <v>270652.02738461539</v>
      </c>
      <c r="J298" s="296">
        <f t="shared" si="35"/>
        <v>-201287.84593382289</v>
      </c>
      <c r="K298" s="432">
        <v>1159</v>
      </c>
      <c r="L298" s="10">
        <f t="shared" si="36"/>
        <v>37619.371576923077</v>
      </c>
      <c r="M298" s="14">
        <f t="shared" si="37"/>
        <v>0</v>
      </c>
      <c r="N298" s="2">
        <f t="shared" si="38"/>
        <v>0</v>
      </c>
      <c r="O298" s="135">
        <f t="shared" si="39"/>
        <v>-201287.84593382289</v>
      </c>
      <c r="P298" s="33">
        <f>O298/'D) Ecrêtage'!C298</f>
        <v>-5.3506434981837732</v>
      </c>
      <c r="Q298" s="131"/>
    </row>
    <row r="299" spans="1:17" x14ac:dyDescent="0.25">
      <c r="A299" s="49">
        <f>+'A) Base RI'!A301</f>
        <v>5923</v>
      </c>
      <c r="B299" s="427" t="str">
        <f>+'A) Base RI'!B301</f>
        <v>Oppens</v>
      </c>
      <c r="C299" s="299">
        <f>+'D) Ecrêtage'!C299</f>
        <v>5399.502592592592</v>
      </c>
      <c r="D299" s="428">
        <v>40008</v>
      </c>
      <c r="E299" s="430">
        <v>8272</v>
      </c>
      <c r="F299" s="428">
        <v>17162</v>
      </c>
      <c r="G299" s="299">
        <f t="shared" si="32"/>
        <v>65442</v>
      </c>
      <c r="H299" s="277">
        <f t="shared" si="33"/>
        <v>43196.020740740736</v>
      </c>
      <c r="I299" s="10">
        <f t="shared" si="34"/>
        <v>22245.979259259264</v>
      </c>
      <c r="J299" s="296">
        <f t="shared" si="35"/>
        <v>-16544.658058006964</v>
      </c>
      <c r="K299" s="432">
        <v>24423</v>
      </c>
      <c r="L299" s="10">
        <f t="shared" si="36"/>
        <v>5399.502592592592</v>
      </c>
      <c r="M299" s="14">
        <f t="shared" si="37"/>
        <v>19023.497407407409</v>
      </c>
      <c r="N299" s="2">
        <f t="shared" si="38"/>
        <v>-14148.051475051925</v>
      </c>
      <c r="O299" s="135">
        <f t="shared" si="39"/>
        <v>-30692.709533058889</v>
      </c>
      <c r="P299" s="33">
        <f>O299/'D) Ecrêtage'!C299</f>
        <v>-5.684358699107813</v>
      </c>
      <c r="Q299" s="131"/>
    </row>
    <row r="300" spans="1:17" x14ac:dyDescent="0.25">
      <c r="A300" s="49">
        <f>+'A) Base RI'!A302</f>
        <v>5924</v>
      </c>
      <c r="B300" s="427" t="str">
        <f>+'A) Base RI'!B302</f>
        <v>Orges</v>
      </c>
      <c r="C300" s="299">
        <f>+'D) Ecrêtage'!C300</f>
        <v>11911.353243243244</v>
      </c>
      <c r="D300" s="428">
        <v>17803</v>
      </c>
      <c r="E300" s="430">
        <v>14012</v>
      </c>
      <c r="F300" s="428">
        <v>23318</v>
      </c>
      <c r="G300" s="299">
        <f t="shared" si="32"/>
        <v>55133</v>
      </c>
      <c r="H300" s="277">
        <f t="shared" si="33"/>
        <v>95290.825945945951</v>
      </c>
      <c r="I300" s="10">
        <f t="shared" si="34"/>
        <v>0</v>
      </c>
      <c r="J300" s="296">
        <f t="shared" si="35"/>
        <v>0</v>
      </c>
      <c r="K300" s="432">
        <v>6057</v>
      </c>
      <c r="L300" s="10">
        <f t="shared" si="36"/>
        <v>11911.353243243244</v>
      </c>
      <c r="M300" s="14">
        <f t="shared" si="37"/>
        <v>0</v>
      </c>
      <c r="N300" s="2">
        <f t="shared" si="38"/>
        <v>0</v>
      </c>
      <c r="O300" s="135">
        <f t="shared" si="39"/>
        <v>0</v>
      </c>
      <c r="P300" s="33">
        <f>O300/'D) Ecrêtage'!C300</f>
        <v>0</v>
      </c>
      <c r="Q300" s="131"/>
    </row>
    <row r="301" spans="1:17" x14ac:dyDescent="0.25">
      <c r="A301" s="49">
        <f>+'A) Base RI'!A303</f>
        <v>5925</v>
      </c>
      <c r="B301" s="427" t="str">
        <f>+'A) Base RI'!B303</f>
        <v>Orzens</v>
      </c>
      <c r="C301" s="299">
        <f>+'D) Ecrêtage'!C301</f>
        <v>5348.3883544303808</v>
      </c>
      <c r="D301" s="428">
        <v>64771</v>
      </c>
      <c r="E301" s="430">
        <v>8272</v>
      </c>
      <c r="F301" s="428">
        <v>17162</v>
      </c>
      <c r="G301" s="299">
        <f t="shared" si="32"/>
        <v>90205</v>
      </c>
      <c r="H301" s="277">
        <f t="shared" si="33"/>
        <v>42787.106835443046</v>
      </c>
      <c r="I301" s="10">
        <f t="shared" si="34"/>
        <v>47417.893164556954</v>
      </c>
      <c r="J301" s="296">
        <f t="shared" si="35"/>
        <v>-35265.376232523864</v>
      </c>
      <c r="K301" s="432">
        <v>15928</v>
      </c>
      <c r="L301" s="10">
        <f t="shared" si="36"/>
        <v>5348.3883544303808</v>
      </c>
      <c r="M301" s="14">
        <f t="shared" si="37"/>
        <v>10579.611645569619</v>
      </c>
      <c r="N301" s="2">
        <f t="shared" si="38"/>
        <v>-7868.2109257835373</v>
      </c>
      <c r="O301" s="135">
        <f t="shared" si="39"/>
        <v>-43133.587158307404</v>
      </c>
      <c r="P301" s="33">
        <f>O301/'D) Ecrêtage'!C301</f>
        <v>-8.06478219229861</v>
      </c>
      <c r="Q301" s="131"/>
    </row>
    <row r="302" spans="1:17" x14ac:dyDescent="0.25">
      <c r="A302" s="49">
        <f>+'A) Base RI'!A304</f>
        <v>5926</v>
      </c>
      <c r="B302" s="427" t="str">
        <f>+'A) Base RI'!B304</f>
        <v>Pomy</v>
      </c>
      <c r="C302" s="299">
        <f>+'D) Ecrêtage'!C302</f>
        <v>27563.954929577467</v>
      </c>
      <c r="D302" s="428">
        <v>116727</v>
      </c>
      <c r="E302" s="430">
        <v>49379</v>
      </c>
      <c r="F302" s="428">
        <v>75798</v>
      </c>
      <c r="G302" s="299">
        <f t="shared" si="32"/>
        <v>241904</v>
      </c>
      <c r="H302" s="277">
        <f t="shared" si="33"/>
        <v>220511.63943661973</v>
      </c>
      <c r="I302" s="10">
        <f t="shared" si="34"/>
        <v>21392.360563380265</v>
      </c>
      <c r="J302" s="296">
        <f t="shared" si="35"/>
        <v>-15909.809428928895</v>
      </c>
      <c r="K302" s="432">
        <v>52311</v>
      </c>
      <c r="L302" s="10">
        <f t="shared" si="36"/>
        <v>27563.954929577467</v>
      </c>
      <c r="M302" s="14">
        <f t="shared" si="37"/>
        <v>24747.045070422533</v>
      </c>
      <c r="N302" s="2">
        <f t="shared" si="38"/>
        <v>-18404.737047743733</v>
      </c>
      <c r="O302" s="135">
        <f t="shared" si="39"/>
        <v>-34314.546476672629</v>
      </c>
      <c r="P302" s="33">
        <f>O302/'D) Ecrêtage'!C302</f>
        <v>-1.2449064934383363</v>
      </c>
      <c r="Q302" s="131"/>
    </row>
    <row r="303" spans="1:17" x14ac:dyDescent="0.25">
      <c r="A303" s="49">
        <f>+'A) Base RI'!A305</f>
        <v>5928</v>
      </c>
      <c r="B303" s="427" t="str">
        <f>+'A) Base RI'!B305</f>
        <v>Rovray</v>
      </c>
      <c r="C303" s="299">
        <f>+'D) Ecrêtage'!C303</f>
        <v>6002.0193150684927</v>
      </c>
      <c r="D303" s="428">
        <v>25523</v>
      </c>
      <c r="E303" s="430">
        <v>7597</v>
      </c>
      <c r="F303" s="428">
        <v>18131</v>
      </c>
      <c r="G303" s="299">
        <f t="shared" si="32"/>
        <v>51251</v>
      </c>
      <c r="H303" s="277">
        <f t="shared" si="33"/>
        <v>48016.154520547942</v>
      </c>
      <c r="I303" s="10">
        <f t="shared" si="34"/>
        <v>3234.8454794520585</v>
      </c>
      <c r="J303" s="296">
        <f t="shared" si="35"/>
        <v>-2405.8015924719493</v>
      </c>
      <c r="K303" s="432">
        <v>1896</v>
      </c>
      <c r="L303" s="10">
        <f t="shared" si="36"/>
        <v>6002.0193150684927</v>
      </c>
      <c r="M303" s="14">
        <f t="shared" si="37"/>
        <v>0</v>
      </c>
      <c r="N303" s="2">
        <f t="shared" si="38"/>
        <v>0</v>
      </c>
      <c r="O303" s="135">
        <f t="shared" si="39"/>
        <v>-2405.8015924719493</v>
      </c>
      <c r="P303" s="33">
        <f>O303/'D) Ecrêtage'!C303</f>
        <v>-0.40083203105195192</v>
      </c>
      <c r="Q303" s="131"/>
    </row>
    <row r="304" spans="1:17" x14ac:dyDescent="0.25">
      <c r="A304" s="49">
        <f>+'A) Base RI'!A306</f>
        <v>5929</v>
      </c>
      <c r="B304" s="427" t="str">
        <f>+'A) Base RI'!B306</f>
        <v>Suchy</v>
      </c>
      <c r="C304" s="299">
        <f>+'D) Ecrêtage'!C304</f>
        <v>17258.460214285715</v>
      </c>
      <c r="D304" s="428">
        <v>40895</v>
      </c>
      <c r="E304" s="430">
        <v>25281</v>
      </c>
      <c r="F304" s="428">
        <v>87203</v>
      </c>
      <c r="G304" s="299">
        <f t="shared" si="32"/>
        <v>153379</v>
      </c>
      <c r="H304" s="277">
        <f t="shared" si="33"/>
        <v>138067.68171428572</v>
      </c>
      <c r="I304" s="10">
        <f t="shared" si="34"/>
        <v>15311.318285714282</v>
      </c>
      <c r="J304" s="296">
        <f t="shared" si="35"/>
        <v>-11387.249916139996</v>
      </c>
      <c r="K304" s="432">
        <v>37695</v>
      </c>
      <c r="L304" s="10">
        <f t="shared" si="36"/>
        <v>17258.460214285715</v>
      </c>
      <c r="M304" s="14">
        <f t="shared" si="37"/>
        <v>20436.539785714285</v>
      </c>
      <c r="N304" s="2">
        <f t="shared" si="38"/>
        <v>-15198.951626405325</v>
      </c>
      <c r="O304" s="135">
        <f t="shared" si="39"/>
        <v>-26586.201542545321</v>
      </c>
      <c r="P304" s="33">
        <f>O304/'D) Ecrêtage'!C304</f>
        <v>-1.5404735539812848</v>
      </c>
      <c r="Q304" s="131"/>
    </row>
    <row r="305" spans="1:17" x14ac:dyDescent="0.25">
      <c r="A305" s="49">
        <f>+'A) Base RI'!A307</f>
        <v>5930</v>
      </c>
      <c r="B305" s="427" t="str">
        <f>+'A) Base RI'!B307</f>
        <v>Suscévaz</v>
      </c>
      <c r="C305" s="299">
        <f>+'D) Ecrêtage'!C305</f>
        <v>5852.6869444444428</v>
      </c>
      <c r="D305" s="428">
        <v>70236</v>
      </c>
      <c r="E305" s="430">
        <v>13485</v>
      </c>
      <c r="F305" s="428">
        <v>8699</v>
      </c>
      <c r="G305" s="299">
        <f t="shared" si="32"/>
        <v>92420</v>
      </c>
      <c r="H305" s="277">
        <f t="shared" si="33"/>
        <v>46821.495555555543</v>
      </c>
      <c r="I305" s="10">
        <f t="shared" si="34"/>
        <v>45598.504444444457</v>
      </c>
      <c r="J305" s="296">
        <f t="shared" si="35"/>
        <v>-33912.270401665577</v>
      </c>
      <c r="K305" s="432">
        <v>1283</v>
      </c>
      <c r="L305" s="10">
        <f t="shared" si="36"/>
        <v>5852.6869444444428</v>
      </c>
      <c r="M305" s="14">
        <f t="shared" si="37"/>
        <v>0</v>
      </c>
      <c r="N305" s="2">
        <f t="shared" si="38"/>
        <v>0</v>
      </c>
      <c r="O305" s="135">
        <f t="shared" si="39"/>
        <v>-33912.270401665577</v>
      </c>
      <c r="P305" s="33">
        <f>O305/'D) Ecrêtage'!C305</f>
        <v>-5.7943079347266622</v>
      </c>
      <c r="Q305" s="131"/>
    </row>
    <row r="306" spans="1:17" x14ac:dyDescent="0.25">
      <c r="A306" s="49">
        <f>+'A) Base RI'!A308</f>
        <v>5931</v>
      </c>
      <c r="B306" s="427" t="str">
        <f>+'A) Base RI'!B308</f>
        <v>Treycovagnes</v>
      </c>
      <c r="C306" s="299">
        <f>+'D) Ecrêtage'!C306</f>
        <v>12202.115733333332</v>
      </c>
      <c r="D306" s="428">
        <v>59426</v>
      </c>
      <c r="E306" s="430">
        <v>30388</v>
      </c>
      <c r="F306" s="428">
        <v>16844</v>
      </c>
      <c r="G306" s="299">
        <f t="shared" si="32"/>
        <v>106658</v>
      </c>
      <c r="H306" s="277">
        <f t="shared" si="33"/>
        <v>97616.925866666657</v>
      </c>
      <c r="I306" s="10">
        <f t="shared" si="34"/>
        <v>9041.0741333333426</v>
      </c>
      <c r="J306" s="296">
        <f t="shared" si="35"/>
        <v>-6723.9782196071556</v>
      </c>
      <c r="K306" s="432">
        <v>917</v>
      </c>
      <c r="L306" s="10">
        <f t="shared" si="36"/>
        <v>12202.115733333332</v>
      </c>
      <c r="M306" s="14">
        <f t="shared" si="37"/>
        <v>0</v>
      </c>
      <c r="N306" s="2">
        <f t="shared" si="38"/>
        <v>0</v>
      </c>
      <c r="O306" s="135">
        <f t="shared" si="39"/>
        <v>-6723.9782196071556</v>
      </c>
      <c r="P306" s="33">
        <f>O306/'D) Ecrêtage'!C306</f>
        <v>-0.55105019215961182</v>
      </c>
      <c r="Q306" s="131"/>
    </row>
    <row r="307" spans="1:17" x14ac:dyDescent="0.25">
      <c r="A307" s="49">
        <f>+'A) Base RI'!A309</f>
        <v>5932</v>
      </c>
      <c r="B307" s="427" t="str">
        <f>+'A) Base RI'!B309</f>
        <v>Ursins</v>
      </c>
      <c r="C307" s="299">
        <f>+'D) Ecrêtage'!C307</f>
        <v>8278.3758441558457</v>
      </c>
      <c r="D307" s="428">
        <v>25250</v>
      </c>
      <c r="E307" s="430">
        <v>9707</v>
      </c>
      <c r="F307" s="428">
        <v>7219</v>
      </c>
      <c r="G307" s="299">
        <f t="shared" si="32"/>
        <v>42176</v>
      </c>
      <c r="H307" s="277">
        <f t="shared" si="33"/>
        <v>66227.006753246766</v>
      </c>
      <c r="I307" s="10">
        <f t="shared" si="34"/>
        <v>0</v>
      </c>
      <c r="J307" s="296">
        <f t="shared" si="35"/>
        <v>0</v>
      </c>
      <c r="K307" s="432">
        <v>23477</v>
      </c>
      <c r="L307" s="10">
        <f t="shared" si="36"/>
        <v>8278.3758441558457</v>
      </c>
      <c r="M307" s="14">
        <f t="shared" si="37"/>
        <v>15198.624155844154</v>
      </c>
      <c r="N307" s="2">
        <f t="shared" si="38"/>
        <v>-11303.437654062576</v>
      </c>
      <c r="O307" s="135">
        <f t="shared" si="39"/>
        <v>-11303.437654062576</v>
      </c>
      <c r="P307" s="33">
        <f>O307/'D) Ecrêtage'!C307</f>
        <v>-1.3654173073142464</v>
      </c>
      <c r="Q307" s="131"/>
    </row>
    <row r="308" spans="1:17" x14ac:dyDescent="0.25">
      <c r="A308" s="49">
        <f>+'A) Base RI'!A310</f>
        <v>5933</v>
      </c>
      <c r="B308" s="427" t="str">
        <f>+'A) Base RI'!B310</f>
        <v>Valeyres-sous-Montagny</v>
      </c>
      <c r="C308" s="299">
        <f>+'D) Ecrêtage'!C308</f>
        <v>22135.641944444447</v>
      </c>
      <c r="D308" s="428">
        <v>179829</v>
      </c>
      <c r="E308" s="430">
        <v>74703</v>
      </c>
      <c r="F308" s="428">
        <v>79154</v>
      </c>
      <c r="G308" s="299">
        <f t="shared" si="32"/>
        <v>333686</v>
      </c>
      <c r="H308" s="277">
        <f t="shared" si="33"/>
        <v>177085.13555555558</v>
      </c>
      <c r="I308" s="10">
        <f t="shared" si="34"/>
        <v>156600.86444444442</v>
      </c>
      <c r="J308" s="296">
        <f t="shared" si="35"/>
        <v>-116466.3386415431</v>
      </c>
      <c r="K308" s="432">
        <v>1611</v>
      </c>
      <c r="L308" s="10">
        <f t="shared" si="36"/>
        <v>22135.641944444447</v>
      </c>
      <c r="M308" s="14">
        <f t="shared" si="37"/>
        <v>0</v>
      </c>
      <c r="N308" s="2">
        <f t="shared" si="38"/>
        <v>0</v>
      </c>
      <c r="O308" s="135">
        <f t="shared" si="39"/>
        <v>-116466.3386415431</v>
      </c>
      <c r="P308" s="33">
        <f>O308/'D) Ecrêtage'!C308</f>
        <v>-5.2614845746894439</v>
      </c>
      <c r="Q308" s="131"/>
    </row>
    <row r="309" spans="1:17" x14ac:dyDescent="0.25">
      <c r="A309" s="49">
        <f>+'A) Base RI'!A311</f>
        <v>5934</v>
      </c>
      <c r="B309" s="427" t="str">
        <f>+'A) Base RI'!B311</f>
        <v>Valeyres-sous-Ursins</v>
      </c>
      <c r="C309" s="299">
        <f>+'D) Ecrêtage'!C309</f>
        <v>7563.0520253164568</v>
      </c>
      <c r="D309" s="428">
        <v>227082</v>
      </c>
      <c r="E309" s="430">
        <v>9792</v>
      </c>
      <c r="F309" s="428">
        <v>8642</v>
      </c>
      <c r="G309" s="299">
        <f t="shared" si="32"/>
        <v>245516</v>
      </c>
      <c r="H309" s="277">
        <f t="shared" si="33"/>
        <v>60504.416202531655</v>
      </c>
      <c r="I309" s="10">
        <f t="shared" si="34"/>
        <v>185011.58379746834</v>
      </c>
      <c r="J309" s="296">
        <f t="shared" si="35"/>
        <v>-137595.80349448448</v>
      </c>
      <c r="K309" s="432">
        <v>24990</v>
      </c>
      <c r="L309" s="10">
        <f t="shared" si="36"/>
        <v>7563.0520253164568</v>
      </c>
      <c r="M309" s="14">
        <f t="shared" si="37"/>
        <v>17426.947974683542</v>
      </c>
      <c r="N309" s="2">
        <f t="shared" si="38"/>
        <v>-12960.674460568414</v>
      </c>
      <c r="O309" s="135">
        <f t="shared" si="39"/>
        <v>-150556.47795505289</v>
      </c>
      <c r="P309" s="33">
        <f>O309/'D) Ecrêtage'!C309</f>
        <v>-19.906841504075629</v>
      </c>
      <c r="Q309" s="131"/>
    </row>
    <row r="310" spans="1:17" x14ac:dyDescent="0.25">
      <c r="A310" s="49">
        <f>+'A) Base RI'!A312</f>
        <v>5935</v>
      </c>
      <c r="B310" s="427" t="str">
        <f>+'A) Base RI'!B312</f>
        <v>Villars-Epeney</v>
      </c>
      <c r="C310" s="299">
        <f>+'D) Ecrêtage'!C310</f>
        <v>4858.9101666666666</v>
      </c>
      <c r="D310" s="428">
        <v>10330</v>
      </c>
      <c r="E310" s="430">
        <v>4221</v>
      </c>
      <c r="F310" s="428">
        <v>8560</v>
      </c>
      <c r="G310" s="299">
        <f t="shared" si="32"/>
        <v>23111</v>
      </c>
      <c r="H310" s="277">
        <f t="shared" si="33"/>
        <v>38871.281333333332</v>
      </c>
      <c r="I310" s="10">
        <f t="shared" si="34"/>
        <v>0</v>
      </c>
      <c r="J310" s="296">
        <f t="shared" si="35"/>
        <v>0</v>
      </c>
      <c r="K310" s="432">
        <v>7751</v>
      </c>
      <c r="L310" s="10">
        <f t="shared" si="36"/>
        <v>4858.9101666666666</v>
      </c>
      <c r="M310" s="14">
        <f t="shared" si="37"/>
        <v>2892.0898333333334</v>
      </c>
      <c r="N310" s="2">
        <f t="shared" si="38"/>
        <v>-2150.8892374617626</v>
      </c>
      <c r="O310" s="135">
        <f t="shared" si="39"/>
        <v>-2150.8892374617626</v>
      </c>
      <c r="P310" s="33">
        <f>O310/'D) Ecrêtage'!C310</f>
        <v>-0.44266906851198817</v>
      </c>
      <c r="Q310" s="131"/>
    </row>
    <row r="311" spans="1:17" x14ac:dyDescent="0.25">
      <c r="A311" s="49">
        <f>+'A) Base RI'!A313</f>
        <v>5937</v>
      </c>
      <c r="B311" s="427" t="str">
        <f>+'A) Base RI'!B313</f>
        <v>Vugelles-La Mothe</v>
      </c>
      <c r="C311" s="299">
        <f>+'D) Ecrêtage'!C311</f>
        <v>2984.3882040816329</v>
      </c>
      <c r="D311" s="428">
        <v>36488</v>
      </c>
      <c r="E311" s="430">
        <v>5571</v>
      </c>
      <c r="F311" s="428">
        <v>19800</v>
      </c>
      <c r="G311" s="299">
        <f t="shared" si="32"/>
        <v>61859</v>
      </c>
      <c r="H311" s="277">
        <f t="shared" si="33"/>
        <v>23875.105632653063</v>
      </c>
      <c r="I311" s="10">
        <f t="shared" si="34"/>
        <v>37983.894367346933</v>
      </c>
      <c r="J311" s="296">
        <f t="shared" si="35"/>
        <v>-28249.174230334011</v>
      </c>
      <c r="K311" s="432">
        <v>5988</v>
      </c>
      <c r="L311" s="10">
        <f t="shared" si="36"/>
        <v>2984.3882040816329</v>
      </c>
      <c r="M311" s="14">
        <f t="shared" si="37"/>
        <v>3003.6117959183671</v>
      </c>
      <c r="N311" s="2">
        <f t="shared" si="38"/>
        <v>-2233.8297416950954</v>
      </c>
      <c r="O311" s="135">
        <f t="shared" si="39"/>
        <v>-30483.003972029106</v>
      </c>
      <c r="P311" s="33">
        <f>O311/'D) Ecrêtage'!C311</f>
        <v>-10.214155092269388</v>
      </c>
      <c r="Q311" s="131"/>
    </row>
    <row r="312" spans="1:17" x14ac:dyDescent="0.25">
      <c r="A312" s="49">
        <f>+'A) Base RI'!A314</f>
        <v>5938</v>
      </c>
      <c r="B312" s="427" t="str">
        <f>+'A) Base RI'!B314</f>
        <v>Yverdon-les-Bains</v>
      </c>
      <c r="C312" s="299">
        <f>+'D) Ecrêtage'!C312</f>
        <v>788422.31346405216</v>
      </c>
      <c r="D312" s="428">
        <v>11672381</v>
      </c>
      <c r="E312" s="430">
        <v>7435500</v>
      </c>
      <c r="F312" s="428">
        <v>670635</v>
      </c>
      <c r="G312" s="299">
        <f t="shared" si="32"/>
        <v>19778516</v>
      </c>
      <c r="H312" s="277">
        <f t="shared" si="33"/>
        <v>6307378.5077124173</v>
      </c>
      <c r="I312" s="10">
        <f t="shared" si="34"/>
        <v>13471137.492287584</v>
      </c>
      <c r="J312" s="296">
        <f t="shared" si="35"/>
        <v>-10018680.718203487</v>
      </c>
      <c r="K312" s="432">
        <v>223365</v>
      </c>
      <c r="L312" s="10">
        <f t="shared" si="36"/>
        <v>788422.31346405216</v>
      </c>
      <c r="M312" s="14">
        <f t="shared" si="37"/>
        <v>0</v>
      </c>
      <c r="N312" s="2">
        <f t="shared" si="38"/>
        <v>0</v>
      </c>
      <c r="O312" s="135">
        <f t="shared" si="39"/>
        <v>-10018680.718203487</v>
      </c>
      <c r="P312" s="33">
        <f>O312/'D) Ecrêtage'!C312</f>
        <v>-12.707251617708414</v>
      </c>
      <c r="Q312" s="131"/>
    </row>
    <row r="313" spans="1:17" x14ac:dyDescent="0.25">
      <c r="A313" s="49">
        <f>+'A) Base RI'!A315</f>
        <v>5939</v>
      </c>
      <c r="B313" s="427" t="str">
        <f>+'A) Base RI'!B315</f>
        <v>Yvonand</v>
      </c>
      <c r="C313" s="299">
        <f>+'D) Ecrêtage'!C313</f>
        <v>95122.764246575331</v>
      </c>
      <c r="D313" s="428">
        <v>533775</v>
      </c>
      <c r="E313" s="430">
        <v>361486</v>
      </c>
      <c r="F313" s="428">
        <v>312559</v>
      </c>
      <c r="G313" s="299">
        <f t="shared" si="32"/>
        <v>1207820</v>
      </c>
      <c r="H313" s="277">
        <f t="shared" si="33"/>
        <v>760982.11397260264</v>
      </c>
      <c r="I313" s="10">
        <f t="shared" si="34"/>
        <v>446837.88602739736</v>
      </c>
      <c r="J313" s="296">
        <f t="shared" si="35"/>
        <v>-332319.82937361317</v>
      </c>
      <c r="K313" s="433">
        <v>106529</v>
      </c>
      <c r="L313" s="18">
        <f t="shared" si="36"/>
        <v>95122.764246575331</v>
      </c>
      <c r="M313" s="73">
        <f t="shared" si="37"/>
        <v>11406.235753424669</v>
      </c>
      <c r="N313" s="136">
        <f t="shared" si="38"/>
        <v>-8482.9832874575932</v>
      </c>
      <c r="O313" s="137">
        <f t="shared" si="39"/>
        <v>-340802.81266107078</v>
      </c>
      <c r="P313" s="33">
        <f>O313/'D) Ecrêtage'!C313</f>
        <v>-3.5827681771068862</v>
      </c>
      <c r="Q313" s="131"/>
    </row>
    <row r="314" spans="1:17" x14ac:dyDescent="0.25">
      <c r="A314" s="81"/>
      <c r="B314" s="292">
        <f>COUNTA(B5:B313)</f>
        <v>309</v>
      </c>
      <c r="C314" s="11">
        <f t="shared" ref="C314:N314" si="40">SUM(C5:C313)</f>
        <v>37986675.400474928</v>
      </c>
      <c r="D314" s="293">
        <f t="shared" si="40"/>
        <v>274113665</v>
      </c>
      <c r="E314" s="11">
        <f t="shared" si="40"/>
        <v>174353417</v>
      </c>
      <c r="F314" s="293">
        <f t="shared" si="40"/>
        <v>42885372.450000003</v>
      </c>
      <c r="G314" s="11">
        <f t="shared" si="40"/>
        <v>491352454.44999999</v>
      </c>
      <c r="H314" s="293">
        <f t="shared" si="40"/>
        <v>303893403.20379943</v>
      </c>
      <c r="I314" s="11">
        <f t="shared" si="40"/>
        <v>223529814.16348928</v>
      </c>
      <c r="J314" s="297">
        <f t="shared" si="40"/>
        <v>-166242371.17210701</v>
      </c>
      <c r="K314" s="124">
        <f t="shared" si="40"/>
        <v>19325239</v>
      </c>
      <c r="L314" s="18">
        <f t="shared" si="40"/>
        <v>37986675.400474928</v>
      </c>
      <c r="M314" s="11">
        <f t="shared" si="40"/>
        <v>6316493.6634613099</v>
      </c>
      <c r="N314" s="136">
        <f t="shared" si="40"/>
        <v>-4697668.1300301999</v>
      </c>
      <c r="O314" s="37">
        <f>SUM(O5:O313)</f>
        <v>-170940039.30213711</v>
      </c>
      <c r="P314" s="19">
        <f>O314/'D) Ecrêtage'!C314</f>
        <v>-4.4999999999999982</v>
      </c>
    </row>
    <row r="315" spans="1:17" s="464" customFormat="1" x14ac:dyDescent="0.25">
      <c r="P315" s="383"/>
    </row>
  </sheetData>
  <mergeCells count="10">
    <mergeCell ref="D3:D4"/>
    <mergeCell ref="C3:C4"/>
    <mergeCell ref="B3:B4"/>
    <mergeCell ref="A3:A4"/>
    <mergeCell ref="L3:L4"/>
    <mergeCell ref="K3:K4"/>
    <mergeCell ref="H3:H4"/>
    <mergeCell ref="G3:G4"/>
    <mergeCell ref="F3:F4"/>
    <mergeCell ref="E3:E4"/>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00B050"/>
  </sheetPr>
  <dimension ref="A1:Y320"/>
  <sheetViews>
    <sheetView workbookViewId="0">
      <pane ySplit="4" topLeftCell="A5" activePane="bottomLeft" state="frozen"/>
      <selection pane="bottomLeft" activeCell="O40" sqref="O40"/>
    </sheetView>
  </sheetViews>
  <sheetFormatPr baseColWidth="10" defaultColWidth="10.75" defaultRowHeight="15" x14ac:dyDescent="0.25"/>
  <cols>
    <col min="1" max="1" width="7.25" style="13" customWidth="1"/>
    <col min="2" max="2" width="19.875" style="13" customWidth="1"/>
    <col min="3" max="4" width="10" style="13" customWidth="1"/>
    <col min="5" max="5" width="11.125" style="13" customWidth="1"/>
    <col min="6" max="7" width="10" style="13" customWidth="1"/>
    <col min="8" max="8" width="10" style="144" customWidth="1"/>
    <col min="9" max="9" width="10" style="13" customWidth="1"/>
    <col min="10" max="10" width="10" style="15" customWidth="1"/>
    <col min="11" max="11" width="12.125" style="15" customWidth="1"/>
    <col min="12" max="14" width="12.125" style="13" customWidth="1"/>
    <col min="15" max="17" width="8.125" style="13" customWidth="1"/>
    <col min="18" max="16384" width="10.75" style="13"/>
  </cols>
  <sheetData>
    <row r="1" spans="1:25" s="43" customFormat="1" ht="21" x14ac:dyDescent="0.25">
      <c r="A1" s="51" t="s">
        <v>211</v>
      </c>
      <c r="B1" s="42"/>
      <c r="C1" s="71"/>
      <c r="D1" s="71"/>
      <c r="E1" s="71"/>
      <c r="F1" s="71"/>
      <c r="G1" s="71"/>
      <c r="H1" s="143"/>
      <c r="I1" s="71"/>
      <c r="J1" s="138"/>
      <c r="K1" s="139"/>
      <c r="L1" s="59"/>
      <c r="N1" s="13"/>
      <c r="O1" s="13"/>
      <c r="P1" s="13"/>
      <c r="Q1" s="13"/>
      <c r="R1" s="13"/>
      <c r="Y1" s="13"/>
    </row>
    <row r="3" spans="1:25" ht="30" x14ac:dyDescent="0.25">
      <c r="A3" s="559" t="s">
        <v>46</v>
      </c>
      <c r="B3" s="559" t="s">
        <v>96</v>
      </c>
      <c r="C3" s="559" t="s">
        <v>371</v>
      </c>
      <c r="D3" s="559" t="s">
        <v>93</v>
      </c>
      <c r="E3" s="559" t="s">
        <v>328</v>
      </c>
      <c r="F3" s="559" t="s">
        <v>369</v>
      </c>
      <c r="G3" s="575" t="s">
        <v>358</v>
      </c>
      <c r="H3" s="145" t="s">
        <v>146</v>
      </c>
      <c r="I3" s="573" t="s">
        <v>372</v>
      </c>
      <c r="J3" s="581" t="s">
        <v>340</v>
      </c>
    </row>
    <row r="4" spans="1:25" x14ac:dyDescent="0.25">
      <c r="A4" s="560"/>
      <c r="B4" s="561"/>
      <c r="C4" s="560"/>
      <c r="D4" s="561"/>
      <c r="E4" s="560"/>
      <c r="F4" s="561"/>
      <c r="G4" s="586"/>
      <c r="H4" s="252">
        <f>Paramètres!B47</f>
        <v>45</v>
      </c>
      <c r="I4" s="585"/>
      <c r="J4" s="582"/>
    </row>
    <row r="5" spans="1:25" x14ac:dyDescent="0.25">
      <c r="A5" s="46">
        <f>'A) Base RI'!A7</f>
        <v>5401</v>
      </c>
      <c r="B5" s="285" t="str">
        <f>'A) Base RI'!B7</f>
        <v>Aigle</v>
      </c>
      <c r="C5" s="97">
        <f>'B) D RI'!U7</f>
        <v>277789.63254320994</v>
      </c>
      <c r="D5" s="114">
        <f>'E) Fact soc'!G11/C5</f>
        <v>18.755857397373308</v>
      </c>
      <c r="E5" s="140">
        <f>'H) Péréquation directe'!I16/C5</f>
        <v>-12.249289447512981</v>
      </c>
      <c r="F5" s="114">
        <f>+'I) Dépenses thématiques'!O5/'J) Plafonnement effort'!C5</f>
        <v>-10.73106421134147</v>
      </c>
      <c r="G5" s="140">
        <f>SUM(D5:F5)</f>
        <v>-4.2244962614811428</v>
      </c>
      <c r="H5" s="332">
        <f t="shared" ref="H5" si="0">IF(G5&gt;H$4,H$4-G5,0)</f>
        <v>0</v>
      </c>
      <c r="I5" s="103">
        <f>H5*C5</f>
        <v>0</v>
      </c>
      <c r="J5" s="90">
        <f>G5+H5</f>
        <v>-4.2244962614811428</v>
      </c>
    </row>
    <row r="6" spans="1:25" x14ac:dyDescent="0.25">
      <c r="A6" s="49">
        <f>'A) Base RI'!A8</f>
        <v>5402</v>
      </c>
      <c r="B6" s="285" t="str">
        <f>'A) Base RI'!B8</f>
        <v>Bex</v>
      </c>
      <c r="C6" s="98">
        <f>'B) D RI'!U8</f>
        <v>185729.53788732394</v>
      </c>
      <c r="D6" s="114">
        <f>'E) Fact soc'!G12/C6</f>
        <v>18.108311480700831</v>
      </c>
      <c r="E6" s="141">
        <f>'H) Péréquation directe'!I17/C6</f>
        <v>-19.07500195848284</v>
      </c>
      <c r="F6" s="114">
        <f>+'I) Dépenses thématiques'!O6/'J) Plafonnement effort'!C6</f>
        <v>-10.436520218009315</v>
      </c>
      <c r="G6" s="141">
        <f t="shared" ref="G6:G69" si="1">SUM(D6:F6)</f>
        <v>-11.403210695791325</v>
      </c>
      <c r="H6" s="332">
        <f t="shared" ref="H6:H69" si="2">IF(G6&gt;H$4,H$4-G6,0)</f>
        <v>0</v>
      </c>
      <c r="I6" s="57">
        <f t="shared" ref="I6:I69" si="3">H6*C6</f>
        <v>0</v>
      </c>
      <c r="J6" s="33">
        <f t="shared" ref="J6:J69" si="4">G6+H6</f>
        <v>-11.403210695791325</v>
      </c>
    </row>
    <row r="7" spans="1:25" x14ac:dyDescent="0.25">
      <c r="A7" s="49">
        <f>'A) Base RI'!A9</f>
        <v>5403</v>
      </c>
      <c r="B7" s="285" t="str">
        <f>'A) Base RI'!B9</f>
        <v>Chessel</v>
      </c>
      <c r="C7" s="98">
        <f>'B) D RI'!U9</f>
        <v>10653.993243243245</v>
      </c>
      <c r="D7" s="114">
        <f>'E) Fact soc'!G13/C7</f>
        <v>19.368718497991569</v>
      </c>
      <c r="E7" s="141">
        <f>'H) Péréquation directe'!I18/C7</f>
        <v>-4.5124576802011207</v>
      </c>
      <c r="F7" s="114">
        <f>+'I) Dépenses thématiques'!O7/'J) Plafonnement effort'!C7</f>
        <v>-4.5705636477849358</v>
      </c>
      <c r="G7" s="141">
        <f t="shared" si="1"/>
        <v>10.285697170005513</v>
      </c>
      <c r="H7" s="332">
        <f t="shared" si="2"/>
        <v>0</v>
      </c>
      <c r="I7" s="57">
        <f t="shared" si="3"/>
        <v>0</v>
      </c>
      <c r="J7" s="33">
        <f t="shared" si="4"/>
        <v>10.285697170005513</v>
      </c>
    </row>
    <row r="8" spans="1:25" x14ac:dyDescent="0.25">
      <c r="A8" s="49">
        <f>'A) Base RI'!A10</f>
        <v>5404</v>
      </c>
      <c r="B8" s="285" t="str">
        <f>'A) Base RI'!B10</f>
        <v>Corbeyrier</v>
      </c>
      <c r="C8" s="98">
        <f>'B) D RI'!U10</f>
        <v>14595.552612612611</v>
      </c>
      <c r="D8" s="114">
        <f>'E) Fact soc'!G14/C8</f>
        <v>21.228921821314113</v>
      </c>
      <c r="E8" s="141">
        <f>'H) Péréquation directe'!I19/C8</f>
        <v>7.3353024952666432</v>
      </c>
      <c r="F8" s="114">
        <f>+'I) Dépenses thématiques'!O8/'J) Plafonnement effort'!C8</f>
        <v>-9.6193642160412764</v>
      </c>
      <c r="G8" s="141">
        <f t="shared" si="1"/>
        <v>18.944860100539479</v>
      </c>
      <c r="H8" s="332">
        <f t="shared" si="2"/>
        <v>0</v>
      </c>
      <c r="I8" s="57">
        <f t="shared" si="3"/>
        <v>0</v>
      </c>
      <c r="J8" s="33">
        <f t="shared" si="4"/>
        <v>18.944860100539479</v>
      </c>
    </row>
    <row r="9" spans="1:25" x14ac:dyDescent="0.25">
      <c r="A9" s="49">
        <f>'A) Base RI'!A11</f>
        <v>5405</v>
      </c>
      <c r="B9" s="285" t="str">
        <f>'A) Base RI'!B11</f>
        <v>Gryon</v>
      </c>
      <c r="C9" s="98">
        <f>'B) D RI'!U11</f>
        <v>65705.555822222203</v>
      </c>
      <c r="D9" s="114">
        <f>'E) Fact soc'!G15/C9</f>
        <v>19.969480267308743</v>
      </c>
      <c r="E9" s="141">
        <f>'H) Péréquation directe'!I20/C9</f>
        <v>16.236999208636522</v>
      </c>
      <c r="F9" s="114">
        <f>+'I) Dépenses thématiques'!O9/'J) Plafonnement effort'!C9</f>
        <v>-15.962313411290578</v>
      </c>
      <c r="G9" s="141">
        <f t="shared" si="1"/>
        <v>20.244166064654685</v>
      </c>
      <c r="H9" s="332">
        <f t="shared" si="2"/>
        <v>0</v>
      </c>
      <c r="I9" s="57">
        <f t="shared" si="3"/>
        <v>0</v>
      </c>
      <c r="J9" s="33">
        <f t="shared" si="4"/>
        <v>20.244166064654685</v>
      </c>
    </row>
    <row r="10" spans="1:25" x14ac:dyDescent="0.25">
      <c r="A10" s="49">
        <f>'A) Base RI'!A12</f>
        <v>5406</v>
      </c>
      <c r="B10" s="285" t="str">
        <f>'A) Base RI'!B12</f>
        <v>Lavey-Morcles</v>
      </c>
      <c r="C10" s="98">
        <f>'B) D RI'!U12</f>
        <v>24857.219750812561</v>
      </c>
      <c r="D10" s="114">
        <f>'E) Fact soc'!G16/C10</f>
        <v>15.5518650184872</v>
      </c>
      <c r="E10" s="141">
        <f>'H) Péréquation directe'!I21/C10</f>
        <v>3.2351517148861877E-2</v>
      </c>
      <c r="F10" s="114">
        <f>+'I) Dépenses thématiques'!O10/'J) Plafonnement effort'!C10</f>
        <v>-4.6950882035126122</v>
      </c>
      <c r="G10" s="141">
        <f t="shared" si="1"/>
        <v>10.889128332123452</v>
      </c>
      <c r="H10" s="332">
        <f t="shared" si="2"/>
        <v>0</v>
      </c>
      <c r="I10" s="57">
        <f t="shared" si="3"/>
        <v>0</v>
      </c>
      <c r="J10" s="33">
        <f t="shared" si="4"/>
        <v>10.889128332123452</v>
      </c>
    </row>
    <row r="11" spans="1:25" x14ac:dyDescent="0.25">
      <c r="A11" s="49">
        <f>'A) Base RI'!A13</f>
        <v>5407</v>
      </c>
      <c r="B11" s="285" t="str">
        <f>'A) Base RI'!B13</f>
        <v>Leysin</v>
      </c>
      <c r="C11" s="98">
        <f>'B) D RI'!U13</f>
        <v>90593.766196581171</v>
      </c>
      <c r="D11" s="114">
        <f>'E) Fact soc'!G17/C11</f>
        <v>19.101451193840468</v>
      </c>
      <c r="E11" s="141">
        <f>'H) Péréquation directe'!I22/C11</f>
        <v>-16.676445499303838</v>
      </c>
      <c r="F11" s="114">
        <f>+'I) Dépenses thématiques'!O11/'J) Plafonnement effort'!C11</f>
        <v>-23.832166901216397</v>
      </c>
      <c r="G11" s="141">
        <f t="shared" si="1"/>
        <v>-21.407161206679767</v>
      </c>
      <c r="H11" s="332">
        <f t="shared" si="2"/>
        <v>0</v>
      </c>
      <c r="I11" s="57">
        <f t="shared" si="3"/>
        <v>0</v>
      </c>
      <c r="J11" s="33">
        <f t="shared" si="4"/>
        <v>-21.407161206679767</v>
      </c>
    </row>
    <row r="12" spans="1:25" x14ac:dyDescent="0.25">
      <c r="A12" s="49">
        <f>'A) Base RI'!A14</f>
        <v>5408</v>
      </c>
      <c r="B12" s="285" t="str">
        <f>'A) Base RI'!B14</f>
        <v>Noville</v>
      </c>
      <c r="C12" s="98">
        <f>'B) D RI'!U14</f>
        <v>28671.623864118894</v>
      </c>
      <c r="D12" s="114">
        <f>'E) Fact soc'!G18/C12</f>
        <v>26.986706774869013</v>
      </c>
      <c r="E12" s="141">
        <f>'H) Péréquation directe'!I23/C12</f>
        <v>-8.8240261572810983</v>
      </c>
      <c r="F12" s="114">
        <f>+'I) Dépenses thématiques'!O12/'J) Plafonnement effort'!C12</f>
        <v>-9.7304460025206208</v>
      </c>
      <c r="G12" s="141">
        <f t="shared" si="1"/>
        <v>8.432234615067296</v>
      </c>
      <c r="H12" s="332">
        <f t="shared" si="2"/>
        <v>0</v>
      </c>
      <c r="I12" s="57">
        <f t="shared" si="3"/>
        <v>0</v>
      </c>
      <c r="J12" s="33">
        <f t="shared" si="4"/>
        <v>8.432234615067296</v>
      </c>
    </row>
    <row r="13" spans="1:25" x14ac:dyDescent="0.25">
      <c r="A13" s="49">
        <f>'A) Base RI'!A15</f>
        <v>5409</v>
      </c>
      <c r="B13" s="285" t="str">
        <f>'A) Base RI'!B15</f>
        <v>Ollon</v>
      </c>
      <c r="C13" s="98">
        <f>'B) D RI'!U15</f>
        <v>399776.03154977376</v>
      </c>
      <c r="D13" s="114">
        <f>'E) Fact soc'!G19/C13</f>
        <v>20.087996785524698</v>
      </c>
      <c r="E13" s="141">
        <f>'H) Péréquation directe'!I24/C13</f>
        <v>11.55719375556558</v>
      </c>
      <c r="F13" s="114">
        <f>+'I) Dépenses thématiques'!O13/'J) Plafonnement effort'!C13</f>
        <v>-5.9332960051352686</v>
      </c>
      <c r="G13" s="141">
        <f t="shared" si="1"/>
        <v>25.711894535955011</v>
      </c>
      <c r="H13" s="332">
        <f t="shared" si="2"/>
        <v>0</v>
      </c>
      <c r="I13" s="57">
        <f t="shared" si="3"/>
        <v>0</v>
      </c>
      <c r="J13" s="33">
        <f t="shared" si="4"/>
        <v>25.711894535955011</v>
      </c>
    </row>
    <row r="14" spans="1:25" x14ac:dyDescent="0.25">
      <c r="A14" s="49">
        <f>'A) Base RI'!A16</f>
        <v>5410</v>
      </c>
      <c r="B14" s="285" t="str">
        <f>'A) Base RI'!B16</f>
        <v>Ormont-Dessous</v>
      </c>
      <c r="C14" s="98">
        <f>'B) D RI'!U16</f>
        <v>38431.903864118896</v>
      </c>
      <c r="D14" s="114">
        <f>'E) Fact soc'!G20/C14</f>
        <v>19.496049562976655</v>
      </c>
      <c r="E14" s="141">
        <f>'H) Péréquation directe'!I25/C14</f>
        <v>5.7101582895250189</v>
      </c>
      <c r="F14" s="114">
        <f>+'I) Dépenses thématiques'!O14/'J) Plafonnement effort'!C14</f>
        <v>-25.931030215351026</v>
      </c>
      <c r="G14" s="141">
        <f t="shared" si="1"/>
        <v>-0.72482236284935198</v>
      </c>
      <c r="H14" s="332">
        <f t="shared" si="2"/>
        <v>0</v>
      </c>
      <c r="I14" s="57">
        <f t="shared" si="3"/>
        <v>0</v>
      </c>
      <c r="J14" s="33">
        <f t="shared" si="4"/>
        <v>-0.72482236284935198</v>
      </c>
    </row>
    <row r="15" spans="1:25" x14ac:dyDescent="0.25">
      <c r="A15" s="49">
        <f>'A) Base RI'!A17</f>
        <v>5411</v>
      </c>
      <c r="B15" s="285" t="str">
        <f>'A) Base RI'!B17</f>
        <v>Ormont-Dessus</v>
      </c>
      <c r="C15" s="98">
        <f>'B) D RI'!U17</f>
        <v>73250.08368421052</v>
      </c>
      <c r="D15" s="114">
        <f>'E) Fact soc'!G21/C15</f>
        <v>20.732976379026869</v>
      </c>
      <c r="E15" s="141">
        <f>'H) Péréquation directe'!I26/C15</f>
        <v>16.207475351764412</v>
      </c>
      <c r="F15" s="114">
        <f>+'I) Dépenses thématiques'!O15/'J) Plafonnement effort'!C15</f>
        <v>-12.729284059532501</v>
      </c>
      <c r="G15" s="141">
        <f t="shared" si="1"/>
        <v>24.211167671258778</v>
      </c>
      <c r="H15" s="332">
        <f t="shared" si="2"/>
        <v>0</v>
      </c>
      <c r="I15" s="57">
        <f t="shared" si="3"/>
        <v>0</v>
      </c>
      <c r="J15" s="33">
        <f t="shared" si="4"/>
        <v>24.211167671258778</v>
      </c>
    </row>
    <row r="16" spans="1:25" x14ac:dyDescent="0.25">
      <c r="A16" s="49">
        <f>'A) Base RI'!A18</f>
        <v>5412</v>
      </c>
      <c r="B16" s="285" t="str">
        <f>'A) Base RI'!B18</f>
        <v>Rennaz</v>
      </c>
      <c r="C16" s="98">
        <f>'B) D RI'!U18</f>
        <v>24302.490518518523</v>
      </c>
      <c r="D16" s="114">
        <f>'E) Fact soc'!G22/C16</f>
        <v>17.116180283708328</v>
      </c>
      <c r="E16" s="141">
        <f>'H) Péréquation directe'!I27/C16</f>
        <v>3.0754871538774413</v>
      </c>
      <c r="F16" s="114">
        <f>+'I) Dépenses thématiques'!O16/'J) Plafonnement effort'!C16</f>
        <v>-3.6099382036904655</v>
      </c>
      <c r="G16" s="141">
        <f t="shared" si="1"/>
        <v>16.581729233895306</v>
      </c>
      <c r="H16" s="332">
        <f t="shared" si="2"/>
        <v>0</v>
      </c>
      <c r="I16" s="57">
        <f t="shared" si="3"/>
        <v>0</v>
      </c>
      <c r="J16" s="33">
        <f t="shared" si="4"/>
        <v>16.581729233895306</v>
      </c>
    </row>
    <row r="17" spans="1:10" x14ac:dyDescent="0.25">
      <c r="A17" s="49">
        <f>'A) Base RI'!A19</f>
        <v>5413</v>
      </c>
      <c r="B17" s="285" t="str">
        <f>'A) Base RI'!B19</f>
        <v>Roche</v>
      </c>
      <c r="C17" s="98">
        <f>'B) D RI'!U19</f>
        <v>45084.327818627447</v>
      </c>
      <c r="D17" s="114">
        <f>'E) Fact soc'!G23/C17</f>
        <v>20.691508076574415</v>
      </c>
      <c r="E17" s="141">
        <f>'H) Péréquation directe'!I28/C17</f>
        <v>-5.8602056684614299</v>
      </c>
      <c r="F17" s="114">
        <f>+'I) Dépenses thématiques'!O17/'J) Plafonnement effort'!C17</f>
        <v>0</v>
      </c>
      <c r="G17" s="141">
        <f t="shared" si="1"/>
        <v>14.831302408112986</v>
      </c>
      <c r="H17" s="332">
        <f t="shared" si="2"/>
        <v>0</v>
      </c>
      <c r="I17" s="57">
        <f t="shared" si="3"/>
        <v>0</v>
      </c>
      <c r="J17" s="33">
        <f t="shared" si="4"/>
        <v>14.831302408112986</v>
      </c>
    </row>
    <row r="18" spans="1:10" x14ac:dyDescent="0.25">
      <c r="A18" s="49">
        <f>'A) Base RI'!A20</f>
        <v>5414</v>
      </c>
      <c r="B18" s="285" t="str">
        <f>'A) Base RI'!B20</f>
        <v>Villeneuve</v>
      </c>
      <c r="C18" s="98">
        <f>'B) D RI'!U20</f>
        <v>167595.35260869566</v>
      </c>
      <c r="D18" s="114">
        <f>'E) Fact soc'!G24/C18</f>
        <v>22.622672942809807</v>
      </c>
      <c r="E18" s="141">
        <f>'H) Péréquation directe'!I29/C18</f>
        <v>-5.4587667614059878</v>
      </c>
      <c r="F18" s="114">
        <f>+'I) Dépenses thématiques'!O18/'J) Plafonnement effort'!C18</f>
        <v>-11.413180322791305</v>
      </c>
      <c r="G18" s="141">
        <f t="shared" si="1"/>
        <v>5.7507258586125118</v>
      </c>
      <c r="H18" s="332">
        <f t="shared" si="2"/>
        <v>0</v>
      </c>
      <c r="I18" s="57">
        <f t="shared" si="3"/>
        <v>0</v>
      </c>
      <c r="J18" s="33">
        <f t="shared" si="4"/>
        <v>5.7507258586125118</v>
      </c>
    </row>
    <row r="19" spans="1:10" x14ac:dyDescent="0.25">
      <c r="A19" s="49">
        <f>'A) Base RI'!A21</f>
        <v>5415</v>
      </c>
      <c r="B19" s="285" t="str">
        <f>'A) Base RI'!B21</f>
        <v>Yvorne</v>
      </c>
      <c r="C19" s="98">
        <f>'B) D RI'!U21</f>
        <v>39170.690675990678</v>
      </c>
      <c r="D19" s="114">
        <f>'E) Fact soc'!G25/C19</f>
        <v>19.487134080477865</v>
      </c>
      <c r="E19" s="141">
        <f>'H) Péréquation directe'!I30/C19</f>
        <v>10.322646288792226</v>
      </c>
      <c r="F19" s="114">
        <f>+'I) Dépenses thématiques'!O19/'J) Plafonnement effort'!C19</f>
        <v>-4.5798827701572025</v>
      </c>
      <c r="G19" s="141">
        <f t="shared" si="1"/>
        <v>25.229897599112892</v>
      </c>
      <c r="H19" s="332">
        <f t="shared" si="2"/>
        <v>0</v>
      </c>
      <c r="I19" s="57">
        <f t="shared" si="3"/>
        <v>0</v>
      </c>
      <c r="J19" s="33">
        <f t="shared" si="4"/>
        <v>25.229897599112892</v>
      </c>
    </row>
    <row r="20" spans="1:10" x14ac:dyDescent="0.25">
      <c r="A20" s="49">
        <f>'A) Base RI'!A22</f>
        <v>5421</v>
      </c>
      <c r="B20" s="285" t="str">
        <f>'A) Base RI'!B22</f>
        <v>Apples</v>
      </c>
      <c r="C20" s="98">
        <f>'B) D RI'!U22</f>
        <v>70612.156710526324</v>
      </c>
      <c r="D20" s="114">
        <f>'E) Fact soc'!G26/C20</f>
        <v>17.861690392002401</v>
      </c>
      <c r="E20" s="141">
        <f>'H) Péréquation directe'!I31/C20</f>
        <v>15.936023115702442</v>
      </c>
      <c r="F20" s="114">
        <f>+'I) Dépenses thématiques'!O20/'J) Plafonnement effort'!C20</f>
        <v>-3.6046628573085453</v>
      </c>
      <c r="G20" s="141">
        <f t="shared" si="1"/>
        <v>30.193050650396295</v>
      </c>
      <c r="H20" s="332">
        <f t="shared" si="2"/>
        <v>0</v>
      </c>
      <c r="I20" s="57">
        <f t="shared" si="3"/>
        <v>0</v>
      </c>
      <c r="J20" s="33">
        <f t="shared" si="4"/>
        <v>30.193050650396295</v>
      </c>
    </row>
    <row r="21" spans="1:10" x14ac:dyDescent="0.25">
      <c r="A21" s="49">
        <f>'A) Base RI'!A23</f>
        <v>5422</v>
      </c>
      <c r="B21" s="285" t="str">
        <f>'A) Base RI'!B23</f>
        <v>Aubonne</v>
      </c>
      <c r="C21" s="98">
        <f>'B) D RI'!U23</f>
        <v>231171.83385714272</v>
      </c>
      <c r="D21" s="114">
        <f>'E) Fact soc'!G27/C21</f>
        <v>23.773031301232329</v>
      </c>
      <c r="E21" s="141">
        <f>'H) Péréquation directe'!I32/C21</f>
        <v>15.82000410823081</v>
      </c>
      <c r="F21" s="114">
        <f>+'I) Dépenses thématiques'!O21/'J) Plafonnement effort'!C21</f>
        <v>0</v>
      </c>
      <c r="G21" s="141">
        <f t="shared" si="1"/>
        <v>39.593035409463141</v>
      </c>
      <c r="H21" s="332">
        <f t="shared" si="2"/>
        <v>0</v>
      </c>
      <c r="I21" s="57">
        <f t="shared" si="3"/>
        <v>0</v>
      </c>
      <c r="J21" s="33">
        <f t="shared" si="4"/>
        <v>39.593035409463141</v>
      </c>
    </row>
    <row r="22" spans="1:10" x14ac:dyDescent="0.25">
      <c r="A22" s="49">
        <f>'A) Base RI'!A24</f>
        <v>5423</v>
      </c>
      <c r="B22" s="285" t="str">
        <f>'A) Base RI'!B24</f>
        <v>Ballens</v>
      </c>
      <c r="C22" s="98">
        <f>'B) D RI'!U24</f>
        <v>16262.42684931507</v>
      </c>
      <c r="D22" s="114">
        <f>'E) Fact soc'!G28/C22</f>
        <v>17.768745905567339</v>
      </c>
      <c r="E22" s="141">
        <f>'H) Péréquation directe'!I33/C22</f>
        <v>3.5738028404263193</v>
      </c>
      <c r="F22" s="114">
        <f>+'I) Dépenses thématiques'!O22/'J) Plafonnement effort'!C22</f>
        <v>-4.9732070430337405</v>
      </c>
      <c r="G22" s="141">
        <f t="shared" si="1"/>
        <v>16.369341702959922</v>
      </c>
      <c r="H22" s="332">
        <f t="shared" si="2"/>
        <v>0</v>
      </c>
      <c r="I22" s="57">
        <f t="shared" si="3"/>
        <v>0</v>
      </c>
      <c r="J22" s="33">
        <f t="shared" si="4"/>
        <v>16.369341702959922</v>
      </c>
    </row>
    <row r="23" spans="1:10" x14ac:dyDescent="0.25">
      <c r="A23" s="49">
        <f>'A) Base RI'!A25</f>
        <v>5424</v>
      </c>
      <c r="B23" s="285" t="str">
        <f>'A) Base RI'!B25</f>
        <v>Berolle</v>
      </c>
      <c r="C23" s="98">
        <f>'B) D RI'!U25</f>
        <v>9281.7425974025955</v>
      </c>
      <c r="D23" s="114">
        <f>'E) Fact soc'!G29/C23</f>
        <v>15.257008051797689</v>
      </c>
      <c r="E23" s="141">
        <f>'H) Péréquation directe'!I34/C23</f>
        <v>3.665211375175391</v>
      </c>
      <c r="F23" s="114">
        <f>+'I) Dépenses thématiques'!O23/'J) Plafonnement effort'!C23</f>
        <v>-4.3702907149899168</v>
      </c>
      <c r="G23" s="141">
        <f t="shared" si="1"/>
        <v>14.551928711983162</v>
      </c>
      <c r="H23" s="332">
        <f t="shared" si="2"/>
        <v>0</v>
      </c>
      <c r="I23" s="57">
        <f t="shared" si="3"/>
        <v>0</v>
      </c>
      <c r="J23" s="33">
        <f t="shared" si="4"/>
        <v>14.551928711983162</v>
      </c>
    </row>
    <row r="24" spans="1:10" x14ac:dyDescent="0.25">
      <c r="A24" s="49">
        <f>'A) Base RI'!A26</f>
        <v>5425</v>
      </c>
      <c r="B24" s="285" t="str">
        <f>'A) Base RI'!B26</f>
        <v>Bière</v>
      </c>
      <c r="C24" s="98">
        <f>'B) D RI'!U26</f>
        <v>39522.239817733993</v>
      </c>
      <c r="D24" s="114">
        <f>'E) Fact soc'!G30/C24</f>
        <v>18.998510544783141</v>
      </c>
      <c r="E24" s="141">
        <f>'H) Péréquation directe'!I35/C24</f>
        <v>-5.9959261841092575</v>
      </c>
      <c r="F24" s="114">
        <f>+'I) Dépenses thématiques'!O24/'J) Plafonnement effort'!C24</f>
        <v>-14.698422009663885</v>
      </c>
      <c r="G24" s="141">
        <f t="shared" si="1"/>
        <v>-1.6958376489900022</v>
      </c>
      <c r="H24" s="332">
        <f t="shared" si="2"/>
        <v>0</v>
      </c>
      <c r="I24" s="57">
        <f t="shared" si="3"/>
        <v>0</v>
      </c>
      <c r="J24" s="33">
        <f t="shared" si="4"/>
        <v>-1.6958376489900022</v>
      </c>
    </row>
    <row r="25" spans="1:10" x14ac:dyDescent="0.25">
      <c r="A25" s="49">
        <f>'A) Base RI'!A27</f>
        <v>5426</v>
      </c>
      <c r="B25" s="285" t="str">
        <f>'A) Base RI'!B27</f>
        <v>Bougy-Villars</v>
      </c>
      <c r="C25" s="98">
        <f>'B) D RI'!U27</f>
        <v>52073.160505050502</v>
      </c>
      <c r="D25" s="114">
        <f>'E) Fact soc'!G31/C25</f>
        <v>31.714374826211376</v>
      </c>
      <c r="E25" s="141">
        <f>'H) Péréquation directe'!I36/C25</f>
        <v>18.860732671042875</v>
      </c>
      <c r="F25" s="114">
        <f>+'I) Dépenses thématiques'!O25/'J) Plafonnement effort'!C25</f>
        <v>0</v>
      </c>
      <c r="G25" s="141">
        <f t="shared" si="1"/>
        <v>50.575107497254251</v>
      </c>
      <c r="H25" s="332">
        <f t="shared" si="2"/>
        <v>-5.5751074972542511</v>
      </c>
      <c r="I25" s="57">
        <f t="shared" si="3"/>
        <v>-290313.46753743105</v>
      </c>
      <c r="J25" s="33">
        <f t="shared" si="4"/>
        <v>45</v>
      </c>
    </row>
    <row r="26" spans="1:10" x14ac:dyDescent="0.25">
      <c r="A26" s="49">
        <f>'A) Base RI'!A28</f>
        <v>5427</v>
      </c>
      <c r="B26" s="285" t="str">
        <f>'A) Base RI'!B28</f>
        <v>Féchy</v>
      </c>
      <c r="C26" s="98">
        <f>'B) D RI'!U28</f>
        <v>86749.440144230772</v>
      </c>
      <c r="D26" s="114">
        <f>'E) Fact soc'!G32/C26</f>
        <v>29.331205254241475</v>
      </c>
      <c r="E26" s="141">
        <f>'H) Péréquation directe'!I37/C26</f>
        <v>18.759808237656383</v>
      </c>
      <c r="F26" s="114">
        <f>+'I) Dépenses thématiques'!O26/'J) Plafonnement effort'!C26</f>
        <v>0</v>
      </c>
      <c r="G26" s="141">
        <f t="shared" si="1"/>
        <v>48.091013491897854</v>
      </c>
      <c r="H26" s="332">
        <f t="shared" si="2"/>
        <v>-3.0910134918978542</v>
      </c>
      <c r="I26" s="57">
        <f t="shared" si="3"/>
        <v>-268143.68990040268</v>
      </c>
      <c r="J26" s="33">
        <f t="shared" si="4"/>
        <v>45</v>
      </c>
    </row>
    <row r="27" spans="1:10" x14ac:dyDescent="0.25">
      <c r="A27" s="49">
        <f>'A) Base RI'!A29</f>
        <v>5428</v>
      </c>
      <c r="B27" s="285" t="str">
        <f>'A) Base RI'!B29</f>
        <v>Gimel</v>
      </c>
      <c r="C27" s="98">
        <f>'B) D RI'!U29</f>
        <v>66171.009865771834</v>
      </c>
      <c r="D27" s="114">
        <f>'E) Fact soc'!G33/C27</f>
        <v>18.456109876901106</v>
      </c>
      <c r="E27" s="141">
        <f>'H) Péréquation directe'!I38/C27</f>
        <v>-1.5227667969563423</v>
      </c>
      <c r="F27" s="114">
        <f>+'I) Dépenses thématiques'!O27/'J) Plafonnement effort'!C27</f>
        <v>-3.9704097747104954</v>
      </c>
      <c r="G27" s="141">
        <f t="shared" si="1"/>
        <v>12.962933305234268</v>
      </c>
      <c r="H27" s="332">
        <f t="shared" si="2"/>
        <v>0</v>
      </c>
      <c r="I27" s="57">
        <f t="shared" si="3"/>
        <v>0</v>
      </c>
      <c r="J27" s="33">
        <f t="shared" si="4"/>
        <v>12.962933305234268</v>
      </c>
    </row>
    <row r="28" spans="1:10" x14ac:dyDescent="0.25">
      <c r="A28" s="49">
        <f>'A) Base RI'!A30</f>
        <v>5429</v>
      </c>
      <c r="B28" s="285" t="str">
        <f>'A) Base RI'!B30</f>
        <v>Longirod</v>
      </c>
      <c r="C28" s="98">
        <f>'B) D RI'!U30</f>
        <v>15311.416666666666</v>
      </c>
      <c r="D28" s="114">
        <f>'E) Fact soc'!G34/C28</f>
        <v>17.20380795688143</v>
      </c>
      <c r="E28" s="141">
        <f>'H) Péréquation directe'!I39/C28</f>
        <v>3.4923225890309451</v>
      </c>
      <c r="F28" s="114">
        <f>+'I) Dépenses thématiques'!O28/'J) Plafonnement effort'!C28</f>
        <v>-4.7380902202904718</v>
      </c>
      <c r="G28" s="141">
        <f t="shared" si="1"/>
        <v>15.958040325621903</v>
      </c>
      <c r="H28" s="332">
        <f t="shared" si="2"/>
        <v>0</v>
      </c>
      <c r="I28" s="57">
        <f t="shared" si="3"/>
        <v>0</v>
      </c>
      <c r="J28" s="33">
        <f t="shared" si="4"/>
        <v>15.958040325621903</v>
      </c>
    </row>
    <row r="29" spans="1:10" x14ac:dyDescent="0.25">
      <c r="A29" s="49">
        <f>'A) Base RI'!A31</f>
        <v>5430</v>
      </c>
      <c r="B29" s="285" t="str">
        <f>'A) Base RI'!B31</f>
        <v>Marchissy</v>
      </c>
      <c r="C29" s="98">
        <f>'B) D RI'!U31</f>
        <v>14827.393037974683</v>
      </c>
      <c r="D29" s="114">
        <f>'E) Fact soc'!G35/C29</f>
        <v>16.705975025273808</v>
      </c>
      <c r="E29" s="141">
        <f>'H) Péréquation directe'!I40/C29</f>
        <v>3.6492312740282657</v>
      </c>
      <c r="F29" s="114">
        <f>+'I) Dépenses thématiques'!O29/'J) Plafonnement effort'!C29</f>
        <v>-4.8607684503278827</v>
      </c>
      <c r="G29" s="141">
        <f t="shared" si="1"/>
        <v>15.494437848974194</v>
      </c>
      <c r="H29" s="332">
        <f t="shared" si="2"/>
        <v>0</v>
      </c>
      <c r="I29" s="57">
        <f t="shared" si="3"/>
        <v>0</v>
      </c>
      <c r="J29" s="33">
        <f t="shared" si="4"/>
        <v>15.494437848974194</v>
      </c>
    </row>
    <row r="30" spans="1:10" x14ac:dyDescent="0.25">
      <c r="A30" s="49">
        <f>'A) Base RI'!A32</f>
        <v>5431</v>
      </c>
      <c r="B30" s="285" t="str">
        <f>'A) Base RI'!B32</f>
        <v>Mollens</v>
      </c>
      <c r="C30" s="98">
        <f>'B) D RI'!U32</f>
        <v>10626.755405405405</v>
      </c>
      <c r="D30" s="114">
        <f>'E) Fact soc'!G36/C30</f>
        <v>20.173196529407726</v>
      </c>
      <c r="E30" s="141">
        <f>'H) Péréquation directe'!I41/C30</f>
        <v>8.4335479658719414</v>
      </c>
      <c r="F30" s="114">
        <f>+'I) Dépenses thématiques'!O30/'J) Plafonnement effort'!C30</f>
        <v>-2.5741888957595203</v>
      </c>
      <c r="G30" s="141">
        <f t="shared" si="1"/>
        <v>26.032555599520148</v>
      </c>
      <c r="H30" s="332">
        <f t="shared" si="2"/>
        <v>0</v>
      </c>
      <c r="I30" s="57">
        <f t="shared" si="3"/>
        <v>0</v>
      </c>
      <c r="J30" s="33">
        <f t="shared" si="4"/>
        <v>26.032555599520148</v>
      </c>
    </row>
    <row r="31" spans="1:10" x14ac:dyDescent="0.25">
      <c r="A31" s="49">
        <f>'A) Base RI'!A33</f>
        <v>5432</v>
      </c>
      <c r="B31" s="285" t="str">
        <f>'A) Base RI'!B33</f>
        <v>Montherod</v>
      </c>
      <c r="C31" s="98">
        <f>'B) D RI'!U33</f>
        <v>16078.014230769231</v>
      </c>
      <c r="D31" s="114">
        <f>'E) Fact soc'!G37/C31</f>
        <v>16.227631992239502</v>
      </c>
      <c r="E31" s="141">
        <f>'H) Péréquation directe'!I42/C31</f>
        <v>1.6711501479650201</v>
      </c>
      <c r="F31" s="114">
        <f>+'I) Dépenses thématiques'!O31/'J) Plafonnement effort'!C31</f>
        <v>-2.6141873937076467</v>
      </c>
      <c r="G31" s="141">
        <f t="shared" si="1"/>
        <v>15.284594746496873</v>
      </c>
      <c r="H31" s="332">
        <f t="shared" si="2"/>
        <v>0</v>
      </c>
      <c r="I31" s="57">
        <f t="shared" si="3"/>
        <v>0</v>
      </c>
      <c r="J31" s="33">
        <f t="shared" si="4"/>
        <v>15.284594746496873</v>
      </c>
    </row>
    <row r="32" spans="1:10" x14ac:dyDescent="0.25">
      <c r="A32" s="49">
        <f>'A) Base RI'!A34</f>
        <v>5434</v>
      </c>
      <c r="B32" s="285" t="str">
        <f>'A) Base RI'!B34</f>
        <v>Saint-George</v>
      </c>
      <c r="C32" s="98">
        <f>'B) D RI'!U34</f>
        <v>39905.96180751174</v>
      </c>
      <c r="D32" s="114">
        <f>'E) Fact soc'!G38/C32</f>
        <v>17.580993883644492</v>
      </c>
      <c r="E32" s="141">
        <f>'H) Péréquation directe'!I43/C32</f>
        <v>11.207789948348323</v>
      </c>
      <c r="F32" s="114">
        <f>+'I) Dépenses thématiques'!O32/'J) Plafonnement effort'!C32</f>
        <v>-1.5379795627939725</v>
      </c>
      <c r="G32" s="141">
        <f t="shared" si="1"/>
        <v>27.250804269198845</v>
      </c>
      <c r="H32" s="332">
        <f t="shared" si="2"/>
        <v>0</v>
      </c>
      <c r="I32" s="57">
        <f t="shared" si="3"/>
        <v>0</v>
      </c>
      <c r="J32" s="33">
        <f t="shared" si="4"/>
        <v>27.250804269198845</v>
      </c>
    </row>
    <row r="33" spans="1:10" x14ac:dyDescent="0.25">
      <c r="A33" s="49">
        <f>'A) Base RI'!A35</f>
        <v>5435</v>
      </c>
      <c r="B33" s="285" t="str">
        <f>'A) Base RI'!B35</f>
        <v>Saint-Livres</v>
      </c>
      <c r="C33" s="98">
        <f>'B) D RI'!U35</f>
        <v>24331.716956521734</v>
      </c>
      <c r="D33" s="114">
        <f>'E) Fact soc'!G39/C33</f>
        <v>16.073051292167573</v>
      </c>
      <c r="E33" s="141">
        <f>'H) Péréquation directe'!I44/C33</f>
        <v>10.061686364873452</v>
      </c>
      <c r="F33" s="114">
        <f>+'I) Dépenses thématiques'!O33/'J) Plafonnement effort'!C33</f>
        <v>-2.8229676629679052</v>
      </c>
      <c r="G33" s="141">
        <f t="shared" si="1"/>
        <v>23.311769994073121</v>
      </c>
      <c r="H33" s="332">
        <f t="shared" si="2"/>
        <v>0</v>
      </c>
      <c r="I33" s="57">
        <f t="shared" si="3"/>
        <v>0</v>
      </c>
      <c r="J33" s="33">
        <f t="shared" si="4"/>
        <v>23.311769994073121</v>
      </c>
    </row>
    <row r="34" spans="1:10" x14ac:dyDescent="0.25">
      <c r="A34" s="49">
        <f>'A) Base RI'!A36</f>
        <v>5436</v>
      </c>
      <c r="B34" s="285" t="str">
        <f>'A) Base RI'!B36</f>
        <v>Saint-Oyens</v>
      </c>
      <c r="C34" s="98">
        <f>'B) D RI'!U36</f>
        <v>16564.840617283953</v>
      </c>
      <c r="D34" s="114">
        <f>'E) Fact soc'!G40/C34</f>
        <v>16.148013384338121</v>
      </c>
      <c r="E34" s="141">
        <f>'H) Péréquation directe'!I45/C34</f>
        <v>9.5596533296052328</v>
      </c>
      <c r="F34" s="114">
        <f>+'I) Dépenses thématiques'!O34/'J) Plafonnement effort'!C34</f>
        <v>0</v>
      </c>
      <c r="G34" s="141">
        <f t="shared" si="1"/>
        <v>25.707666713943354</v>
      </c>
      <c r="H34" s="332">
        <f t="shared" si="2"/>
        <v>0</v>
      </c>
      <c r="I34" s="57">
        <f t="shared" si="3"/>
        <v>0</v>
      </c>
      <c r="J34" s="33">
        <f t="shared" si="4"/>
        <v>25.707666713943354</v>
      </c>
    </row>
    <row r="35" spans="1:10" x14ac:dyDescent="0.25">
      <c r="A35" s="49">
        <f>'A) Base RI'!A37</f>
        <v>5437</v>
      </c>
      <c r="B35" s="285" t="str">
        <f>'A) Base RI'!B37</f>
        <v>Saubraz</v>
      </c>
      <c r="C35" s="98">
        <f>'B) D RI'!U37</f>
        <v>13155.785124999999</v>
      </c>
      <c r="D35" s="114">
        <f>'E) Fact soc'!G41/C35</f>
        <v>16.459167380286051</v>
      </c>
      <c r="E35" s="141">
        <f>'H) Péréquation directe'!I46/C35</f>
        <v>2.9118115539374072</v>
      </c>
      <c r="F35" s="114">
        <f>+'I) Dépenses thématiques'!O35/'J) Plafonnement effort'!C35</f>
        <v>-1.2697917060550743</v>
      </c>
      <c r="G35" s="141">
        <f t="shared" si="1"/>
        <v>18.101187228168385</v>
      </c>
      <c r="H35" s="332">
        <f t="shared" si="2"/>
        <v>0</v>
      </c>
      <c r="I35" s="57">
        <f t="shared" si="3"/>
        <v>0</v>
      </c>
      <c r="J35" s="33">
        <f t="shared" si="4"/>
        <v>18.101187228168385</v>
      </c>
    </row>
    <row r="36" spans="1:10" x14ac:dyDescent="0.25">
      <c r="A36" s="49">
        <f>'A) Base RI'!A38</f>
        <v>5451</v>
      </c>
      <c r="B36" s="285" t="str">
        <f>'A) Base RI'!B38</f>
        <v>Avenches</v>
      </c>
      <c r="C36" s="98">
        <f>'B) D RI'!U38</f>
        <v>129378.19823529426</v>
      </c>
      <c r="D36" s="114">
        <f>'E) Fact soc'!G42/C36</f>
        <v>18.54676414246244</v>
      </c>
      <c r="E36" s="141">
        <f>'H) Péréquation directe'!I47/C36</f>
        <v>-1.8708759669714803</v>
      </c>
      <c r="F36" s="114">
        <f>+'I) Dépenses thématiques'!O36/'J) Plafonnement effort'!C36</f>
        <v>-10.652266247034914</v>
      </c>
      <c r="G36" s="141">
        <f t="shared" si="1"/>
        <v>6.0236219284560466</v>
      </c>
      <c r="H36" s="332">
        <f t="shared" si="2"/>
        <v>0</v>
      </c>
      <c r="I36" s="57">
        <f t="shared" si="3"/>
        <v>0</v>
      </c>
      <c r="J36" s="33">
        <f t="shared" si="4"/>
        <v>6.0236219284560466</v>
      </c>
    </row>
    <row r="37" spans="1:10" x14ac:dyDescent="0.25">
      <c r="A37" s="49">
        <f>'A) Base RI'!A39</f>
        <v>5456</v>
      </c>
      <c r="B37" s="285" t="str">
        <f>'A) Base RI'!B39</f>
        <v>Cudrefin</v>
      </c>
      <c r="C37" s="98">
        <f>'B) D RI'!U39</f>
        <v>57755.250790960446</v>
      </c>
      <c r="D37" s="114">
        <f>'E) Fact soc'!G43/C37</f>
        <v>24.691250493235703</v>
      </c>
      <c r="E37" s="141">
        <f>'H) Péréquation directe'!I48/C37</f>
        <v>7.6261216099304265</v>
      </c>
      <c r="F37" s="114">
        <f>+'I) Dépenses thématiques'!O37/'J) Plafonnement effort'!C37</f>
        <v>-5.869646890531067</v>
      </c>
      <c r="G37" s="141">
        <f t="shared" si="1"/>
        <v>26.447725212635063</v>
      </c>
      <c r="H37" s="332">
        <f t="shared" si="2"/>
        <v>0</v>
      </c>
      <c r="I37" s="57">
        <f t="shared" si="3"/>
        <v>0</v>
      </c>
      <c r="J37" s="33">
        <f t="shared" si="4"/>
        <v>26.447725212635063</v>
      </c>
    </row>
    <row r="38" spans="1:10" x14ac:dyDescent="0.25">
      <c r="A38" s="49">
        <f>'A) Base RI'!A40</f>
        <v>5458</v>
      </c>
      <c r="B38" s="285" t="str">
        <f>'A) Base RI'!B40</f>
        <v>Faoug</v>
      </c>
      <c r="C38" s="98">
        <f>'B) D RI'!U40</f>
        <v>33143.605656565654</v>
      </c>
      <c r="D38" s="114">
        <f>'E) Fact soc'!G44/C38</f>
        <v>21.469340856828108</v>
      </c>
      <c r="E38" s="141">
        <f>'H) Péréquation directe'!I49/C38</f>
        <v>12.225104485321094</v>
      </c>
      <c r="F38" s="114">
        <f>+'I) Dépenses thématiques'!O38/'J) Plafonnement effort'!C38</f>
        <v>-1.9214235080688913</v>
      </c>
      <c r="G38" s="141">
        <f t="shared" si="1"/>
        <v>31.773021834080311</v>
      </c>
      <c r="H38" s="332">
        <f t="shared" si="2"/>
        <v>0</v>
      </c>
      <c r="I38" s="57">
        <f t="shared" si="3"/>
        <v>0</v>
      </c>
      <c r="J38" s="33">
        <f t="shared" si="4"/>
        <v>31.773021834080311</v>
      </c>
    </row>
    <row r="39" spans="1:10" x14ac:dyDescent="0.25">
      <c r="A39" s="49">
        <f>'A) Base RI'!A41</f>
        <v>5464</v>
      </c>
      <c r="B39" s="285" t="str">
        <f>'A) Base RI'!B41</f>
        <v>Vully-les-Lacs</v>
      </c>
      <c r="C39" s="98">
        <f>'B) D RI'!U41</f>
        <v>112741.2284079602</v>
      </c>
      <c r="D39" s="114">
        <f>'E) Fact soc'!G45/C39</f>
        <v>18.069888372057097</v>
      </c>
      <c r="E39" s="141">
        <f>'H) Péréquation directe'!I50/C39</f>
        <v>4.833761398543813</v>
      </c>
      <c r="F39" s="114">
        <f>+'I) Dépenses thématiques'!O39/'J) Plafonnement effort'!C39</f>
        <v>-4.5008960869805534</v>
      </c>
      <c r="G39" s="141">
        <f t="shared" si="1"/>
        <v>18.402753683620357</v>
      </c>
      <c r="H39" s="332">
        <f t="shared" si="2"/>
        <v>0</v>
      </c>
      <c r="I39" s="57">
        <f t="shared" si="3"/>
        <v>0</v>
      </c>
      <c r="J39" s="33">
        <f t="shared" si="4"/>
        <v>18.402753683620357</v>
      </c>
    </row>
    <row r="40" spans="1:10" x14ac:dyDescent="0.25">
      <c r="A40" s="49">
        <f>'A) Base RI'!A42</f>
        <v>5471</v>
      </c>
      <c r="B40" s="285" t="str">
        <f>'A) Base RI'!B42</f>
        <v>Bettens</v>
      </c>
      <c r="C40" s="98">
        <f>'B) D RI'!U42</f>
        <v>21708.019984126982</v>
      </c>
      <c r="D40" s="114">
        <f>'E) Fact soc'!G46/C40</f>
        <v>16.100364425569392</v>
      </c>
      <c r="E40" s="141">
        <f>'H) Péréquation directe'!I51/C40</f>
        <v>8.2701983470447527</v>
      </c>
      <c r="F40" s="114">
        <f>+'I) Dépenses thématiques'!O40/'J) Plafonnement effort'!C40</f>
        <v>-3.3862525857171117E-3</v>
      </c>
      <c r="G40" s="141">
        <f t="shared" si="1"/>
        <v>24.367176520028426</v>
      </c>
      <c r="H40" s="332">
        <f t="shared" si="2"/>
        <v>0</v>
      </c>
      <c r="I40" s="57">
        <f t="shared" si="3"/>
        <v>0</v>
      </c>
      <c r="J40" s="33">
        <f t="shared" si="4"/>
        <v>24.367176520028426</v>
      </c>
    </row>
    <row r="41" spans="1:10" x14ac:dyDescent="0.25">
      <c r="A41" s="49">
        <f>'A) Base RI'!A43</f>
        <v>5472</v>
      </c>
      <c r="B41" s="285" t="str">
        <f>'A) Base RI'!B43</f>
        <v>Bournens</v>
      </c>
      <c r="C41" s="98">
        <f>'B) D RI'!U43</f>
        <v>15065.660131578947</v>
      </c>
      <c r="D41" s="114">
        <f>'E) Fact soc'!G47/C41</f>
        <v>16.69066229433437</v>
      </c>
      <c r="E41" s="141">
        <f>'H) Péréquation directe'!I52/C41</f>
        <v>9.1695291264879213</v>
      </c>
      <c r="F41" s="114">
        <f>+'I) Dépenses thématiques'!O41/'J) Plafonnement effort'!C41</f>
        <v>-0.30642459912778885</v>
      </c>
      <c r="G41" s="141">
        <f t="shared" si="1"/>
        <v>25.553766821694502</v>
      </c>
      <c r="H41" s="332">
        <f t="shared" si="2"/>
        <v>0</v>
      </c>
      <c r="I41" s="57">
        <f t="shared" si="3"/>
        <v>0</v>
      </c>
      <c r="J41" s="33">
        <f t="shared" si="4"/>
        <v>25.553766821694502</v>
      </c>
    </row>
    <row r="42" spans="1:10" x14ac:dyDescent="0.25">
      <c r="A42" s="49">
        <f>'A) Base RI'!A44</f>
        <v>5473</v>
      </c>
      <c r="B42" s="285" t="str">
        <f>'A) Base RI'!B44</f>
        <v>Boussens</v>
      </c>
      <c r="C42" s="98">
        <f>'B) D RI'!U44</f>
        <v>34350.684492753629</v>
      </c>
      <c r="D42" s="114">
        <f>'E) Fact soc'!G48/C42</f>
        <v>16.012469250123242</v>
      </c>
      <c r="E42" s="141">
        <f>'H) Péréquation directe'!I53/C42</f>
        <v>9.5460092604910347</v>
      </c>
      <c r="F42" s="114">
        <f>+'I) Dépenses thématiques'!O42/'J) Plafonnement effort'!C42</f>
        <v>0</v>
      </c>
      <c r="G42" s="141">
        <f t="shared" si="1"/>
        <v>25.558478510614279</v>
      </c>
      <c r="H42" s="332">
        <f t="shared" si="2"/>
        <v>0</v>
      </c>
      <c r="I42" s="57">
        <f t="shared" si="3"/>
        <v>0</v>
      </c>
      <c r="J42" s="33">
        <f t="shared" si="4"/>
        <v>25.558478510614279</v>
      </c>
    </row>
    <row r="43" spans="1:10" x14ac:dyDescent="0.25">
      <c r="A43" s="49">
        <f>'A) Base RI'!A45</f>
        <v>5474</v>
      </c>
      <c r="B43" s="285" t="str">
        <f>'A) Base RI'!B45</f>
        <v>La Chaux (Cossonay)</v>
      </c>
      <c r="C43" s="98">
        <f>'B) D RI'!U45</f>
        <v>15323.423073593074</v>
      </c>
      <c r="D43" s="114">
        <f>'E) Fact soc'!G49/C43</f>
        <v>18.047167968621228</v>
      </c>
      <c r="E43" s="141">
        <f>'H) Péréquation directe'!I54/C43</f>
        <v>11.726743542873185</v>
      </c>
      <c r="F43" s="114">
        <f>+'I) Dépenses thématiques'!O43/'J) Plafonnement effort'!C43</f>
        <v>-9.7653149686431</v>
      </c>
      <c r="G43" s="141">
        <f t="shared" si="1"/>
        <v>20.008596542851311</v>
      </c>
      <c r="H43" s="332">
        <f t="shared" si="2"/>
        <v>0</v>
      </c>
      <c r="I43" s="57">
        <f t="shared" si="3"/>
        <v>0</v>
      </c>
      <c r="J43" s="33">
        <f t="shared" si="4"/>
        <v>20.008596542851311</v>
      </c>
    </row>
    <row r="44" spans="1:10" x14ac:dyDescent="0.25">
      <c r="A44" s="49">
        <f>'A) Base RI'!A46</f>
        <v>5475</v>
      </c>
      <c r="B44" s="285" t="str">
        <f>'A) Base RI'!B46</f>
        <v>Chavannes-le-Veyron</v>
      </c>
      <c r="C44" s="98">
        <f>'B) D RI'!U46</f>
        <v>3045.9346753246755</v>
      </c>
      <c r="D44" s="114">
        <f>'E) Fact soc'!G50/C44</f>
        <v>18.900207842721464</v>
      </c>
      <c r="E44" s="141">
        <f>'H) Péréquation directe'!I55/C44</f>
        <v>-17.992887060087064</v>
      </c>
      <c r="F44" s="114">
        <f>+'I) Dépenses thématiques'!O44/'J) Plafonnement effort'!C44</f>
        <v>-5.9333681519880237</v>
      </c>
      <c r="G44" s="141">
        <f t="shared" si="1"/>
        <v>-5.0260473693536234</v>
      </c>
      <c r="H44" s="332">
        <f t="shared" si="2"/>
        <v>0</v>
      </c>
      <c r="I44" s="57">
        <f t="shared" si="3"/>
        <v>0</v>
      </c>
      <c r="J44" s="33">
        <f t="shared" si="4"/>
        <v>-5.0260473693536234</v>
      </c>
    </row>
    <row r="45" spans="1:10" x14ac:dyDescent="0.25">
      <c r="A45" s="49">
        <f>'A) Base RI'!A47</f>
        <v>5476</v>
      </c>
      <c r="B45" s="285" t="str">
        <f>'A) Base RI'!B47</f>
        <v>Chevilly</v>
      </c>
      <c r="C45" s="98">
        <f>'B) D RI'!U47</f>
        <v>12632.544999999996</v>
      </c>
      <c r="D45" s="114">
        <f>'E) Fact soc'!G51/C45</f>
        <v>14.691171416609194</v>
      </c>
      <c r="E45" s="141">
        <f>'H) Péréquation directe'!I56/C45</f>
        <v>12.896302825347172</v>
      </c>
      <c r="F45" s="114">
        <f>+'I) Dépenses thématiques'!O45/'J) Plafonnement effort'!C45</f>
        <v>-0.83261820097171524</v>
      </c>
      <c r="G45" s="141">
        <f t="shared" si="1"/>
        <v>26.754856040984649</v>
      </c>
      <c r="H45" s="332">
        <f t="shared" si="2"/>
        <v>0</v>
      </c>
      <c r="I45" s="57">
        <f t="shared" si="3"/>
        <v>0</v>
      </c>
      <c r="J45" s="33">
        <f t="shared" si="4"/>
        <v>26.754856040984649</v>
      </c>
    </row>
    <row r="46" spans="1:10" x14ac:dyDescent="0.25">
      <c r="A46" s="49">
        <f>'A) Base RI'!A48</f>
        <v>5477</v>
      </c>
      <c r="B46" s="285" t="str">
        <f>'A) Base RI'!B48</f>
        <v>Cossonay</v>
      </c>
      <c r="C46" s="98">
        <f>'B) D RI'!U48</f>
        <v>144389.2549295775</v>
      </c>
      <c r="D46" s="114">
        <f>'E) Fact soc'!G52/C46</f>
        <v>16.456927394256901</v>
      </c>
      <c r="E46" s="141">
        <f>'H) Péréquation directe'!I57/C46</f>
        <v>4.2367715499520147</v>
      </c>
      <c r="F46" s="114">
        <f>+'I) Dépenses thématiques'!O46/'J) Plafonnement effort'!C46</f>
        <v>-3.7826774136630115</v>
      </c>
      <c r="G46" s="141">
        <f t="shared" si="1"/>
        <v>16.911021530545902</v>
      </c>
      <c r="H46" s="332">
        <f t="shared" si="2"/>
        <v>0</v>
      </c>
      <c r="I46" s="57">
        <f t="shared" si="3"/>
        <v>0</v>
      </c>
      <c r="J46" s="33">
        <f t="shared" si="4"/>
        <v>16.911021530545902</v>
      </c>
    </row>
    <row r="47" spans="1:10" x14ac:dyDescent="0.25">
      <c r="A47" s="49">
        <f>'A) Base RI'!A49</f>
        <v>5478</v>
      </c>
      <c r="B47" s="285" t="str">
        <f>'A) Base RI'!B49</f>
        <v>Cottens</v>
      </c>
      <c r="C47" s="98">
        <f>'B) D RI'!U49</f>
        <v>17566.345945945945</v>
      </c>
      <c r="D47" s="114">
        <f>'E) Fact soc'!G53/C47</f>
        <v>17.682234564385009</v>
      </c>
      <c r="E47" s="141">
        <f>'H) Péréquation directe'!I58/C47</f>
        <v>9.8792188502710552</v>
      </c>
      <c r="F47" s="114">
        <f>+'I) Dépenses thématiques'!O47/'J) Plafonnement effort'!C47</f>
        <v>-31.184557747069992</v>
      </c>
      <c r="G47" s="141">
        <f t="shared" si="1"/>
        <v>-3.6231043324139272</v>
      </c>
      <c r="H47" s="332">
        <f t="shared" si="2"/>
        <v>0</v>
      </c>
      <c r="I47" s="57">
        <f t="shared" si="3"/>
        <v>0</v>
      </c>
      <c r="J47" s="33">
        <f t="shared" si="4"/>
        <v>-3.6231043324139272</v>
      </c>
    </row>
    <row r="48" spans="1:10" x14ac:dyDescent="0.25">
      <c r="A48" s="49">
        <f>'A) Base RI'!A50</f>
        <v>5479</v>
      </c>
      <c r="B48" s="285" t="str">
        <f>'A) Base RI'!B50</f>
        <v>Cuarnens</v>
      </c>
      <c r="C48" s="98">
        <f>'B) D RI'!U50</f>
        <v>17277.023636363636</v>
      </c>
      <c r="D48" s="114">
        <f>'E) Fact soc'!G54/C48</f>
        <v>16.134087773309101</v>
      </c>
      <c r="E48" s="141">
        <f>'H) Péréquation directe'!I59/C48</f>
        <v>8.8289284734466573</v>
      </c>
      <c r="F48" s="114">
        <f>+'I) Dépenses thématiques'!O48/'J) Plafonnement effort'!C48</f>
        <v>-17.523640988824365</v>
      </c>
      <c r="G48" s="141">
        <f t="shared" si="1"/>
        <v>7.4393752579313919</v>
      </c>
      <c r="H48" s="332">
        <f t="shared" si="2"/>
        <v>0</v>
      </c>
      <c r="I48" s="57">
        <f t="shared" si="3"/>
        <v>0</v>
      </c>
      <c r="J48" s="33">
        <f t="shared" si="4"/>
        <v>7.4393752579313919</v>
      </c>
    </row>
    <row r="49" spans="1:10" x14ac:dyDescent="0.25">
      <c r="A49" s="49">
        <f>'A) Base RI'!A51</f>
        <v>5480</v>
      </c>
      <c r="B49" s="285" t="str">
        <f>'A) Base RI'!B51</f>
        <v>Daillens</v>
      </c>
      <c r="C49" s="98">
        <f>'B) D RI'!U51</f>
        <v>40568.804343434349</v>
      </c>
      <c r="D49" s="114">
        <f>'E) Fact soc'!G55/C49</f>
        <v>17.274006101924684</v>
      </c>
      <c r="E49" s="141">
        <f>'H) Péréquation directe'!I60/C49</f>
        <v>13.146883826997314</v>
      </c>
      <c r="F49" s="114">
        <f>+'I) Dépenses thématiques'!O49/'J) Plafonnement effort'!C49</f>
        <v>-10.426033147827884</v>
      </c>
      <c r="G49" s="141">
        <f t="shared" si="1"/>
        <v>19.994856781094114</v>
      </c>
      <c r="H49" s="332">
        <f t="shared" si="2"/>
        <v>0</v>
      </c>
      <c r="I49" s="57">
        <f t="shared" si="3"/>
        <v>0</v>
      </c>
      <c r="J49" s="33">
        <f t="shared" si="4"/>
        <v>19.994856781094114</v>
      </c>
    </row>
    <row r="50" spans="1:10" x14ac:dyDescent="0.25">
      <c r="A50" s="49">
        <f>'A) Base RI'!A52</f>
        <v>5481</v>
      </c>
      <c r="B50" s="285" t="str">
        <f>'A) Base RI'!B52</f>
        <v>Dizy</v>
      </c>
      <c r="C50" s="98">
        <f>'B) D RI'!U52</f>
        <v>9658.8267088607608</v>
      </c>
      <c r="D50" s="114">
        <f>'E) Fact soc'!G56/C50</f>
        <v>14.698193491033386</v>
      </c>
      <c r="E50" s="141">
        <f>'H) Péréquation directe'!I61/C50</f>
        <v>13.462391539566728</v>
      </c>
      <c r="F50" s="114">
        <f>+'I) Dépenses thématiques'!O50/'J) Plafonnement effort'!C50</f>
        <v>-1.4776296978487446</v>
      </c>
      <c r="G50" s="141">
        <f t="shared" si="1"/>
        <v>26.682955332751369</v>
      </c>
      <c r="H50" s="332">
        <f t="shared" si="2"/>
        <v>0</v>
      </c>
      <c r="I50" s="57">
        <f t="shared" si="3"/>
        <v>0</v>
      </c>
      <c r="J50" s="33">
        <f t="shared" si="4"/>
        <v>26.682955332751369</v>
      </c>
    </row>
    <row r="51" spans="1:10" x14ac:dyDescent="0.25">
      <c r="A51" s="49">
        <f>'A) Base RI'!A53</f>
        <v>5482</v>
      </c>
      <c r="B51" s="285" t="str">
        <f>'A) Base RI'!B53</f>
        <v>Eclépens</v>
      </c>
      <c r="C51" s="98">
        <f>'B) D RI'!U53</f>
        <v>60116.695217391316</v>
      </c>
      <c r="D51" s="114">
        <f>'E) Fact soc'!G57/C51</f>
        <v>17.656267484746888</v>
      </c>
      <c r="E51" s="141">
        <f>'H) Péréquation directe'!I62/C51</f>
        <v>16.617954764004143</v>
      </c>
      <c r="F51" s="114">
        <f>+'I) Dépenses thématiques'!O51/'J) Plafonnement effort'!C51</f>
        <v>-1.0117986213701544</v>
      </c>
      <c r="G51" s="141">
        <f t="shared" si="1"/>
        <v>33.262423627380876</v>
      </c>
      <c r="H51" s="332">
        <f t="shared" si="2"/>
        <v>0</v>
      </c>
      <c r="I51" s="57">
        <f t="shared" si="3"/>
        <v>0</v>
      </c>
      <c r="J51" s="33">
        <f t="shared" si="4"/>
        <v>33.262423627380876</v>
      </c>
    </row>
    <row r="52" spans="1:10" x14ac:dyDescent="0.25">
      <c r="A52" s="49">
        <f>'A) Base RI'!A54</f>
        <v>5483</v>
      </c>
      <c r="B52" s="285" t="str">
        <f>'A) Base RI'!B54</f>
        <v>Ferreyres</v>
      </c>
      <c r="C52" s="98">
        <f>'B) D RI'!U54</f>
        <v>11167.980394736842</v>
      </c>
      <c r="D52" s="114">
        <f>'E) Fact soc'!G58/C52</f>
        <v>17.370586041486419</v>
      </c>
      <c r="E52" s="141">
        <f>'H) Péréquation directe'!I63/C52</f>
        <v>8.396225839595413</v>
      </c>
      <c r="F52" s="114">
        <f>+'I) Dépenses thématiques'!O52/'J) Plafonnement effort'!C52</f>
        <v>-0.17228774339957742</v>
      </c>
      <c r="G52" s="141">
        <f t="shared" si="1"/>
        <v>25.594524137682253</v>
      </c>
      <c r="H52" s="332">
        <f t="shared" si="2"/>
        <v>0</v>
      </c>
      <c r="I52" s="57">
        <f t="shared" si="3"/>
        <v>0</v>
      </c>
      <c r="J52" s="33">
        <f t="shared" si="4"/>
        <v>25.594524137682253</v>
      </c>
    </row>
    <row r="53" spans="1:10" x14ac:dyDescent="0.25">
      <c r="A53" s="49">
        <f>'A) Base RI'!A55</f>
        <v>5484</v>
      </c>
      <c r="B53" s="285" t="str">
        <f>'A) Base RI'!B55</f>
        <v>Gollion</v>
      </c>
      <c r="C53" s="98">
        <f>'B) D RI'!U55</f>
        <v>33995.543783783789</v>
      </c>
      <c r="D53" s="114">
        <f>'E) Fact soc'!G59/C53</f>
        <v>18.822844405673134</v>
      </c>
      <c r="E53" s="141">
        <f>'H) Péréquation directe'!I64/C53</f>
        <v>9.996479562586428</v>
      </c>
      <c r="F53" s="114">
        <f>+'I) Dépenses thématiques'!O53/'J) Plafonnement effort'!C53</f>
        <v>-3.4798174694573833</v>
      </c>
      <c r="G53" s="141">
        <f t="shared" si="1"/>
        <v>25.339506498802177</v>
      </c>
      <c r="H53" s="332">
        <f t="shared" si="2"/>
        <v>0</v>
      </c>
      <c r="I53" s="57">
        <f t="shared" si="3"/>
        <v>0</v>
      </c>
      <c r="J53" s="33">
        <f t="shared" si="4"/>
        <v>25.339506498802177</v>
      </c>
    </row>
    <row r="54" spans="1:10" x14ac:dyDescent="0.25">
      <c r="A54" s="49">
        <f>'A) Base RI'!A56</f>
        <v>5485</v>
      </c>
      <c r="B54" s="285" t="str">
        <f>'A) Base RI'!B56</f>
        <v>Grancy</v>
      </c>
      <c r="C54" s="98">
        <f>'B) D RI'!U56</f>
        <v>16957.048857142858</v>
      </c>
      <c r="D54" s="114">
        <f>'E) Fact soc'!G60/C54</f>
        <v>17.3190437766767</v>
      </c>
      <c r="E54" s="141">
        <f>'H) Péréquation directe'!I65/C54</f>
        <v>15.061545722221727</v>
      </c>
      <c r="F54" s="114">
        <f>+'I) Dépenses thématiques'!O54/'J) Plafonnement effort'!C54</f>
        <v>-1.7040408756864118</v>
      </c>
      <c r="G54" s="141">
        <f t="shared" si="1"/>
        <v>30.676548623212017</v>
      </c>
      <c r="H54" s="332">
        <f t="shared" si="2"/>
        <v>0</v>
      </c>
      <c r="I54" s="57">
        <f t="shared" si="3"/>
        <v>0</v>
      </c>
      <c r="J54" s="33">
        <f t="shared" si="4"/>
        <v>30.676548623212017</v>
      </c>
    </row>
    <row r="55" spans="1:10" x14ac:dyDescent="0.25">
      <c r="A55" s="49">
        <f>'A) Base RI'!A57</f>
        <v>5486</v>
      </c>
      <c r="B55" s="285" t="str">
        <f>'A) Base RI'!B57</f>
        <v>L'Isle</v>
      </c>
      <c r="C55" s="98">
        <f>'B) D RI'!U57</f>
        <v>35667.648026315794</v>
      </c>
      <c r="D55" s="114">
        <f>'E) Fact soc'!G61/C55</f>
        <v>23.655332994185066</v>
      </c>
      <c r="E55" s="141">
        <f>'H) Péréquation directe'!I66/C55</f>
        <v>8.6975166839061835</v>
      </c>
      <c r="F55" s="114">
        <f>+'I) Dépenses thématiques'!O55/'J) Plafonnement effort'!C55</f>
        <v>-8.0537306937777231</v>
      </c>
      <c r="G55" s="141">
        <f t="shared" si="1"/>
        <v>24.299118984313523</v>
      </c>
      <c r="H55" s="332">
        <f t="shared" si="2"/>
        <v>0</v>
      </c>
      <c r="I55" s="57">
        <f t="shared" si="3"/>
        <v>0</v>
      </c>
      <c r="J55" s="33">
        <f t="shared" si="4"/>
        <v>24.299118984313523</v>
      </c>
    </row>
    <row r="56" spans="1:10" x14ac:dyDescent="0.25">
      <c r="A56" s="49">
        <f>'A) Base RI'!A58</f>
        <v>5487</v>
      </c>
      <c r="B56" s="285" t="str">
        <f>'A) Base RI'!B58</f>
        <v>Lussery-Villars</v>
      </c>
      <c r="C56" s="98">
        <f>'B) D RI'!U58</f>
        <v>15504.095066666665</v>
      </c>
      <c r="D56" s="114">
        <f>'E) Fact soc'!G62/C56</f>
        <v>16.955529629651799</v>
      </c>
      <c r="E56" s="141">
        <f>'H) Péréquation directe'!I67/C56</f>
        <v>7.4871904817043697</v>
      </c>
      <c r="F56" s="114">
        <f>+'I) Dépenses thématiques'!O56/'J) Plafonnement effort'!C56</f>
        <v>-2.6255417762167816</v>
      </c>
      <c r="G56" s="141">
        <f t="shared" si="1"/>
        <v>21.817178335139388</v>
      </c>
      <c r="H56" s="332">
        <f t="shared" si="2"/>
        <v>0</v>
      </c>
      <c r="I56" s="57">
        <f t="shared" si="3"/>
        <v>0</v>
      </c>
      <c r="J56" s="33">
        <f t="shared" si="4"/>
        <v>21.817178335139388</v>
      </c>
    </row>
    <row r="57" spans="1:10" x14ac:dyDescent="0.25">
      <c r="A57" s="49">
        <f>'A) Base RI'!A59</f>
        <v>5488</v>
      </c>
      <c r="B57" s="285" t="str">
        <f>'A) Base RI'!B59</f>
        <v>Mauraz</v>
      </c>
      <c r="C57" s="98">
        <f>'B) D RI'!U59</f>
        <v>1751.8621794871794</v>
      </c>
      <c r="D57" s="114">
        <f>'E) Fact soc'!G63/C57</f>
        <v>14.691171416609194</v>
      </c>
      <c r="E57" s="141">
        <f>'H) Péréquation directe'!I68/C57</f>
        <v>3.0727129323674758</v>
      </c>
      <c r="F57" s="114">
        <f>+'I) Dépenses thématiques'!O57/'J) Plafonnement effort'!C57</f>
        <v>0</v>
      </c>
      <c r="G57" s="141">
        <f t="shared" si="1"/>
        <v>17.763884348976671</v>
      </c>
      <c r="H57" s="332">
        <f t="shared" si="2"/>
        <v>0</v>
      </c>
      <c r="I57" s="57">
        <f t="shared" si="3"/>
        <v>0</v>
      </c>
      <c r="J57" s="33">
        <f t="shared" si="4"/>
        <v>17.763884348976671</v>
      </c>
    </row>
    <row r="58" spans="1:10" x14ac:dyDescent="0.25">
      <c r="A58" s="49">
        <f>'A) Base RI'!A60</f>
        <v>5489</v>
      </c>
      <c r="B58" s="285" t="str">
        <f>'A) Base RI'!B60</f>
        <v>Mex</v>
      </c>
      <c r="C58" s="98">
        <f>'B) D RI'!U60</f>
        <v>62953.268196721314</v>
      </c>
      <c r="D58" s="114">
        <f>'E) Fact soc'!G64/C58</f>
        <v>24.944878554853467</v>
      </c>
      <c r="E58" s="141">
        <f>'H) Péréquation directe'!I69/C58</f>
        <v>18.573858879069721</v>
      </c>
      <c r="F58" s="114">
        <f>+'I) Dépenses thématiques'!O58/'J) Plafonnement effort'!C58</f>
        <v>0</v>
      </c>
      <c r="G58" s="141">
        <f t="shared" si="1"/>
        <v>43.518737433923192</v>
      </c>
      <c r="H58" s="332">
        <f t="shared" si="2"/>
        <v>0</v>
      </c>
      <c r="I58" s="57">
        <f t="shared" si="3"/>
        <v>0</v>
      </c>
      <c r="J58" s="33">
        <f t="shared" si="4"/>
        <v>43.518737433923192</v>
      </c>
    </row>
    <row r="59" spans="1:10" x14ac:dyDescent="0.25">
      <c r="A59" s="49">
        <f>'A) Base RI'!A61</f>
        <v>5490</v>
      </c>
      <c r="B59" s="285" t="str">
        <f>'A) Base RI'!B61</f>
        <v>Moiry</v>
      </c>
      <c r="C59" s="98">
        <f>'B) D RI'!U61</f>
        <v>8346.3239490445867</v>
      </c>
      <c r="D59" s="114">
        <f>'E) Fact soc'!G65/C59</f>
        <v>15.80078267259934</v>
      </c>
      <c r="E59" s="141">
        <f>'H) Péréquation directe'!I70/C59</f>
        <v>-2.9661990320817666</v>
      </c>
      <c r="F59" s="114">
        <f>+'I) Dépenses thématiques'!O59/'J) Plafonnement effort'!C59</f>
        <v>-7.596216078632744</v>
      </c>
      <c r="G59" s="141">
        <f t="shared" si="1"/>
        <v>5.2383675618848295</v>
      </c>
      <c r="H59" s="332">
        <f t="shared" si="2"/>
        <v>0</v>
      </c>
      <c r="I59" s="57">
        <f t="shared" si="3"/>
        <v>0</v>
      </c>
      <c r="J59" s="33">
        <f t="shared" si="4"/>
        <v>5.2383675618848295</v>
      </c>
    </row>
    <row r="60" spans="1:10" x14ac:dyDescent="0.25">
      <c r="A60" s="49">
        <f>'A) Base RI'!A62</f>
        <v>5491</v>
      </c>
      <c r="B60" s="285" t="str">
        <f>'A) Base RI'!B62</f>
        <v>Mont-la-Ville</v>
      </c>
      <c r="C60" s="98">
        <f>'B) D RI'!U62</f>
        <v>14105.600657894736</v>
      </c>
      <c r="D60" s="114">
        <f>'E) Fact soc'!G66/C60</f>
        <v>15.635769617221278</v>
      </c>
      <c r="E60" s="141">
        <f>'H) Péréquation directe'!I71/C60</f>
        <v>2.0980002311965213</v>
      </c>
      <c r="F60" s="114">
        <f>+'I) Dépenses thématiques'!O60/'J) Plafonnement effort'!C60</f>
        <v>-6.8655343553987649</v>
      </c>
      <c r="G60" s="141">
        <f t="shared" si="1"/>
        <v>10.868235493019036</v>
      </c>
      <c r="H60" s="332">
        <f t="shared" si="2"/>
        <v>0</v>
      </c>
      <c r="I60" s="57">
        <f t="shared" si="3"/>
        <v>0</v>
      </c>
      <c r="J60" s="33">
        <f t="shared" si="4"/>
        <v>10.868235493019036</v>
      </c>
    </row>
    <row r="61" spans="1:10" x14ac:dyDescent="0.25">
      <c r="A61" s="49">
        <f>'A) Base RI'!A63</f>
        <v>5492</v>
      </c>
      <c r="B61" s="285" t="str">
        <f>'A) Base RI'!B63</f>
        <v>Montricher</v>
      </c>
      <c r="C61" s="98">
        <f>'B) D RI'!U63</f>
        <v>190092.85661458335</v>
      </c>
      <c r="D61" s="114">
        <f>'E) Fact soc'!G67/C61</f>
        <v>38.61291548868585</v>
      </c>
      <c r="E61" s="141">
        <f>'H) Péréquation directe'!I72/C61</f>
        <v>19.369601541680275</v>
      </c>
      <c r="F61" s="114">
        <f>+'I) Dépenses thématiques'!O61/'J) Plafonnement effort'!C61</f>
        <v>-0.7522485439360761</v>
      </c>
      <c r="G61" s="141">
        <f t="shared" si="1"/>
        <v>57.230268486430049</v>
      </c>
      <c r="H61" s="332">
        <f t="shared" si="2"/>
        <v>-12.230268486430049</v>
      </c>
      <c r="I61" s="57">
        <f t="shared" si="3"/>
        <v>-2324886.6737488047</v>
      </c>
      <c r="J61" s="33">
        <f t="shared" si="4"/>
        <v>45</v>
      </c>
    </row>
    <row r="62" spans="1:10" x14ac:dyDescent="0.25">
      <c r="A62" s="49">
        <f>'A) Base RI'!A64</f>
        <v>5493</v>
      </c>
      <c r="B62" s="285" t="str">
        <f>'A) Base RI'!B64</f>
        <v>Orny</v>
      </c>
      <c r="C62" s="98">
        <f>'B) D RI'!U64</f>
        <v>10669.457639620656</v>
      </c>
      <c r="D62" s="114">
        <f>'E) Fact soc'!G68/C62</f>
        <v>22.694477478100431</v>
      </c>
      <c r="E62" s="141">
        <f>'H) Péréquation directe'!I73/C62</f>
        <v>-2.5601098025677236</v>
      </c>
      <c r="F62" s="114">
        <f>+'I) Dépenses thématiques'!O62/'J) Plafonnement effort'!C62</f>
        <v>0</v>
      </c>
      <c r="G62" s="141">
        <f t="shared" si="1"/>
        <v>20.134367675532708</v>
      </c>
      <c r="H62" s="332">
        <f t="shared" si="2"/>
        <v>0</v>
      </c>
      <c r="I62" s="57">
        <f t="shared" si="3"/>
        <v>0</v>
      </c>
      <c r="J62" s="33">
        <f t="shared" si="4"/>
        <v>20.134367675532708</v>
      </c>
    </row>
    <row r="63" spans="1:10" x14ac:dyDescent="0.25">
      <c r="A63" s="49">
        <f>'A) Base RI'!A65</f>
        <v>5494</v>
      </c>
      <c r="B63" s="285" t="str">
        <f>'A) Base RI'!B65</f>
        <v>Pampigny</v>
      </c>
      <c r="C63" s="98">
        <f>'B) D RI'!U65</f>
        <v>37008.943269841264</v>
      </c>
      <c r="D63" s="114">
        <f>'E) Fact soc'!G69/C63</f>
        <v>17.361891552532274</v>
      </c>
      <c r="E63" s="141">
        <f>'H) Péréquation directe'!I74/C63</f>
        <v>6.6245381653959434</v>
      </c>
      <c r="F63" s="114">
        <f>+'I) Dépenses thématiques'!O63/'J) Plafonnement effort'!C63</f>
        <v>-6.3398502680283864</v>
      </c>
      <c r="G63" s="141">
        <f t="shared" si="1"/>
        <v>17.646579449899832</v>
      </c>
      <c r="H63" s="332">
        <f t="shared" si="2"/>
        <v>0</v>
      </c>
      <c r="I63" s="57">
        <f t="shared" si="3"/>
        <v>0</v>
      </c>
      <c r="J63" s="33">
        <f t="shared" si="4"/>
        <v>17.646579449899832</v>
      </c>
    </row>
    <row r="64" spans="1:10" x14ac:dyDescent="0.25">
      <c r="A64" s="49">
        <f>'A) Base RI'!A66</f>
        <v>5495</v>
      </c>
      <c r="B64" s="285" t="str">
        <f>'A) Base RI'!B66</f>
        <v>Penthalaz</v>
      </c>
      <c r="C64" s="98">
        <f>'B) D RI'!U66</f>
        <v>95334.294459459459</v>
      </c>
      <c r="D64" s="114">
        <f>'E) Fact soc'!G70/C64</f>
        <v>16.979893132515802</v>
      </c>
      <c r="E64" s="141">
        <f>'H) Péréquation directe'!I75/C64</f>
        <v>-3.2704595607548024</v>
      </c>
      <c r="F64" s="114">
        <f>+'I) Dépenses thématiques'!O64/'J) Plafonnement effort'!C64</f>
        <v>-6.0296800174008363</v>
      </c>
      <c r="G64" s="141">
        <f t="shared" si="1"/>
        <v>7.6797535543601638</v>
      </c>
      <c r="H64" s="332">
        <f t="shared" si="2"/>
        <v>0</v>
      </c>
      <c r="I64" s="57">
        <f t="shared" si="3"/>
        <v>0</v>
      </c>
      <c r="J64" s="33">
        <f t="shared" si="4"/>
        <v>7.6797535543601638</v>
      </c>
    </row>
    <row r="65" spans="1:10" x14ac:dyDescent="0.25">
      <c r="A65" s="49">
        <f>'A) Base RI'!A67</f>
        <v>5496</v>
      </c>
      <c r="B65" s="285" t="str">
        <f>'A) Base RI'!B67</f>
        <v>Penthaz</v>
      </c>
      <c r="C65" s="98">
        <f>'B) D RI'!U67</f>
        <v>59470.759859154932</v>
      </c>
      <c r="D65" s="114">
        <f>'E) Fact soc'!G71/C65</f>
        <v>18.346338098770513</v>
      </c>
      <c r="E65" s="141">
        <f>'H) Péréquation directe'!I76/C65</f>
        <v>5.5224407721530948</v>
      </c>
      <c r="F65" s="114">
        <f>+'I) Dépenses thématiques'!O65/'J) Plafonnement effort'!C65</f>
        <v>-4.3483816723719002</v>
      </c>
      <c r="G65" s="141">
        <f t="shared" si="1"/>
        <v>19.520397198551706</v>
      </c>
      <c r="H65" s="332">
        <f t="shared" si="2"/>
        <v>0</v>
      </c>
      <c r="I65" s="57">
        <f t="shared" si="3"/>
        <v>0</v>
      </c>
      <c r="J65" s="33">
        <f t="shared" si="4"/>
        <v>19.520397198551706</v>
      </c>
    </row>
    <row r="66" spans="1:10" x14ac:dyDescent="0.25">
      <c r="A66" s="49">
        <f>'A) Base RI'!A68</f>
        <v>5497</v>
      </c>
      <c r="B66" s="285" t="str">
        <f>'A) Base RI'!B68</f>
        <v>Pompaples</v>
      </c>
      <c r="C66" s="98">
        <f>'B) D RI'!U68</f>
        <v>22300.858484848486</v>
      </c>
      <c r="D66" s="114">
        <f>'E) Fact soc'!G72/C66</f>
        <v>20.086395779014158</v>
      </c>
      <c r="E66" s="141">
        <f>'H) Péréquation directe'!I77/C66</f>
        <v>1.4446329635283075</v>
      </c>
      <c r="F66" s="114">
        <f>+'I) Dépenses thématiques'!O66/'J) Plafonnement effort'!C66</f>
        <v>-7.8391541500727184</v>
      </c>
      <c r="G66" s="141">
        <f t="shared" si="1"/>
        <v>13.691874592469745</v>
      </c>
      <c r="H66" s="332">
        <f t="shared" si="2"/>
        <v>0</v>
      </c>
      <c r="I66" s="57">
        <f t="shared" si="3"/>
        <v>0</v>
      </c>
      <c r="J66" s="33">
        <f t="shared" si="4"/>
        <v>13.691874592469745</v>
      </c>
    </row>
    <row r="67" spans="1:10" x14ac:dyDescent="0.25">
      <c r="A67" s="49">
        <f>'A) Base RI'!A69</f>
        <v>5498</v>
      </c>
      <c r="B67" s="285" t="str">
        <f>'A) Base RI'!B69</f>
        <v>La Sarraz</v>
      </c>
      <c r="C67" s="98">
        <f>'B) D RI'!U69</f>
        <v>77649.398333333345</v>
      </c>
      <c r="D67" s="114">
        <f>'E) Fact soc'!G73/C67</f>
        <v>18.323738520209204</v>
      </c>
      <c r="E67" s="141">
        <f>'H) Péréquation directe'!I78/C67</f>
        <v>0.40829786538527318</v>
      </c>
      <c r="F67" s="114">
        <f>+'I) Dépenses thématiques'!O67/'J) Plafonnement effort'!C67</f>
        <v>-7.2951903325983798</v>
      </c>
      <c r="G67" s="141">
        <f t="shared" si="1"/>
        <v>11.436846052996096</v>
      </c>
      <c r="H67" s="332">
        <f t="shared" si="2"/>
        <v>0</v>
      </c>
      <c r="I67" s="57">
        <f t="shared" si="3"/>
        <v>0</v>
      </c>
      <c r="J67" s="33">
        <f t="shared" si="4"/>
        <v>11.436846052996096</v>
      </c>
    </row>
    <row r="68" spans="1:10" x14ac:dyDescent="0.25">
      <c r="A68" s="49">
        <f>'A) Base RI'!A70</f>
        <v>5499</v>
      </c>
      <c r="B68" s="285" t="str">
        <f>'A) Base RI'!B70</f>
        <v>Senarclens</v>
      </c>
      <c r="C68" s="98">
        <f>'B) D RI'!U70</f>
        <v>19517.373430656935</v>
      </c>
      <c r="D68" s="114">
        <f>'E) Fact soc'!G74/C68</f>
        <v>17.771851571324877</v>
      </c>
      <c r="E68" s="141">
        <f>'H) Péréquation directe'!I79/C68</f>
        <v>14.117666211772894</v>
      </c>
      <c r="F68" s="114">
        <f>+'I) Dépenses thématiques'!O68/'J) Plafonnement effort'!C68</f>
        <v>0</v>
      </c>
      <c r="G68" s="141">
        <f t="shared" si="1"/>
        <v>31.889517783097773</v>
      </c>
      <c r="H68" s="332">
        <f t="shared" si="2"/>
        <v>0</v>
      </c>
      <c r="I68" s="57">
        <f t="shared" si="3"/>
        <v>0</v>
      </c>
      <c r="J68" s="33">
        <f t="shared" si="4"/>
        <v>31.889517783097773</v>
      </c>
    </row>
    <row r="69" spans="1:10" x14ac:dyDescent="0.25">
      <c r="A69" s="49">
        <f>'A) Base RI'!A71</f>
        <v>5500</v>
      </c>
      <c r="B69" s="285" t="str">
        <f>'A) Base RI'!B71</f>
        <v>Sévery</v>
      </c>
      <c r="C69" s="98">
        <f>'B) D RI'!U71</f>
        <v>6999.0248888888891</v>
      </c>
      <c r="D69" s="114">
        <f>'E) Fact soc'!G75/C69</f>
        <v>16.962577112742355</v>
      </c>
      <c r="E69" s="141">
        <f>'H) Péréquation directe'!I80/C69</f>
        <v>4.1637808619796743</v>
      </c>
      <c r="F69" s="114">
        <f>+'I) Dépenses thématiques'!O69/'J) Plafonnement effort'!C69</f>
        <v>-2.5425591445665132</v>
      </c>
      <c r="G69" s="141">
        <f t="shared" si="1"/>
        <v>18.583798830155516</v>
      </c>
      <c r="H69" s="332">
        <f t="shared" si="2"/>
        <v>0</v>
      </c>
      <c r="I69" s="57">
        <f t="shared" si="3"/>
        <v>0</v>
      </c>
      <c r="J69" s="33">
        <f t="shared" si="4"/>
        <v>18.583798830155516</v>
      </c>
    </row>
    <row r="70" spans="1:10" x14ac:dyDescent="0.25">
      <c r="A70" s="49">
        <f>'A) Base RI'!A72</f>
        <v>5501</v>
      </c>
      <c r="B70" s="285" t="str">
        <f>'A) Base RI'!B72</f>
        <v>Sullens</v>
      </c>
      <c r="C70" s="98">
        <f>'B) D RI'!U72</f>
        <v>40473.718571428566</v>
      </c>
      <c r="D70" s="114">
        <f>'E) Fact soc'!G76/C70</f>
        <v>16.924402589585888</v>
      </c>
      <c r="E70" s="141">
        <f>'H) Péréquation directe'!I81/C70</f>
        <v>12.619748740402034</v>
      </c>
      <c r="F70" s="114">
        <f>+'I) Dépenses thématiques'!O70/'J) Plafonnement effort'!C70</f>
        <v>-0.15443073806152902</v>
      </c>
      <c r="G70" s="141">
        <f t="shared" ref="G70:G133" si="5">SUM(D70:F70)</f>
        <v>29.389720591926395</v>
      </c>
      <c r="H70" s="332">
        <f t="shared" ref="H70:H133" si="6">IF(G70&gt;H$4,H$4-G70,0)</f>
        <v>0</v>
      </c>
      <c r="I70" s="57">
        <f t="shared" ref="I70:I133" si="7">H70*C70</f>
        <v>0</v>
      </c>
      <c r="J70" s="33">
        <f t="shared" ref="J70:J133" si="8">G70+H70</f>
        <v>29.389720591926395</v>
      </c>
    </row>
    <row r="71" spans="1:10" x14ac:dyDescent="0.25">
      <c r="A71" s="49">
        <f>'A) Base RI'!A73</f>
        <v>5503</v>
      </c>
      <c r="B71" s="285" t="str">
        <f>'A) Base RI'!B73</f>
        <v>Vufflens-la-Ville</v>
      </c>
      <c r="C71" s="98">
        <f>'B) D RI'!U73</f>
        <v>87926.416417910455</v>
      </c>
      <c r="D71" s="114">
        <f>'E) Fact soc'!G77/C71</f>
        <v>22.261779487158432</v>
      </c>
      <c r="E71" s="141">
        <f>'H) Péréquation directe'!I82/C71</f>
        <v>17.397712303826189</v>
      </c>
      <c r="F71" s="114">
        <f>+'I) Dépenses thématiques'!O71/'J) Plafonnement effort'!C71</f>
        <v>0</v>
      </c>
      <c r="G71" s="141">
        <f t="shared" si="5"/>
        <v>39.659491790984617</v>
      </c>
      <c r="H71" s="332">
        <f t="shared" si="6"/>
        <v>0</v>
      </c>
      <c r="I71" s="57">
        <f t="shared" si="7"/>
        <v>0</v>
      </c>
      <c r="J71" s="33">
        <f t="shared" si="8"/>
        <v>39.659491790984617</v>
      </c>
    </row>
    <row r="72" spans="1:10" x14ac:dyDescent="0.25">
      <c r="A72" s="49">
        <f>'A) Base RI'!A74</f>
        <v>5511</v>
      </c>
      <c r="B72" s="285" t="str">
        <f>'A) Base RI'!B74</f>
        <v>Assens</v>
      </c>
      <c r="C72" s="98">
        <f>'B) D RI'!U74</f>
        <v>50067.904428571426</v>
      </c>
      <c r="D72" s="114">
        <f>'E) Fact soc'!G78/C72</f>
        <v>17.154846327868498</v>
      </c>
      <c r="E72" s="141">
        <f>'H) Péréquation directe'!I83/C72</f>
        <v>16.76680600673463</v>
      </c>
      <c r="F72" s="114">
        <f>+'I) Dépenses thématiques'!O72/'J) Plafonnement effort'!C72</f>
        <v>-4.2606772778891342</v>
      </c>
      <c r="G72" s="141">
        <f t="shared" si="5"/>
        <v>29.66097505671399</v>
      </c>
      <c r="H72" s="332">
        <f t="shared" si="6"/>
        <v>0</v>
      </c>
      <c r="I72" s="57">
        <f t="shared" si="7"/>
        <v>0</v>
      </c>
      <c r="J72" s="33">
        <f t="shared" si="8"/>
        <v>29.66097505671399</v>
      </c>
    </row>
    <row r="73" spans="1:10" x14ac:dyDescent="0.25">
      <c r="A73" s="49">
        <f>'A) Base RI'!A75</f>
        <v>5512</v>
      </c>
      <c r="B73" s="285" t="str">
        <f>'A) Base RI'!B75</f>
        <v>Bercher</v>
      </c>
      <c r="C73" s="98">
        <f>'B) D RI'!U75</f>
        <v>40005.59860759494</v>
      </c>
      <c r="D73" s="114">
        <f>'E) Fact soc'!G79/C73</f>
        <v>16.887245917624686</v>
      </c>
      <c r="E73" s="141">
        <f>'H) Péréquation directe'!I84/C73</f>
        <v>1.8568236349647971</v>
      </c>
      <c r="F73" s="114">
        <f>+'I) Dépenses thématiques'!O73/'J) Plafonnement effort'!C73</f>
        <v>-5.8878185376424348</v>
      </c>
      <c r="G73" s="141">
        <f t="shared" si="5"/>
        <v>12.856251014947048</v>
      </c>
      <c r="H73" s="332">
        <f t="shared" si="6"/>
        <v>0</v>
      </c>
      <c r="I73" s="57">
        <f t="shared" si="7"/>
        <v>0</v>
      </c>
      <c r="J73" s="33">
        <f t="shared" si="8"/>
        <v>12.856251014947048</v>
      </c>
    </row>
    <row r="74" spans="1:10" x14ac:dyDescent="0.25">
      <c r="A74" s="49">
        <f>'A) Base RI'!A76</f>
        <v>5513</v>
      </c>
      <c r="B74" s="285" t="str">
        <f>'A) Base RI'!B76</f>
        <v>Bioley-Orjulaz</v>
      </c>
      <c r="C74" s="98">
        <f>'B) D RI'!U76</f>
        <v>22037.146176470589</v>
      </c>
      <c r="D74" s="114">
        <f>'E) Fact soc'!G80/C74</f>
        <v>17.571237169758586</v>
      </c>
      <c r="E74" s="141">
        <f>'H) Péréquation directe'!I85/C74</f>
        <v>14.947277000940911</v>
      </c>
      <c r="F74" s="114">
        <f>+'I) Dépenses thématiques'!O74/'J) Plafonnement effort'!C74</f>
        <v>0</v>
      </c>
      <c r="G74" s="141">
        <f t="shared" si="5"/>
        <v>32.518514170699497</v>
      </c>
      <c r="H74" s="332">
        <f t="shared" si="6"/>
        <v>0</v>
      </c>
      <c r="I74" s="57">
        <f t="shared" si="7"/>
        <v>0</v>
      </c>
      <c r="J74" s="33">
        <f t="shared" si="8"/>
        <v>32.518514170699497</v>
      </c>
    </row>
    <row r="75" spans="1:10" x14ac:dyDescent="0.25">
      <c r="A75" s="49">
        <f>'A) Base RI'!A77</f>
        <v>5514</v>
      </c>
      <c r="B75" s="285" t="str">
        <f>'A) Base RI'!B77</f>
        <v>Bottens</v>
      </c>
      <c r="C75" s="98">
        <f>'B) D RI'!U77</f>
        <v>40784.156621621616</v>
      </c>
      <c r="D75" s="114">
        <f>'E) Fact soc'!G81/C75</f>
        <v>16.242942257113672</v>
      </c>
      <c r="E75" s="141">
        <f>'H) Péréquation directe'!I86/C75</f>
        <v>3.4860072860980962</v>
      </c>
      <c r="F75" s="114">
        <f>+'I) Dépenses thématiques'!O75/'J) Plafonnement effort'!C75</f>
        <v>0</v>
      </c>
      <c r="G75" s="141">
        <f t="shared" si="5"/>
        <v>19.728949543211769</v>
      </c>
      <c r="H75" s="332">
        <f t="shared" si="6"/>
        <v>0</v>
      </c>
      <c r="I75" s="57">
        <f t="shared" si="7"/>
        <v>0</v>
      </c>
      <c r="J75" s="33">
        <f t="shared" si="8"/>
        <v>19.728949543211769</v>
      </c>
    </row>
    <row r="76" spans="1:10" x14ac:dyDescent="0.25">
      <c r="A76" s="49">
        <f>'A) Base RI'!A78</f>
        <v>5515</v>
      </c>
      <c r="B76" s="285" t="str">
        <f>'A) Base RI'!B78</f>
        <v>Bretigny-sur-Morrens</v>
      </c>
      <c r="C76" s="98">
        <f>'B) D RI'!U78</f>
        <v>28825.846790123462</v>
      </c>
      <c r="D76" s="114">
        <f>'E) Fact soc'!G82/C76</f>
        <v>18.027862640297894</v>
      </c>
      <c r="E76" s="141">
        <f>'H) Péréquation directe'!I87/C76</f>
        <v>5.6665494226151436</v>
      </c>
      <c r="F76" s="114">
        <f>+'I) Dépenses thématiques'!O76/'J) Plafonnement effort'!C76</f>
        <v>-2.047080328384085</v>
      </c>
      <c r="G76" s="141">
        <f t="shared" si="5"/>
        <v>21.647331734528954</v>
      </c>
      <c r="H76" s="332">
        <f t="shared" si="6"/>
        <v>0</v>
      </c>
      <c r="I76" s="57">
        <f t="shared" si="7"/>
        <v>0</v>
      </c>
      <c r="J76" s="33">
        <f t="shared" si="8"/>
        <v>21.647331734528954</v>
      </c>
    </row>
    <row r="77" spans="1:10" x14ac:dyDescent="0.25">
      <c r="A77" s="49">
        <f>'A) Base RI'!A79</f>
        <v>5516</v>
      </c>
      <c r="B77" s="285" t="str">
        <f>'A) Base RI'!B79</f>
        <v>Cugy</v>
      </c>
      <c r="C77" s="98">
        <f>'B) D RI'!U79</f>
        <v>111163.080491453</v>
      </c>
      <c r="D77" s="114">
        <f>'E) Fact soc'!G83/C77</f>
        <v>16.019395673684837</v>
      </c>
      <c r="E77" s="141">
        <f>'H) Péréquation directe'!I88/C77</f>
        <v>9.1043789923974821</v>
      </c>
      <c r="F77" s="114">
        <f>+'I) Dépenses thématiques'!O77/'J) Plafonnement effort'!C77</f>
        <v>-1.800014639630799</v>
      </c>
      <c r="G77" s="141">
        <f t="shared" si="5"/>
        <v>23.32376002645152</v>
      </c>
      <c r="H77" s="332">
        <f t="shared" si="6"/>
        <v>0</v>
      </c>
      <c r="I77" s="57">
        <f t="shared" si="7"/>
        <v>0</v>
      </c>
      <c r="J77" s="33">
        <f t="shared" si="8"/>
        <v>23.32376002645152</v>
      </c>
    </row>
    <row r="78" spans="1:10" x14ac:dyDescent="0.25">
      <c r="A78" s="49">
        <f>'A) Base RI'!A80</f>
        <v>5518</v>
      </c>
      <c r="B78" s="285" t="str">
        <f>'A) Base RI'!B80</f>
        <v>Echallens</v>
      </c>
      <c r="C78" s="98">
        <f>'B) D RI'!U80</f>
        <v>187816.41499999998</v>
      </c>
      <c r="D78" s="114">
        <f>'E) Fact soc'!G84/C78</f>
        <v>18.76167031309809</v>
      </c>
      <c r="E78" s="141">
        <f>'H) Péréquation directe'!I89/C78</f>
        <v>-1.5498859137056598</v>
      </c>
      <c r="F78" s="114">
        <f>+'I) Dépenses thématiques'!O78/'J) Plafonnement effort'!C78</f>
        <v>-5.3687088177740865</v>
      </c>
      <c r="G78" s="141">
        <f t="shared" si="5"/>
        <v>11.843075581618345</v>
      </c>
      <c r="H78" s="332">
        <f t="shared" si="6"/>
        <v>0</v>
      </c>
      <c r="I78" s="57">
        <f t="shared" si="7"/>
        <v>0</v>
      </c>
      <c r="J78" s="33">
        <f t="shared" si="8"/>
        <v>11.843075581618345</v>
      </c>
    </row>
    <row r="79" spans="1:10" x14ac:dyDescent="0.25">
      <c r="A79" s="49">
        <f>'A) Base RI'!A81</f>
        <v>5520</v>
      </c>
      <c r="B79" s="285" t="str">
        <f>'A) Base RI'!B81</f>
        <v>Essertines-sur-Yverdon</v>
      </c>
      <c r="C79" s="98">
        <f>'B) D RI'!U81</f>
        <v>29858.34041095891</v>
      </c>
      <c r="D79" s="114">
        <f>'E) Fact soc'!G85/C79</f>
        <v>16.800860003885134</v>
      </c>
      <c r="E79" s="141">
        <f>'H) Péréquation directe'!I90/C79</f>
        <v>2.2452522844692733</v>
      </c>
      <c r="F79" s="114">
        <f>+'I) Dépenses thématiques'!O79/'J) Plafonnement effort'!C79</f>
        <v>-2.5596793216046323</v>
      </c>
      <c r="G79" s="141">
        <f t="shared" si="5"/>
        <v>16.486432966749774</v>
      </c>
      <c r="H79" s="332">
        <f t="shared" si="6"/>
        <v>0</v>
      </c>
      <c r="I79" s="57">
        <f t="shared" si="7"/>
        <v>0</v>
      </c>
      <c r="J79" s="33">
        <f t="shared" si="8"/>
        <v>16.486432966749774</v>
      </c>
    </row>
    <row r="80" spans="1:10" x14ac:dyDescent="0.25">
      <c r="A80" s="49">
        <f>'A) Base RI'!A82</f>
        <v>5521</v>
      </c>
      <c r="B80" s="285" t="str">
        <f>'A) Base RI'!B82</f>
        <v>Etagnières</v>
      </c>
      <c r="C80" s="98">
        <f>'B) D RI'!U82</f>
        <v>48278.723150684935</v>
      </c>
      <c r="D80" s="114">
        <f>'E) Fact soc'!G86/C80</f>
        <v>17.422515192798709</v>
      </c>
      <c r="E80" s="141">
        <f>'H) Péréquation directe'!I91/C80</f>
        <v>13.92183529271102</v>
      </c>
      <c r="F80" s="114">
        <f>+'I) Dépenses thématiques'!O80/'J) Plafonnement effort'!C80</f>
        <v>-0.14261911739819244</v>
      </c>
      <c r="G80" s="141">
        <f t="shared" si="5"/>
        <v>31.201731368111535</v>
      </c>
      <c r="H80" s="332">
        <f t="shared" si="6"/>
        <v>0</v>
      </c>
      <c r="I80" s="57">
        <f t="shared" si="7"/>
        <v>0</v>
      </c>
      <c r="J80" s="33">
        <f t="shared" si="8"/>
        <v>31.201731368111535</v>
      </c>
    </row>
    <row r="81" spans="1:10" x14ac:dyDescent="0.25">
      <c r="A81" s="49">
        <f>'A) Base RI'!A83</f>
        <v>5522</v>
      </c>
      <c r="B81" s="285" t="str">
        <f>'A) Base RI'!B83</f>
        <v>Fey</v>
      </c>
      <c r="C81" s="98">
        <f>'B) D RI'!U83</f>
        <v>22727.539066666664</v>
      </c>
      <c r="D81" s="114">
        <f>'E) Fact soc'!G87/C81</f>
        <v>16.985313991705297</v>
      </c>
      <c r="E81" s="141">
        <f>'H) Péréquation directe'!I92/C81</f>
        <v>3.4463078752981029</v>
      </c>
      <c r="F81" s="114">
        <f>+'I) Dépenses thématiques'!O81/'J) Plafonnement effort'!C81</f>
        <v>-0.69499475800537414</v>
      </c>
      <c r="G81" s="141">
        <f t="shared" si="5"/>
        <v>19.736627108998025</v>
      </c>
      <c r="H81" s="332">
        <f t="shared" si="6"/>
        <v>0</v>
      </c>
      <c r="I81" s="57">
        <f t="shared" si="7"/>
        <v>0</v>
      </c>
      <c r="J81" s="33">
        <f t="shared" si="8"/>
        <v>19.736627108998025</v>
      </c>
    </row>
    <row r="82" spans="1:10" x14ac:dyDescent="0.25">
      <c r="A82" s="49">
        <f>'A) Base RI'!A84</f>
        <v>5523</v>
      </c>
      <c r="B82" s="285" t="str">
        <f>'A) Base RI'!B84</f>
        <v>Froideville</v>
      </c>
      <c r="C82" s="98">
        <f>'B) D RI'!U84</f>
        <v>89231.727236842082</v>
      </c>
      <c r="D82" s="114">
        <f>'E) Fact soc'!G88/C82</f>
        <v>16.090548508891278</v>
      </c>
      <c r="E82" s="141">
        <f>'H) Péréquation directe'!I93/C82</f>
        <v>3.1499858795859947</v>
      </c>
      <c r="F82" s="114">
        <f>+'I) Dépenses thématiques'!O82/'J) Plafonnement effort'!C82</f>
        <v>-0.612997792847637</v>
      </c>
      <c r="G82" s="141">
        <f t="shared" si="5"/>
        <v>18.627536595629635</v>
      </c>
      <c r="H82" s="332">
        <f t="shared" si="6"/>
        <v>0</v>
      </c>
      <c r="I82" s="57">
        <f t="shared" si="7"/>
        <v>0</v>
      </c>
      <c r="J82" s="33">
        <f t="shared" si="8"/>
        <v>18.627536595629635</v>
      </c>
    </row>
    <row r="83" spans="1:10" x14ac:dyDescent="0.25">
      <c r="A83" s="49">
        <f>'A) Base RI'!A85</f>
        <v>5527</v>
      </c>
      <c r="B83" s="285" t="str">
        <f>'A) Base RI'!B85</f>
        <v>Morrens</v>
      </c>
      <c r="C83" s="98">
        <f>'B) D RI'!U85</f>
        <v>40137.160945945958</v>
      </c>
      <c r="D83" s="114">
        <f>'E) Fact soc'!G89/C83</f>
        <v>17.648801757227254</v>
      </c>
      <c r="E83" s="141">
        <f>'H) Péréquation directe'!I94/C83</f>
        <v>8.7903178228522716</v>
      </c>
      <c r="F83" s="114">
        <f>+'I) Dépenses thématiques'!O83/'J) Plafonnement effort'!C83</f>
        <v>0</v>
      </c>
      <c r="G83" s="141">
        <f t="shared" si="5"/>
        <v>26.439119580079527</v>
      </c>
      <c r="H83" s="332">
        <f t="shared" si="6"/>
        <v>0</v>
      </c>
      <c r="I83" s="57">
        <f t="shared" si="7"/>
        <v>0</v>
      </c>
      <c r="J83" s="33">
        <f t="shared" si="8"/>
        <v>26.439119580079527</v>
      </c>
    </row>
    <row r="84" spans="1:10" x14ac:dyDescent="0.25">
      <c r="A84" s="49">
        <f>'A) Base RI'!A86</f>
        <v>5529</v>
      </c>
      <c r="B84" s="285" t="str">
        <f>'A) Base RI'!B86</f>
        <v>Oulens-sous-Echallens</v>
      </c>
      <c r="C84" s="98">
        <f>'B) D RI'!U86</f>
        <v>21602.609436619721</v>
      </c>
      <c r="D84" s="114">
        <f>'E) Fact soc'!G90/C84</f>
        <v>16.515785017833828</v>
      </c>
      <c r="E84" s="141">
        <f>'H) Péréquation directe'!I95/C84</f>
        <v>9.6123856215381611</v>
      </c>
      <c r="F84" s="114">
        <f>+'I) Dépenses thématiques'!O84/'J) Plafonnement effort'!C84</f>
        <v>-2.4965520710390199</v>
      </c>
      <c r="G84" s="141">
        <f t="shared" si="5"/>
        <v>23.631618568332968</v>
      </c>
      <c r="H84" s="332">
        <f t="shared" si="6"/>
        <v>0</v>
      </c>
      <c r="I84" s="57">
        <f t="shared" si="7"/>
        <v>0</v>
      </c>
      <c r="J84" s="33">
        <f t="shared" si="8"/>
        <v>23.631618568332968</v>
      </c>
    </row>
    <row r="85" spans="1:10" x14ac:dyDescent="0.25">
      <c r="A85" s="49">
        <f>'A) Base RI'!A87</f>
        <v>5530</v>
      </c>
      <c r="B85" s="285" t="str">
        <f>'A) Base RI'!B87</f>
        <v>Pailly</v>
      </c>
      <c r="C85" s="98">
        <f>'B) D RI'!U87</f>
        <v>17625.052150537631</v>
      </c>
      <c r="D85" s="114">
        <f>'E) Fact soc'!G91/C85</f>
        <v>17.691962537581094</v>
      </c>
      <c r="E85" s="141">
        <f>'H) Péréquation directe'!I96/C85</f>
        <v>3.9767417216816154</v>
      </c>
      <c r="F85" s="114">
        <f>+'I) Dépenses thématiques'!O85/'J) Plafonnement effort'!C85</f>
        <v>-20.991867328959032</v>
      </c>
      <c r="G85" s="141">
        <f t="shared" si="5"/>
        <v>0.6768369303036792</v>
      </c>
      <c r="H85" s="332">
        <f t="shared" si="6"/>
        <v>0</v>
      </c>
      <c r="I85" s="57">
        <f t="shared" si="7"/>
        <v>0</v>
      </c>
      <c r="J85" s="33">
        <f t="shared" si="8"/>
        <v>0.6768369303036792</v>
      </c>
    </row>
    <row r="86" spans="1:10" x14ac:dyDescent="0.25">
      <c r="A86" s="49">
        <f>'A) Base RI'!A88</f>
        <v>5531</v>
      </c>
      <c r="B86" s="285" t="str">
        <f>'A) Base RI'!B88</f>
        <v>Penthéréaz</v>
      </c>
      <c r="C86" s="98">
        <f>'B) D RI'!U88</f>
        <v>14653.782435897439</v>
      </c>
      <c r="D86" s="114">
        <f>'E) Fact soc'!G92/C86</f>
        <v>15.177282086749202</v>
      </c>
      <c r="E86" s="141">
        <f>'H) Péréquation directe'!I97/C86</f>
        <v>7.8726832562562326</v>
      </c>
      <c r="F86" s="114">
        <f>+'I) Dépenses thématiques'!O86/'J) Plafonnement effort'!C86</f>
        <v>-4.4549414674152654</v>
      </c>
      <c r="G86" s="141">
        <f t="shared" si="5"/>
        <v>18.595023875590165</v>
      </c>
      <c r="H86" s="332">
        <f t="shared" si="6"/>
        <v>0</v>
      </c>
      <c r="I86" s="57">
        <f t="shared" si="7"/>
        <v>0</v>
      </c>
      <c r="J86" s="33">
        <f t="shared" si="8"/>
        <v>18.595023875590165</v>
      </c>
    </row>
    <row r="87" spans="1:10" x14ac:dyDescent="0.25">
      <c r="A87" s="49">
        <f>'A) Base RI'!A89</f>
        <v>5533</v>
      </c>
      <c r="B87" s="285" t="str">
        <f>'A) Base RI'!B89</f>
        <v>Poliez-Pittet</v>
      </c>
      <c r="C87" s="98">
        <f>'B) D RI'!U89</f>
        <v>22836.129452054793</v>
      </c>
      <c r="D87" s="114">
        <f>'E) Fact soc'!G93/C87</f>
        <v>17.81792436088168</v>
      </c>
      <c r="E87" s="141">
        <f>'H) Péréquation directe'!I98/C87</f>
        <v>0.44994408415286835</v>
      </c>
      <c r="F87" s="114">
        <f>+'I) Dépenses thématiques'!O87/'J) Plafonnement effort'!C87</f>
        <v>-3.3834271323457479</v>
      </c>
      <c r="G87" s="141">
        <f t="shared" si="5"/>
        <v>14.8844413126888</v>
      </c>
      <c r="H87" s="332">
        <f t="shared" si="6"/>
        <v>0</v>
      </c>
      <c r="I87" s="57">
        <f t="shared" si="7"/>
        <v>0</v>
      </c>
      <c r="J87" s="33">
        <f t="shared" si="8"/>
        <v>14.8844413126888</v>
      </c>
    </row>
    <row r="88" spans="1:10" x14ac:dyDescent="0.25">
      <c r="A88" s="49">
        <f>'A) Base RI'!A90</f>
        <v>5534</v>
      </c>
      <c r="B88" s="285" t="str">
        <f>'A) Base RI'!B90</f>
        <v>Rueyres</v>
      </c>
      <c r="C88" s="98">
        <f>'B) D RI'!U90</f>
        <v>10463.952465753426</v>
      </c>
      <c r="D88" s="114">
        <f>'E) Fact soc'!G94/C88</f>
        <v>17.094426790933881</v>
      </c>
      <c r="E88" s="141">
        <f>'H) Péréquation directe'!I99/C88</f>
        <v>12.743702335686363</v>
      </c>
      <c r="F88" s="114">
        <f>+'I) Dépenses thématiques'!O88/'J) Plafonnement effort'!C88</f>
        <v>-0.19367991767667578</v>
      </c>
      <c r="G88" s="141">
        <f t="shared" si="5"/>
        <v>29.64444920894357</v>
      </c>
      <c r="H88" s="332">
        <f t="shared" si="6"/>
        <v>0</v>
      </c>
      <c r="I88" s="57">
        <f t="shared" si="7"/>
        <v>0</v>
      </c>
      <c r="J88" s="33">
        <f t="shared" si="8"/>
        <v>29.64444920894357</v>
      </c>
    </row>
    <row r="89" spans="1:10" x14ac:dyDescent="0.25">
      <c r="A89" s="49">
        <f>'A) Base RI'!A91</f>
        <v>5535</v>
      </c>
      <c r="B89" s="285" t="str">
        <f>'A) Base RI'!B91</f>
        <v>Saint-Barthélemy</v>
      </c>
      <c r="C89" s="98">
        <f>'B) D RI'!U91</f>
        <v>22478.945584415589</v>
      </c>
      <c r="D89" s="114">
        <f>'E) Fact soc'!G95/C89</f>
        <v>16.84318828138322</v>
      </c>
      <c r="E89" s="141">
        <f>'H) Péréquation directe'!I100/C89</f>
        <v>0.13339774400547164</v>
      </c>
      <c r="F89" s="114">
        <f>+'I) Dépenses thématiques'!O89/'J) Plafonnement effort'!C89</f>
        <v>-0.82568212788411044</v>
      </c>
      <c r="G89" s="141">
        <f t="shared" si="5"/>
        <v>16.15090389750458</v>
      </c>
      <c r="H89" s="332">
        <f t="shared" si="6"/>
        <v>0</v>
      </c>
      <c r="I89" s="57">
        <f t="shared" si="7"/>
        <v>0</v>
      </c>
      <c r="J89" s="33">
        <f t="shared" si="8"/>
        <v>16.15090389750458</v>
      </c>
    </row>
    <row r="90" spans="1:10" x14ac:dyDescent="0.25">
      <c r="A90" s="49">
        <f>'A) Base RI'!A92</f>
        <v>5537</v>
      </c>
      <c r="B90" s="285" t="str">
        <f>'A) Base RI'!B92</f>
        <v>Villars-le-Terroir</v>
      </c>
      <c r="C90" s="98">
        <f>'B) D RI'!U92</f>
        <v>36268.70386986302</v>
      </c>
      <c r="D90" s="114">
        <f>'E) Fact soc'!G96/C90</f>
        <v>15.989514615444268</v>
      </c>
      <c r="E90" s="141">
        <f>'H) Péréquation directe'!I101/C90</f>
        <v>1.7652375393499193</v>
      </c>
      <c r="F90" s="114">
        <f>+'I) Dépenses thématiques'!O90/'J) Plafonnement effort'!C90</f>
        <v>-0.89795141130150835</v>
      </c>
      <c r="G90" s="141">
        <f t="shared" si="5"/>
        <v>16.856800743492677</v>
      </c>
      <c r="H90" s="332">
        <f t="shared" si="6"/>
        <v>0</v>
      </c>
      <c r="I90" s="57">
        <f t="shared" si="7"/>
        <v>0</v>
      </c>
      <c r="J90" s="33">
        <f t="shared" si="8"/>
        <v>16.856800743492677</v>
      </c>
    </row>
    <row r="91" spans="1:10" x14ac:dyDescent="0.25">
      <c r="A91" s="49">
        <f>'A) Base RI'!A93</f>
        <v>5539</v>
      </c>
      <c r="B91" s="285" t="str">
        <f>'A) Base RI'!B93</f>
        <v>Vuarrens</v>
      </c>
      <c r="C91" s="98">
        <f>'B) D RI'!U93</f>
        <v>30000.607399999997</v>
      </c>
      <c r="D91" s="114">
        <f>'E) Fact soc'!G97/C91</f>
        <v>18.135847340070665</v>
      </c>
      <c r="E91" s="141">
        <f>'H) Péréquation directe'!I102/C91</f>
        <v>0.58432332931848718</v>
      </c>
      <c r="F91" s="114">
        <f>+'I) Dépenses thématiques'!O91/'J) Plafonnement effort'!C91</f>
        <v>-0.74799787427729991</v>
      </c>
      <c r="G91" s="141">
        <f t="shared" si="5"/>
        <v>17.972172795111852</v>
      </c>
      <c r="H91" s="332">
        <f t="shared" si="6"/>
        <v>0</v>
      </c>
      <c r="I91" s="57">
        <f t="shared" si="7"/>
        <v>0</v>
      </c>
      <c r="J91" s="33">
        <f t="shared" si="8"/>
        <v>17.972172795111852</v>
      </c>
    </row>
    <row r="92" spans="1:10" x14ac:dyDescent="0.25">
      <c r="A92" s="49">
        <f>'A) Base RI'!A94</f>
        <v>5540</v>
      </c>
      <c r="B92" s="285" t="str">
        <f>'A) Base RI'!B94</f>
        <v>Montilliez</v>
      </c>
      <c r="C92" s="98">
        <f>'B) D RI'!U94</f>
        <v>64761.783243243241</v>
      </c>
      <c r="D92" s="114">
        <f>'E) Fact soc'!G98/C92</f>
        <v>15.909732519282867</v>
      </c>
      <c r="E92" s="141">
        <f>'H) Péréquation directe'!I103/C92</f>
        <v>6.6017338509447985</v>
      </c>
      <c r="F92" s="114">
        <f>+'I) Dépenses thématiques'!O92/'J) Plafonnement effort'!C92</f>
        <v>-4.522281706215157</v>
      </c>
      <c r="G92" s="141">
        <f t="shared" si="5"/>
        <v>17.989184664012509</v>
      </c>
      <c r="H92" s="332">
        <f t="shared" si="6"/>
        <v>0</v>
      </c>
      <c r="I92" s="57">
        <f t="shared" si="7"/>
        <v>0</v>
      </c>
      <c r="J92" s="33">
        <f t="shared" si="8"/>
        <v>17.989184664012509</v>
      </c>
    </row>
    <row r="93" spans="1:10" x14ac:dyDescent="0.25">
      <c r="A93" s="49">
        <f>'A) Base RI'!A95</f>
        <v>5541</v>
      </c>
      <c r="B93" s="285" t="str">
        <f>'A) Base RI'!B95</f>
        <v>Goumoëns</v>
      </c>
      <c r="C93" s="98">
        <f>'B) D RI'!U95</f>
        <v>37389.402987012982</v>
      </c>
      <c r="D93" s="114">
        <f>'E) Fact soc'!G99/C93</f>
        <v>17.595030834683147</v>
      </c>
      <c r="E93" s="141">
        <f>'H) Péréquation directe'!I104/C93</f>
        <v>5.0748284870972222</v>
      </c>
      <c r="F93" s="114">
        <f>+'I) Dépenses thématiques'!O93/'J) Plafonnement effort'!C93</f>
        <v>-6.3746365827902676E-2</v>
      </c>
      <c r="G93" s="141">
        <f t="shared" si="5"/>
        <v>22.606112955952465</v>
      </c>
      <c r="H93" s="332">
        <f t="shared" si="6"/>
        <v>0</v>
      </c>
      <c r="I93" s="57">
        <f t="shared" si="7"/>
        <v>0</v>
      </c>
      <c r="J93" s="33">
        <f t="shared" si="8"/>
        <v>22.606112955952465</v>
      </c>
    </row>
    <row r="94" spans="1:10" x14ac:dyDescent="0.25">
      <c r="A94" s="49">
        <f>'A) Base RI'!A96</f>
        <v>5551</v>
      </c>
      <c r="B94" s="285" t="str">
        <f>'A) Base RI'!B96</f>
        <v>Bonvillars</v>
      </c>
      <c r="C94" s="98">
        <f>'B) D RI'!U96</f>
        <v>18282.205818181821</v>
      </c>
      <c r="D94" s="114">
        <f>'E) Fact soc'!G100/C94</f>
        <v>15.361481669205331</v>
      </c>
      <c r="E94" s="141">
        <f>'H) Péréquation directe'!I105/C94</f>
        <v>13.489123092319343</v>
      </c>
      <c r="F94" s="114">
        <f>+'I) Dépenses thématiques'!O94/'J) Plafonnement effort'!C94</f>
        <v>-5.078418283180822</v>
      </c>
      <c r="G94" s="141">
        <f t="shared" si="5"/>
        <v>23.772186478343848</v>
      </c>
      <c r="H94" s="332">
        <f t="shared" si="6"/>
        <v>0</v>
      </c>
      <c r="I94" s="57">
        <f t="shared" si="7"/>
        <v>0</v>
      </c>
      <c r="J94" s="33">
        <f t="shared" si="8"/>
        <v>23.772186478343848</v>
      </c>
    </row>
    <row r="95" spans="1:10" x14ac:dyDescent="0.25">
      <c r="A95" s="49">
        <f>'A) Base RI'!A97</f>
        <v>5552</v>
      </c>
      <c r="B95" s="285" t="str">
        <f>'A) Base RI'!B97</f>
        <v>Bullet</v>
      </c>
      <c r="C95" s="98">
        <f>'B) D RI'!U97</f>
        <v>18372.474931506851</v>
      </c>
      <c r="D95" s="114">
        <f>'E) Fact soc'!G101/C95</f>
        <v>18.314574101776994</v>
      </c>
      <c r="E95" s="141">
        <f>'H) Péréquation directe'!I106/C95</f>
        <v>1.0570762347425109</v>
      </c>
      <c r="F95" s="114">
        <f>+'I) Dépenses thématiques'!O95/'J) Plafonnement effort'!C95</f>
        <v>-11.501278105967019</v>
      </c>
      <c r="G95" s="141">
        <f t="shared" si="5"/>
        <v>7.8703722305524852</v>
      </c>
      <c r="H95" s="332">
        <f t="shared" si="6"/>
        <v>0</v>
      </c>
      <c r="I95" s="57">
        <f t="shared" si="7"/>
        <v>0</v>
      </c>
      <c r="J95" s="33">
        <f t="shared" si="8"/>
        <v>7.8703722305524852</v>
      </c>
    </row>
    <row r="96" spans="1:10" x14ac:dyDescent="0.25">
      <c r="A96" s="49">
        <f>'A) Base RI'!A98</f>
        <v>5553</v>
      </c>
      <c r="B96" s="285" t="str">
        <f>'A) Base RI'!B98</f>
        <v>Champagne</v>
      </c>
      <c r="C96" s="98">
        <f>'B) D RI'!U98</f>
        <v>37695.100615384617</v>
      </c>
      <c r="D96" s="114">
        <f>'E) Fact soc'!G102/C96</f>
        <v>17.595068029510784</v>
      </c>
      <c r="E96" s="141">
        <f>'H) Péréquation directe'!I107/C96</f>
        <v>10.704747288472714</v>
      </c>
      <c r="F96" s="114">
        <f>+'I) Dépenses thématiques'!O96/'J) Plafonnement effort'!C96</f>
        <v>-4.7499781991121424</v>
      </c>
      <c r="G96" s="141">
        <f t="shared" si="5"/>
        <v>23.549837118871356</v>
      </c>
      <c r="H96" s="332">
        <f t="shared" si="6"/>
        <v>0</v>
      </c>
      <c r="I96" s="57">
        <f t="shared" si="7"/>
        <v>0</v>
      </c>
      <c r="J96" s="33">
        <f t="shared" si="8"/>
        <v>23.549837118871356</v>
      </c>
    </row>
    <row r="97" spans="1:10" x14ac:dyDescent="0.25">
      <c r="A97" s="49">
        <f>'A) Base RI'!A99</f>
        <v>5554</v>
      </c>
      <c r="B97" s="285" t="str">
        <f>'A) Base RI'!B99</f>
        <v>Concise</v>
      </c>
      <c r="C97" s="98">
        <f>'B) D RI'!U99</f>
        <v>33287.826000000008</v>
      </c>
      <c r="D97" s="114">
        <f>'E) Fact soc'!G103/C97</f>
        <v>20.256879282301593</v>
      </c>
      <c r="E97" s="141">
        <f>'H) Péréquation directe'!I108/C97</f>
        <v>5.9224760976496995</v>
      </c>
      <c r="F97" s="114">
        <f>+'I) Dépenses thématiques'!O97/'J) Plafonnement effort'!C97</f>
        <v>-4.5635505955720364</v>
      </c>
      <c r="G97" s="141">
        <f t="shared" si="5"/>
        <v>21.615804784379257</v>
      </c>
      <c r="H97" s="332">
        <f t="shared" si="6"/>
        <v>0</v>
      </c>
      <c r="I97" s="57">
        <f t="shared" si="7"/>
        <v>0</v>
      </c>
      <c r="J97" s="33">
        <f t="shared" si="8"/>
        <v>21.615804784379257</v>
      </c>
    </row>
    <row r="98" spans="1:10" x14ac:dyDescent="0.25">
      <c r="A98" s="49">
        <f>'A) Base RI'!A100</f>
        <v>5555</v>
      </c>
      <c r="B98" s="285" t="str">
        <f>'A) Base RI'!B100</f>
        <v>Corcelles-près-Concise</v>
      </c>
      <c r="C98" s="98">
        <f>'B) D RI'!U100</f>
        <v>13538.992394366198</v>
      </c>
      <c r="D98" s="114">
        <f>'E) Fact soc'!G104/C98</f>
        <v>18.096423717303633</v>
      </c>
      <c r="E98" s="141">
        <f>'H) Péréquation directe'!I109/C98</f>
        <v>8.3869111145895676</v>
      </c>
      <c r="F98" s="114">
        <f>+'I) Dépenses thématiques'!O98/'J) Plafonnement effort'!C98</f>
        <v>-8.2362934797077614</v>
      </c>
      <c r="G98" s="141">
        <f t="shared" si="5"/>
        <v>18.247041352185441</v>
      </c>
      <c r="H98" s="332">
        <f t="shared" si="6"/>
        <v>0</v>
      </c>
      <c r="I98" s="57">
        <f t="shared" si="7"/>
        <v>0</v>
      </c>
      <c r="J98" s="33">
        <f t="shared" si="8"/>
        <v>18.247041352185441</v>
      </c>
    </row>
    <row r="99" spans="1:10" x14ac:dyDescent="0.25">
      <c r="A99" s="49">
        <f>'A) Base RI'!A101</f>
        <v>5556</v>
      </c>
      <c r="B99" s="285" t="str">
        <f>'A) Base RI'!B101</f>
        <v>Fiez</v>
      </c>
      <c r="C99" s="98">
        <f>'B) D RI'!U101</f>
        <v>13049.601497584543</v>
      </c>
      <c r="D99" s="114">
        <f>'E) Fact soc'!G105/C99</f>
        <v>15.808029276421825</v>
      </c>
      <c r="E99" s="141">
        <f>'H) Péréquation directe'!I110/C99</f>
        <v>4.280545511982031</v>
      </c>
      <c r="F99" s="114">
        <f>+'I) Dépenses thématiques'!O99/'J) Plafonnement effort'!C99</f>
        <v>-10.257281344517525</v>
      </c>
      <c r="G99" s="141">
        <f t="shared" si="5"/>
        <v>9.8312934438863326</v>
      </c>
      <c r="H99" s="332">
        <f t="shared" si="6"/>
        <v>0</v>
      </c>
      <c r="I99" s="57">
        <f t="shared" si="7"/>
        <v>0</v>
      </c>
      <c r="J99" s="33">
        <f t="shared" si="8"/>
        <v>9.8312934438863326</v>
      </c>
    </row>
    <row r="100" spans="1:10" x14ac:dyDescent="0.25">
      <c r="A100" s="49">
        <f>'A) Base RI'!A102</f>
        <v>5557</v>
      </c>
      <c r="B100" s="285" t="str">
        <f>'A) Base RI'!B102</f>
        <v>Fontaines-sur-Grandson</v>
      </c>
      <c r="C100" s="98">
        <f>'B) D RI'!U102</f>
        <v>6546.22</v>
      </c>
      <c r="D100" s="114">
        <f>'E) Fact soc'!G106/C100</f>
        <v>15.024768515392921</v>
      </c>
      <c r="E100" s="141">
        <f>'H) Péréquation directe'!I111/C100</f>
        <v>5.5553819067470878</v>
      </c>
      <c r="F100" s="114">
        <f>+'I) Dépenses thématiques'!O100/'J) Plafonnement effort'!C100</f>
        <v>-5.4712214553910394</v>
      </c>
      <c r="G100" s="141">
        <f t="shared" si="5"/>
        <v>15.108928966748969</v>
      </c>
      <c r="H100" s="332">
        <f t="shared" si="6"/>
        <v>0</v>
      </c>
      <c r="I100" s="57">
        <f t="shared" si="7"/>
        <v>0</v>
      </c>
      <c r="J100" s="33">
        <f t="shared" si="8"/>
        <v>15.108928966748969</v>
      </c>
    </row>
    <row r="101" spans="1:10" x14ac:dyDescent="0.25">
      <c r="A101" s="49">
        <f>'A) Base RI'!A103</f>
        <v>5559</v>
      </c>
      <c r="B101" s="285" t="str">
        <f>'A) Base RI'!B103</f>
        <v>Giez</v>
      </c>
      <c r="C101" s="98">
        <f>'B) D RI'!U103</f>
        <v>20822.479090909092</v>
      </c>
      <c r="D101" s="114">
        <f>'E) Fact soc'!G107/C101</f>
        <v>17.495293157292807</v>
      </c>
      <c r="E101" s="141">
        <f>'H) Péréquation directe'!I112/C101</f>
        <v>17.50889457330878</v>
      </c>
      <c r="F101" s="114">
        <f>+'I) Dépenses thématiques'!O101/'J) Plafonnement effort'!C101</f>
        <v>0</v>
      </c>
      <c r="G101" s="141">
        <f t="shared" si="5"/>
        <v>35.004187730601586</v>
      </c>
      <c r="H101" s="332">
        <f t="shared" si="6"/>
        <v>0</v>
      </c>
      <c r="I101" s="57">
        <f t="shared" si="7"/>
        <v>0</v>
      </c>
      <c r="J101" s="33">
        <f t="shared" si="8"/>
        <v>35.004187730601586</v>
      </c>
    </row>
    <row r="102" spans="1:10" x14ac:dyDescent="0.25">
      <c r="A102" s="49">
        <f>'A) Base RI'!A104</f>
        <v>5560</v>
      </c>
      <c r="B102" s="285" t="str">
        <f>'A) Base RI'!B104</f>
        <v>Grandevent</v>
      </c>
      <c r="C102" s="98">
        <f>'B) D RI'!U104</f>
        <v>7406.141029411765</v>
      </c>
      <c r="D102" s="114">
        <f>'E) Fact soc'!G108/C102</f>
        <v>16.604748938792248</v>
      </c>
      <c r="E102" s="141">
        <f>'H) Péréquation directe'!I113/C102</f>
        <v>8.6874919751063846</v>
      </c>
      <c r="F102" s="114">
        <f>+'I) Dépenses thématiques'!O102/'J) Plafonnement effort'!C102</f>
        <v>-1.3805282794279039</v>
      </c>
      <c r="G102" s="141">
        <f t="shared" si="5"/>
        <v>23.911712634470728</v>
      </c>
      <c r="H102" s="332">
        <f t="shared" si="6"/>
        <v>0</v>
      </c>
      <c r="I102" s="57">
        <f t="shared" si="7"/>
        <v>0</v>
      </c>
      <c r="J102" s="33">
        <f t="shared" si="8"/>
        <v>23.911712634470728</v>
      </c>
    </row>
    <row r="103" spans="1:10" x14ac:dyDescent="0.25">
      <c r="A103" s="49">
        <f>'A) Base RI'!A105</f>
        <v>5561</v>
      </c>
      <c r="B103" s="285" t="str">
        <f>'A) Base RI'!B105</f>
        <v>Grandson</v>
      </c>
      <c r="C103" s="98">
        <f>'B) D RI'!U105</f>
        <v>113542.57695652173</v>
      </c>
      <c r="D103" s="114">
        <f>'E) Fact soc'!G109/C103</f>
        <v>26.301306093266991</v>
      </c>
      <c r="E103" s="141">
        <f>'H) Péréquation directe'!I114/C103</f>
        <v>3.9185672899102051</v>
      </c>
      <c r="F103" s="114">
        <f>+'I) Dépenses thématiques'!O103/'J) Plafonnement effort'!C103</f>
        <v>-9.3622415742690794</v>
      </c>
      <c r="G103" s="141">
        <f t="shared" si="5"/>
        <v>20.857631808908117</v>
      </c>
      <c r="H103" s="332">
        <f t="shared" si="6"/>
        <v>0</v>
      </c>
      <c r="I103" s="57">
        <f t="shared" si="7"/>
        <v>0</v>
      </c>
      <c r="J103" s="33">
        <f t="shared" si="8"/>
        <v>20.857631808908117</v>
      </c>
    </row>
    <row r="104" spans="1:10" x14ac:dyDescent="0.25">
      <c r="A104" s="49">
        <f>'A) Base RI'!A106</f>
        <v>5562</v>
      </c>
      <c r="B104" s="285" t="str">
        <f>'A) Base RI'!B106</f>
        <v>Mauborget</v>
      </c>
      <c r="C104" s="98">
        <f>'B) D RI'!U106</f>
        <v>5487.2855</v>
      </c>
      <c r="D104" s="114">
        <f>'E) Fact soc'!G110/C104</f>
        <v>22.273650039235996</v>
      </c>
      <c r="E104" s="141">
        <f>'H) Péréquation directe'!I115/C104</f>
        <v>16.66648486767037</v>
      </c>
      <c r="F104" s="114">
        <f>+'I) Dépenses thématiques'!O104/'J) Plafonnement effort'!C104</f>
        <v>-0.15609683989667361</v>
      </c>
      <c r="G104" s="141">
        <f t="shared" si="5"/>
        <v>38.784038067009689</v>
      </c>
      <c r="H104" s="332">
        <f t="shared" si="6"/>
        <v>0</v>
      </c>
      <c r="I104" s="57">
        <f t="shared" si="7"/>
        <v>0</v>
      </c>
      <c r="J104" s="33">
        <f t="shared" si="8"/>
        <v>38.784038067009689</v>
      </c>
    </row>
    <row r="105" spans="1:10" x14ac:dyDescent="0.25">
      <c r="A105" s="49">
        <f>'A) Base RI'!A107</f>
        <v>5563</v>
      </c>
      <c r="B105" s="285" t="str">
        <f>'A) Base RI'!B107</f>
        <v>Mutrux</v>
      </c>
      <c r="C105" s="98">
        <f>'B) D RI'!U107</f>
        <v>4022.9622499999991</v>
      </c>
      <c r="D105" s="114">
        <f>'E) Fact soc'!G111/C105</f>
        <v>15.281029051987204</v>
      </c>
      <c r="E105" s="141">
        <f>'H) Péréquation directe'!I116/C105</f>
        <v>-4.8465519183114907</v>
      </c>
      <c r="F105" s="114">
        <f>+'I) Dépenses thématiques'!O105/'J) Plafonnement effort'!C105</f>
        <v>-7.2978879058384365</v>
      </c>
      <c r="G105" s="141">
        <f t="shared" si="5"/>
        <v>3.1365892278372769</v>
      </c>
      <c r="H105" s="332">
        <f t="shared" si="6"/>
        <v>0</v>
      </c>
      <c r="I105" s="57">
        <f t="shared" si="7"/>
        <v>0</v>
      </c>
      <c r="J105" s="33">
        <f t="shared" si="8"/>
        <v>3.1365892278372769</v>
      </c>
    </row>
    <row r="106" spans="1:10" x14ac:dyDescent="0.25">
      <c r="A106" s="49">
        <f>'A) Base RI'!A108</f>
        <v>5564</v>
      </c>
      <c r="B106" s="285" t="str">
        <f>'A) Base RI'!B108</f>
        <v>Novalles</v>
      </c>
      <c r="C106" s="98">
        <f>'B) D RI'!U108</f>
        <v>2263.2775657894736</v>
      </c>
      <c r="D106" s="114">
        <f>'E) Fact soc'!G112/C106</f>
        <v>14.695545603915974</v>
      </c>
      <c r="E106" s="141">
        <f>'H) Péréquation directe'!I117/C106</f>
        <v>-10.292262009911033</v>
      </c>
      <c r="F106" s="114">
        <f>+'I) Dépenses thématiques'!O106/'J) Plafonnement effort'!C106</f>
        <v>-4.5075803642084438</v>
      </c>
      <c r="G106" s="141">
        <f t="shared" si="5"/>
        <v>-0.10429677020350248</v>
      </c>
      <c r="H106" s="332">
        <f t="shared" si="6"/>
        <v>0</v>
      </c>
      <c r="I106" s="57">
        <f t="shared" si="7"/>
        <v>0</v>
      </c>
      <c r="J106" s="33">
        <f t="shared" si="8"/>
        <v>-0.10429677020350248</v>
      </c>
    </row>
    <row r="107" spans="1:10" x14ac:dyDescent="0.25">
      <c r="A107" s="49">
        <f>'A) Base RI'!A109</f>
        <v>5565</v>
      </c>
      <c r="B107" s="285" t="str">
        <f>'A) Base RI'!B109</f>
        <v>Onnens</v>
      </c>
      <c r="C107" s="98">
        <f>'B) D RI'!U109</f>
        <v>18486.800307692305</v>
      </c>
      <c r="D107" s="114">
        <f>'E) Fact soc'!G113/C107</f>
        <v>19.555101815780823</v>
      </c>
      <c r="E107" s="141">
        <f>'H) Péréquation directe'!I118/C107</f>
        <v>12.164381584724499</v>
      </c>
      <c r="F107" s="114">
        <f>+'I) Dépenses thématiques'!O107/'J) Plafonnement effort'!C107</f>
        <v>-3.4482222747635181</v>
      </c>
      <c r="G107" s="141">
        <f t="shared" si="5"/>
        <v>28.271261125741802</v>
      </c>
      <c r="H107" s="332">
        <f t="shared" si="6"/>
        <v>0</v>
      </c>
      <c r="I107" s="57">
        <f t="shared" si="7"/>
        <v>0</v>
      </c>
      <c r="J107" s="33">
        <f t="shared" si="8"/>
        <v>28.271261125741802</v>
      </c>
    </row>
    <row r="108" spans="1:10" x14ac:dyDescent="0.25">
      <c r="A108" s="49">
        <f>'A) Base RI'!A110</f>
        <v>5566</v>
      </c>
      <c r="B108" s="285" t="str">
        <f>'A) Base RI'!B110</f>
        <v>Provence</v>
      </c>
      <c r="C108" s="98">
        <f>'B) D RI'!U110</f>
        <v>8488.3012345678999</v>
      </c>
      <c r="D108" s="114">
        <f>'E) Fact soc'!G114/C108</f>
        <v>19.851066640595032</v>
      </c>
      <c r="E108" s="141">
        <f>'H) Péréquation directe'!I119/C108</f>
        <v>-14.284708417212924</v>
      </c>
      <c r="F108" s="114">
        <f>+'I) Dépenses thématiques'!O108/'J) Plafonnement effort'!C108</f>
        <v>-25.757937372397446</v>
      </c>
      <c r="G108" s="141">
        <f t="shared" si="5"/>
        <v>-20.19157914901534</v>
      </c>
      <c r="H108" s="332">
        <f t="shared" si="6"/>
        <v>0</v>
      </c>
      <c r="I108" s="57">
        <f t="shared" si="7"/>
        <v>0</v>
      </c>
      <c r="J108" s="33">
        <f t="shared" si="8"/>
        <v>-20.19157914901534</v>
      </c>
    </row>
    <row r="109" spans="1:10" x14ac:dyDescent="0.25">
      <c r="A109" s="49">
        <f>'A) Base RI'!A111</f>
        <v>5568</v>
      </c>
      <c r="B109" s="285" t="str">
        <f>'A) Base RI'!B111</f>
        <v>Sainte-Croix</v>
      </c>
      <c r="C109" s="98">
        <f>'B) D RI'!U111</f>
        <v>109300.43271428571</v>
      </c>
      <c r="D109" s="114">
        <f>'E) Fact soc'!G115/C109</f>
        <v>24.38741944309557</v>
      </c>
      <c r="E109" s="141">
        <f>'H) Péréquation directe'!I120/C109</f>
        <v>-17.745336847669421</v>
      </c>
      <c r="F109" s="114">
        <f>+'I) Dépenses thématiques'!O109/'J) Plafonnement effort'!C109</f>
        <v>-12.364457168492498</v>
      </c>
      <c r="G109" s="141">
        <f t="shared" si="5"/>
        <v>-5.7223745730663484</v>
      </c>
      <c r="H109" s="332">
        <f t="shared" si="6"/>
        <v>0</v>
      </c>
      <c r="I109" s="57">
        <f t="shared" si="7"/>
        <v>0</v>
      </c>
      <c r="J109" s="33">
        <f t="shared" si="8"/>
        <v>-5.7223745730663484</v>
      </c>
    </row>
    <row r="110" spans="1:10" x14ac:dyDescent="0.25">
      <c r="A110" s="49">
        <f>'A) Base RI'!A112</f>
        <v>5571</v>
      </c>
      <c r="B110" s="285" t="str">
        <f>'A) Base RI'!B112</f>
        <v>Tévenon</v>
      </c>
      <c r="C110" s="98">
        <f>'B) D RI'!U112</f>
        <v>24815.960251141551</v>
      </c>
      <c r="D110" s="114">
        <f>'E) Fact soc'!G116/C110</f>
        <v>17.497253240374071</v>
      </c>
      <c r="E110" s="141">
        <f>'H) Péréquation directe'!I121/C110</f>
        <v>0.6698208967548408</v>
      </c>
      <c r="F110" s="114">
        <f>+'I) Dépenses thématiques'!O110/'J) Plafonnement effort'!C110</f>
        <v>-4.9196051191689607</v>
      </c>
      <c r="G110" s="141">
        <f t="shared" si="5"/>
        <v>13.247469017959954</v>
      </c>
      <c r="H110" s="332">
        <f t="shared" si="6"/>
        <v>0</v>
      </c>
      <c r="I110" s="57">
        <f t="shared" si="7"/>
        <v>0</v>
      </c>
      <c r="J110" s="33">
        <f t="shared" si="8"/>
        <v>13.247469017959954</v>
      </c>
    </row>
    <row r="111" spans="1:10" x14ac:dyDescent="0.25">
      <c r="A111" s="49">
        <f>'A) Base RI'!A113</f>
        <v>5581</v>
      </c>
      <c r="B111" s="285" t="str">
        <f>'A) Base RI'!B113</f>
        <v>Belmont-sur-Lausanne</v>
      </c>
      <c r="C111" s="98">
        <f>'B) D RI'!U113</f>
        <v>187774.68592592591</v>
      </c>
      <c r="D111" s="114">
        <f>'E) Fact soc'!G117/C111</f>
        <v>17.42734874448843</v>
      </c>
      <c r="E111" s="141">
        <f>'H) Péréquation directe'!I122/C111</f>
        <v>13.522355391128672</v>
      </c>
      <c r="F111" s="114">
        <f>+'I) Dépenses thématiques'!O111/'J) Plafonnement effort'!C111</f>
        <v>-5.4515149123141642</v>
      </c>
      <c r="G111" s="141">
        <f t="shared" si="5"/>
        <v>25.498189223302941</v>
      </c>
      <c r="H111" s="332">
        <f t="shared" si="6"/>
        <v>0</v>
      </c>
      <c r="I111" s="57">
        <f t="shared" si="7"/>
        <v>0</v>
      </c>
      <c r="J111" s="33">
        <f t="shared" si="8"/>
        <v>25.498189223302941</v>
      </c>
    </row>
    <row r="112" spans="1:10" x14ac:dyDescent="0.25">
      <c r="A112" s="49">
        <f>'A) Base RI'!A114</f>
        <v>5582</v>
      </c>
      <c r="B112" s="285" t="str">
        <f>'A) Base RI'!B114</f>
        <v>Cheseaux-sur-Lausanne</v>
      </c>
      <c r="C112" s="98">
        <f>'B) D RI'!U114</f>
        <v>167195.61731543625</v>
      </c>
      <c r="D112" s="114">
        <f>'E) Fact soc'!G118/C112</f>
        <v>18.319550166845676</v>
      </c>
      <c r="E112" s="141">
        <f>'H) Péréquation directe'!I123/C112</f>
        <v>6.12330196956517</v>
      </c>
      <c r="F112" s="114">
        <f>+'I) Dépenses thématiques'!O112/'J) Plafonnement effort'!C112</f>
        <v>-2.1309717397889472</v>
      </c>
      <c r="G112" s="141">
        <f t="shared" si="5"/>
        <v>22.311880396621898</v>
      </c>
      <c r="H112" s="332">
        <f t="shared" si="6"/>
        <v>0</v>
      </c>
      <c r="I112" s="57">
        <f t="shared" si="7"/>
        <v>0</v>
      </c>
      <c r="J112" s="33">
        <f t="shared" si="8"/>
        <v>22.311880396621898</v>
      </c>
    </row>
    <row r="113" spans="1:10" x14ac:dyDescent="0.25">
      <c r="A113" s="49">
        <f>'A) Base RI'!A115</f>
        <v>5583</v>
      </c>
      <c r="B113" s="285" t="str">
        <f>'A) Base RI'!B115</f>
        <v>Crissier</v>
      </c>
      <c r="C113" s="98">
        <f>'B) D RI'!U115</f>
        <v>313349.85476923082</v>
      </c>
      <c r="D113" s="114">
        <f>'E) Fact soc'!G119/C113</f>
        <v>19.289211588228504</v>
      </c>
      <c r="E113" s="141">
        <f>'H) Péréquation directe'!I124/C113</f>
        <v>5.2306969807830761</v>
      </c>
      <c r="F113" s="114">
        <f>+'I) Dépenses thématiques'!O113/'J) Plafonnement effort'!C113</f>
        <v>-7.6341392514873672</v>
      </c>
      <c r="G113" s="141">
        <f t="shared" si="5"/>
        <v>16.885769317524215</v>
      </c>
      <c r="H113" s="332">
        <f t="shared" si="6"/>
        <v>0</v>
      </c>
      <c r="I113" s="57">
        <f t="shared" si="7"/>
        <v>0</v>
      </c>
      <c r="J113" s="33">
        <f t="shared" si="8"/>
        <v>16.885769317524215</v>
      </c>
    </row>
    <row r="114" spans="1:10" x14ac:dyDescent="0.25">
      <c r="A114" s="49">
        <f>'A) Base RI'!A116</f>
        <v>5584</v>
      </c>
      <c r="B114" s="285" t="str">
        <f>'A) Base RI'!B116</f>
        <v>Epalinges</v>
      </c>
      <c r="C114" s="98">
        <f>'B) D RI'!U116</f>
        <v>475091.38424242428</v>
      </c>
      <c r="D114" s="114">
        <f>'E) Fact soc'!G120/C114</f>
        <v>17.753928094648288</v>
      </c>
      <c r="E114" s="141">
        <f>'H) Péréquation directe'!I125/C114</f>
        <v>9.8084429265716313</v>
      </c>
      <c r="F114" s="114">
        <f>+'I) Dépenses thématiques'!O114/'J) Plafonnement effort'!C114</f>
        <v>-7.627786221947634</v>
      </c>
      <c r="G114" s="141">
        <f t="shared" si="5"/>
        <v>19.934584799272283</v>
      </c>
      <c r="H114" s="332">
        <f t="shared" si="6"/>
        <v>0</v>
      </c>
      <c r="I114" s="57">
        <f t="shared" si="7"/>
        <v>0</v>
      </c>
      <c r="J114" s="33">
        <f t="shared" si="8"/>
        <v>19.934584799272283</v>
      </c>
    </row>
    <row r="115" spans="1:10" x14ac:dyDescent="0.25">
      <c r="A115" s="49">
        <f>'A) Base RI'!A117</f>
        <v>5585</v>
      </c>
      <c r="B115" s="285" t="str">
        <f>'A) Base RI'!B117</f>
        <v>Jouxtens-Mézery</v>
      </c>
      <c r="C115" s="98">
        <f>'B) D RI'!U117</f>
        <v>229695.06966101698</v>
      </c>
      <c r="D115" s="114">
        <f>'E) Fact soc'!G121/C115</f>
        <v>34.339393402374185</v>
      </c>
      <c r="E115" s="141">
        <f>'H) Péréquation directe'!I126/C115</f>
        <v>18.811961337849784</v>
      </c>
      <c r="F115" s="114">
        <f>+'I) Dépenses thématiques'!O115/'J) Plafonnement effort'!C115</f>
        <v>0</v>
      </c>
      <c r="G115" s="141">
        <f t="shared" si="5"/>
        <v>53.151354740223965</v>
      </c>
      <c r="H115" s="332">
        <f t="shared" si="6"/>
        <v>-8.1513547402239652</v>
      </c>
      <c r="I115" s="57">
        <f t="shared" si="7"/>
        <v>-1872325.9948874046</v>
      </c>
      <c r="J115" s="33">
        <f t="shared" si="8"/>
        <v>45</v>
      </c>
    </row>
    <row r="116" spans="1:10" x14ac:dyDescent="0.25">
      <c r="A116" s="49">
        <f>'A) Base RI'!A118</f>
        <v>5586</v>
      </c>
      <c r="B116" s="285" t="str">
        <f>'A) Base RI'!B118</f>
        <v>Lausanne</v>
      </c>
      <c r="C116" s="98">
        <f>'B) D RI'!U118</f>
        <v>6038274.9810970454</v>
      </c>
      <c r="D116" s="114">
        <f>'E) Fact soc'!G122/C116</f>
        <v>18.038286912056218</v>
      </c>
      <c r="E116" s="141">
        <f>'H) Péréquation directe'!I127/C116</f>
        <v>-5.6536278934847184</v>
      </c>
      <c r="F116" s="114">
        <f>+'I) Dépenses thématiques'!O116/'J) Plafonnement effort'!C116</f>
        <v>-9.5734424629561907</v>
      </c>
      <c r="G116" s="141">
        <f t="shared" si="5"/>
        <v>2.8112165556153101</v>
      </c>
      <c r="H116" s="332">
        <f t="shared" si="6"/>
        <v>0</v>
      </c>
      <c r="I116" s="57">
        <f t="shared" si="7"/>
        <v>0</v>
      </c>
      <c r="J116" s="33">
        <f t="shared" si="8"/>
        <v>2.8112165556153101</v>
      </c>
    </row>
    <row r="117" spans="1:10" x14ac:dyDescent="0.25">
      <c r="A117" s="49">
        <f>'A) Base RI'!A119</f>
        <v>5587</v>
      </c>
      <c r="B117" s="285" t="str">
        <f>'A) Base RI'!B119</f>
        <v>Le Mont-sur-Lausanne</v>
      </c>
      <c r="C117" s="98">
        <f>'B) D RI'!U119</f>
        <v>437426.32075555553</v>
      </c>
      <c r="D117" s="114">
        <f>'E) Fact soc'!G123/C117</f>
        <v>17.273717934988248</v>
      </c>
      <c r="E117" s="141">
        <f>'H) Péréquation directe'!I128/C117</f>
        <v>10.31174309028744</v>
      </c>
      <c r="F117" s="114">
        <f>+'I) Dépenses thématiques'!O117/'J) Plafonnement effort'!C117</f>
        <v>-5.8799838143701129</v>
      </c>
      <c r="G117" s="141">
        <f t="shared" si="5"/>
        <v>21.705477210905574</v>
      </c>
      <c r="H117" s="332">
        <f t="shared" si="6"/>
        <v>0</v>
      </c>
      <c r="I117" s="57">
        <f t="shared" si="7"/>
        <v>0</v>
      </c>
      <c r="J117" s="33">
        <f t="shared" si="8"/>
        <v>21.705477210905574</v>
      </c>
    </row>
    <row r="118" spans="1:10" x14ac:dyDescent="0.25">
      <c r="A118" s="49">
        <f>'A) Base RI'!A120</f>
        <v>5588</v>
      </c>
      <c r="B118" s="285" t="str">
        <f>'A) Base RI'!B120</f>
        <v>Paudex</v>
      </c>
      <c r="C118" s="98">
        <f>'B) D RI'!U120</f>
        <v>134588.09264705883</v>
      </c>
      <c r="D118" s="114">
        <f>'E) Fact soc'!G124/C118</f>
        <v>25.375505275051637</v>
      </c>
      <c r="E118" s="141">
        <f>'H) Péréquation directe'!I129/C118</f>
        <v>17.68281970418294</v>
      </c>
      <c r="F118" s="114">
        <f>+'I) Dépenses thématiques'!O118/'J) Plafonnement effort'!C118</f>
        <v>0</v>
      </c>
      <c r="G118" s="141">
        <f t="shared" si="5"/>
        <v>43.058324979234577</v>
      </c>
      <c r="H118" s="332">
        <f t="shared" si="6"/>
        <v>0</v>
      </c>
      <c r="I118" s="57">
        <f t="shared" si="7"/>
        <v>0</v>
      </c>
      <c r="J118" s="33">
        <f t="shared" si="8"/>
        <v>43.058324979234577</v>
      </c>
    </row>
    <row r="119" spans="1:10" x14ac:dyDescent="0.25">
      <c r="A119" s="49">
        <f>'A) Base RI'!A121</f>
        <v>5589</v>
      </c>
      <c r="B119" s="285" t="str">
        <f>'A) Base RI'!B121</f>
        <v>Prilly</v>
      </c>
      <c r="C119" s="98">
        <f>'B) D RI'!U121</f>
        <v>418113.86360020924</v>
      </c>
      <c r="D119" s="114">
        <f>'E) Fact soc'!G125/C119</f>
        <v>17.30052539881342</v>
      </c>
      <c r="E119" s="141">
        <f>'H) Péréquation directe'!I130/C119</f>
        <v>-5.8548467126912289</v>
      </c>
      <c r="F119" s="114">
        <f>+'I) Dépenses thématiques'!O119/'J) Plafonnement effort'!C119</f>
        <v>-6.7613488655386096</v>
      </c>
      <c r="G119" s="141">
        <f t="shared" si="5"/>
        <v>4.6843298205835815</v>
      </c>
      <c r="H119" s="332">
        <f t="shared" si="6"/>
        <v>0</v>
      </c>
      <c r="I119" s="57">
        <f t="shared" si="7"/>
        <v>0</v>
      </c>
      <c r="J119" s="33">
        <f t="shared" si="8"/>
        <v>4.6843298205835815</v>
      </c>
    </row>
    <row r="120" spans="1:10" x14ac:dyDescent="0.25">
      <c r="A120" s="49">
        <f>'A) Base RI'!A122</f>
        <v>5590</v>
      </c>
      <c r="B120" s="285" t="str">
        <f>'A) Base RI'!B122</f>
        <v>Pully</v>
      </c>
      <c r="C120" s="98">
        <f>'B) D RI'!U122</f>
        <v>1533094.7704683845</v>
      </c>
      <c r="D120" s="114">
        <f>'E) Fact soc'!G126/C120</f>
        <v>26.05605599444738</v>
      </c>
      <c r="E120" s="141">
        <f>'H) Péréquation directe'!I131/C120</f>
        <v>11.192898184008484</v>
      </c>
      <c r="F120" s="114">
        <f>+'I) Dépenses thématiques'!O120/'J) Plafonnement effort'!C120</f>
        <v>-1.3593896623295558</v>
      </c>
      <c r="G120" s="141">
        <f t="shared" si="5"/>
        <v>35.889564516126306</v>
      </c>
      <c r="H120" s="332">
        <f t="shared" si="6"/>
        <v>0</v>
      </c>
      <c r="I120" s="57">
        <f t="shared" si="7"/>
        <v>0</v>
      </c>
      <c r="J120" s="33">
        <f t="shared" si="8"/>
        <v>35.889564516126306</v>
      </c>
    </row>
    <row r="121" spans="1:10" x14ac:dyDescent="0.25">
      <c r="A121" s="49">
        <f>'A) Base RI'!A123</f>
        <v>5591</v>
      </c>
      <c r="B121" s="285" t="str">
        <f>'A) Base RI'!B123</f>
        <v>Renens</v>
      </c>
      <c r="C121" s="98">
        <f>'B) D RI'!U123</f>
        <v>563128.30316651508</v>
      </c>
      <c r="D121" s="114">
        <f>'E) Fact soc'!G127/C121</f>
        <v>18.192891919577608</v>
      </c>
      <c r="E121" s="141">
        <f>'H) Péréquation directe'!I132/C121</f>
        <v>-26.879616286256436</v>
      </c>
      <c r="F121" s="114">
        <f>+'I) Dépenses thématiques'!O121/'J) Plafonnement effort'!C121</f>
        <v>-11.026947368088578</v>
      </c>
      <c r="G121" s="141">
        <f t="shared" si="5"/>
        <v>-19.713671734767406</v>
      </c>
      <c r="H121" s="332">
        <f t="shared" si="6"/>
        <v>0</v>
      </c>
      <c r="I121" s="57">
        <f t="shared" si="7"/>
        <v>0</v>
      </c>
      <c r="J121" s="33">
        <f t="shared" si="8"/>
        <v>-19.713671734767406</v>
      </c>
    </row>
    <row r="122" spans="1:10" x14ac:dyDescent="0.25">
      <c r="A122" s="49">
        <f>'A) Base RI'!A124</f>
        <v>5592</v>
      </c>
      <c r="B122" s="285" t="str">
        <f>'A) Base RI'!B124</f>
        <v>Romanel-sur-Lausanne</v>
      </c>
      <c r="C122" s="98">
        <f>'B) D RI'!U124</f>
        <v>113674.73902777777</v>
      </c>
      <c r="D122" s="114">
        <f>'E) Fact soc'!G128/C122</f>
        <v>17.84683689750678</v>
      </c>
      <c r="E122" s="141">
        <f>'H) Péréquation directe'!I133/C122</f>
        <v>3.9097759920186013</v>
      </c>
      <c r="F122" s="114">
        <f>+'I) Dépenses thématiques'!O122/'J) Plafonnement effort'!C122</f>
        <v>-2.4190296471852561</v>
      </c>
      <c r="G122" s="141">
        <f t="shared" si="5"/>
        <v>19.337583242340127</v>
      </c>
      <c r="H122" s="332">
        <f t="shared" si="6"/>
        <v>0</v>
      </c>
      <c r="I122" s="57">
        <f t="shared" si="7"/>
        <v>0</v>
      </c>
      <c r="J122" s="33">
        <f t="shared" si="8"/>
        <v>19.337583242340127</v>
      </c>
    </row>
    <row r="123" spans="1:10" x14ac:dyDescent="0.25">
      <c r="A123" s="49">
        <f>'A) Base RI'!A125</f>
        <v>5601</v>
      </c>
      <c r="B123" s="285" t="str">
        <f>'A) Base RI'!B125</f>
        <v>Chexbres</v>
      </c>
      <c r="C123" s="98">
        <f>'B) D RI'!U125</f>
        <v>103470.98536231882</v>
      </c>
      <c r="D123" s="114">
        <f>'E) Fact soc'!G129/C123</f>
        <v>18.800972328535778</v>
      </c>
      <c r="E123" s="141">
        <f>'H) Péréquation directe'!I134/C123</f>
        <v>14.256486483675239</v>
      </c>
      <c r="F123" s="114">
        <f>+'I) Dépenses thématiques'!O123/'J) Plafonnement effort'!C123</f>
        <v>-2.9250417017908088</v>
      </c>
      <c r="G123" s="141">
        <f t="shared" si="5"/>
        <v>30.132417110420207</v>
      </c>
      <c r="H123" s="332">
        <f t="shared" si="6"/>
        <v>0</v>
      </c>
      <c r="I123" s="57">
        <f t="shared" si="7"/>
        <v>0</v>
      </c>
      <c r="J123" s="33">
        <f t="shared" si="8"/>
        <v>30.132417110420207</v>
      </c>
    </row>
    <row r="124" spans="1:10" x14ac:dyDescent="0.25">
      <c r="A124" s="49">
        <f>'A) Base RI'!A126</f>
        <v>5604</v>
      </c>
      <c r="B124" s="285" t="str">
        <f>'A) Base RI'!B126</f>
        <v>Forel (Lavaux)</v>
      </c>
      <c r="C124" s="98">
        <f>'B) D RI'!U126</f>
        <v>73971.129714285707</v>
      </c>
      <c r="D124" s="114">
        <f>'E) Fact soc'!G130/C124</f>
        <v>17.370520654149953</v>
      </c>
      <c r="E124" s="141">
        <f>'H) Péréquation directe'!I135/C124</f>
        <v>7.138996401621136</v>
      </c>
      <c r="F124" s="114">
        <f>+'I) Dépenses thématiques'!O124/'J) Plafonnement effort'!C124</f>
        <v>-4.7193125382968697</v>
      </c>
      <c r="G124" s="141">
        <f t="shared" si="5"/>
        <v>19.790204517474219</v>
      </c>
      <c r="H124" s="332">
        <f t="shared" si="6"/>
        <v>0</v>
      </c>
      <c r="I124" s="57">
        <f t="shared" si="7"/>
        <v>0</v>
      </c>
      <c r="J124" s="33">
        <f t="shared" si="8"/>
        <v>19.790204517474219</v>
      </c>
    </row>
    <row r="125" spans="1:10" x14ac:dyDescent="0.25">
      <c r="A125" s="49">
        <f>'A) Base RI'!A127</f>
        <v>5606</v>
      </c>
      <c r="B125" s="285" t="str">
        <f>'A) Base RI'!B127</f>
        <v>Lutry</v>
      </c>
      <c r="C125" s="98">
        <f>'B) D RI'!U127</f>
        <v>806998.35454311455</v>
      </c>
      <c r="D125" s="114">
        <f>'E) Fact soc'!G131/C125</f>
        <v>25.677401670286706</v>
      </c>
      <c r="E125" s="141">
        <f>'H) Péréquation directe'!I136/C125</f>
        <v>13.308406394553506</v>
      </c>
      <c r="F125" s="114">
        <f>+'I) Dépenses thématiques'!O125/'J) Plafonnement effort'!C125</f>
        <v>-3.1772666218398022</v>
      </c>
      <c r="G125" s="141">
        <f t="shared" si="5"/>
        <v>35.808541443000408</v>
      </c>
      <c r="H125" s="332">
        <f t="shared" si="6"/>
        <v>0</v>
      </c>
      <c r="I125" s="57">
        <f t="shared" si="7"/>
        <v>0</v>
      </c>
      <c r="J125" s="33">
        <f t="shared" si="8"/>
        <v>35.808541443000408</v>
      </c>
    </row>
    <row r="126" spans="1:10" x14ac:dyDescent="0.25">
      <c r="A126" s="49">
        <f>'A) Base RI'!A128</f>
        <v>5607</v>
      </c>
      <c r="B126" s="285" t="str">
        <f>'A) Base RI'!B128</f>
        <v>Puidoux</v>
      </c>
      <c r="C126" s="98">
        <f>'B) D RI'!U128</f>
        <v>100918.13995031056</v>
      </c>
      <c r="D126" s="114">
        <f>'E) Fact soc'!G132/C126</f>
        <v>16.506863918375682</v>
      </c>
      <c r="E126" s="141">
        <f>'H) Péréquation directe'!I137/C126</f>
        <v>5.5059792454839469</v>
      </c>
      <c r="F126" s="114">
        <f>+'I) Dépenses thématiques'!O126/'J) Plafonnement effort'!C126</f>
        <v>-8.0489559877652237</v>
      </c>
      <c r="G126" s="141">
        <f t="shared" si="5"/>
        <v>13.963887176094405</v>
      </c>
      <c r="H126" s="332">
        <f t="shared" si="6"/>
        <v>0</v>
      </c>
      <c r="I126" s="57">
        <f t="shared" si="7"/>
        <v>0</v>
      </c>
      <c r="J126" s="33">
        <f t="shared" si="8"/>
        <v>13.963887176094405</v>
      </c>
    </row>
    <row r="127" spans="1:10" x14ac:dyDescent="0.25">
      <c r="A127" s="49">
        <f>'A) Base RI'!A129</f>
        <v>5609</v>
      </c>
      <c r="B127" s="285" t="str">
        <f>'A) Base RI'!B129</f>
        <v>Rivaz</v>
      </c>
      <c r="C127" s="98">
        <f>'B) D RI'!U129</f>
        <v>13641.583779527558</v>
      </c>
      <c r="D127" s="114">
        <f>'E) Fact soc'!G133/C127</f>
        <v>16.055932305146197</v>
      </c>
      <c r="E127" s="141">
        <f>'H) Péréquation directe'!I138/C127</f>
        <v>13.960440044089271</v>
      </c>
      <c r="F127" s="114">
        <f>+'I) Dépenses thématiques'!O127/'J) Plafonnement effort'!C127</f>
        <v>-3.7622323086872203</v>
      </c>
      <c r="G127" s="141">
        <f t="shared" si="5"/>
        <v>26.254140040548247</v>
      </c>
      <c r="H127" s="332">
        <f t="shared" si="6"/>
        <v>0</v>
      </c>
      <c r="I127" s="57">
        <f t="shared" si="7"/>
        <v>0</v>
      </c>
      <c r="J127" s="33">
        <f t="shared" si="8"/>
        <v>26.254140040548247</v>
      </c>
    </row>
    <row r="128" spans="1:10" x14ac:dyDescent="0.25">
      <c r="A128" s="49">
        <f>'A) Base RI'!A130</f>
        <v>5610</v>
      </c>
      <c r="B128" s="285" t="str">
        <f>'A) Base RI'!B130</f>
        <v>St-Saphorin (Lavaux)</v>
      </c>
      <c r="C128" s="98">
        <f>'B) D RI'!U130</f>
        <v>22278.713000000003</v>
      </c>
      <c r="D128" s="114">
        <f>'E) Fact soc'!G134/C128</f>
        <v>18.255385949251149</v>
      </c>
      <c r="E128" s="141">
        <f>'H) Péréquation directe'!I139/C128</f>
        <v>17.841330243806169</v>
      </c>
      <c r="F128" s="114">
        <f>+'I) Dépenses thématiques'!O128/'J) Plafonnement effort'!C128</f>
        <v>-1.0037152944602945</v>
      </c>
      <c r="G128" s="141">
        <f t="shared" si="5"/>
        <v>35.093000898597026</v>
      </c>
      <c r="H128" s="332">
        <f t="shared" si="6"/>
        <v>0</v>
      </c>
      <c r="I128" s="57">
        <f t="shared" si="7"/>
        <v>0</v>
      </c>
      <c r="J128" s="33">
        <f t="shared" si="8"/>
        <v>35.093000898597026</v>
      </c>
    </row>
    <row r="129" spans="1:10" x14ac:dyDescent="0.25">
      <c r="A129" s="49">
        <f>'A) Base RI'!A131</f>
        <v>5611</v>
      </c>
      <c r="B129" s="285" t="str">
        <f>'A) Base RI'!B131</f>
        <v>Savigny</v>
      </c>
      <c r="C129" s="98">
        <f>'B) D RI'!U131</f>
        <v>134929.74355072467</v>
      </c>
      <c r="D129" s="114">
        <f>'E) Fact soc'!G135/C129</f>
        <v>19.546830649028163</v>
      </c>
      <c r="E129" s="141">
        <f>'H) Péréquation directe'!I140/C129</f>
        <v>9.2607389100543696</v>
      </c>
      <c r="F129" s="114">
        <f>+'I) Dépenses thématiques'!O129/'J) Plafonnement effort'!C129</f>
        <v>-3.6515447106779497</v>
      </c>
      <c r="G129" s="141">
        <f t="shared" si="5"/>
        <v>25.156024848404581</v>
      </c>
      <c r="H129" s="332">
        <f t="shared" si="6"/>
        <v>0</v>
      </c>
      <c r="I129" s="57">
        <f t="shared" si="7"/>
        <v>0</v>
      </c>
      <c r="J129" s="33">
        <f t="shared" si="8"/>
        <v>25.156024848404581</v>
      </c>
    </row>
    <row r="130" spans="1:10" x14ac:dyDescent="0.25">
      <c r="A130" s="49">
        <f>'A) Base RI'!A132</f>
        <v>5613</v>
      </c>
      <c r="B130" s="285" t="str">
        <f>'A) Base RI'!B132</f>
        <v>Bourg-en-Lavaux</v>
      </c>
      <c r="C130" s="98">
        <f>'B) D RI'!U132</f>
        <v>333126.87406250008</v>
      </c>
      <c r="D130" s="114">
        <f>'E) Fact soc'!G136/C130</f>
        <v>21.388212810155508</v>
      </c>
      <c r="E130" s="141">
        <f>'H) Péréquation directe'!I141/C130</f>
        <v>13.87622984863736</v>
      </c>
      <c r="F130" s="114">
        <f>+'I) Dépenses thématiques'!O130/'J) Plafonnement effort'!C130</f>
        <v>0</v>
      </c>
      <c r="G130" s="141">
        <f t="shared" si="5"/>
        <v>35.264442658792866</v>
      </c>
      <c r="H130" s="332">
        <f t="shared" si="6"/>
        <v>0</v>
      </c>
      <c r="I130" s="57">
        <f t="shared" si="7"/>
        <v>0</v>
      </c>
      <c r="J130" s="33">
        <f t="shared" si="8"/>
        <v>35.264442658792866</v>
      </c>
    </row>
    <row r="131" spans="1:10" x14ac:dyDescent="0.25">
      <c r="A131" s="49">
        <f>'A) Base RI'!A133</f>
        <v>5621</v>
      </c>
      <c r="B131" s="285" t="str">
        <f>'A) Base RI'!B133</f>
        <v>Aclens</v>
      </c>
      <c r="C131" s="98">
        <f>'B) D RI'!U133</f>
        <v>27514.906070381232</v>
      </c>
      <c r="D131" s="114">
        <f>'E) Fact soc'!G137/C131</f>
        <v>20.824780675963979</v>
      </c>
      <c r="E131" s="141">
        <f>'H) Péréquation directe'!I142/C131</f>
        <v>17.545700912801237</v>
      </c>
      <c r="F131" s="114">
        <f>+'I) Dépenses thématiques'!O131/'J) Plafonnement effort'!C131</f>
        <v>-0.11536450359339066</v>
      </c>
      <c r="G131" s="141">
        <f t="shared" si="5"/>
        <v>38.255117085171825</v>
      </c>
      <c r="H131" s="332">
        <f t="shared" si="6"/>
        <v>0</v>
      </c>
      <c r="I131" s="57">
        <f t="shared" si="7"/>
        <v>0</v>
      </c>
      <c r="J131" s="33">
        <f t="shared" si="8"/>
        <v>38.255117085171825</v>
      </c>
    </row>
    <row r="132" spans="1:10" x14ac:dyDescent="0.25">
      <c r="A132" s="49">
        <f>'A) Base RI'!A134</f>
        <v>5622</v>
      </c>
      <c r="B132" s="285" t="str">
        <f>'A) Base RI'!B134</f>
        <v>Bremblens</v>
      </c>
      <c r="C132" s="98">
        <f>'B) D RI'!U134</f>
        <v>27505.151666666668</v>
      </c>
      <c r="D132" s="114">
        <f>'E) Fact soc'!G138/C132</f>
        <v>19.246946542775323</v>
      </c>
      <c r="E132" s="141">
        <f>'H) Péréquation directe'!I143/C132</f>
        <v>17.371264541454551</v>
      </c>
      <c r="F132" s="114">
        <f>+'I) Dépenses thématiques'!O132/'J) Plafonnement effort'!C132</f>
        <v>0</v>
      </c>
      <c r="G132" s="141">
        <f t="shared" si="5"/>
        <v>36.61821108422987</v>
      </c>
      <c r="H132" s="332">
        <f t="shared" si="6"/>
        <v>0</v>
      </c>
      <c r="I132" s="57">
        <f t="shared" si="7"/>
        <v>0</v>
      </c>
      <c r="J132" s="33">
        <f t="shared" si="8"/>
        <v>36.61821108422987</v>
      </c>
    </row>
    <row r="133" spans="1:10" x14ac:dyDescent="0.25">
      <c r="A133" s="49">
        <f>'A) Base RI'!A135</f>
        <v>5623</v>
      </c>
      <c r="B133" s="285" t="str">
        <f>'A) Base RI'!B135</f>
        <v>Buchillon</v>
      </c>
      <c r="C133" s="98">
        <f>'B) D RI'!U135</f>
        <v>89779.897358490547</v>
      </c>
      <c r="D133" s="114">
        <f>'E) Fact soc'!G139/C133</f>
        <v>31.004791751421518</v>
      </c>
      <c r="E133" s="141">
        <f>'H) Péréquation directe'!I144/C133</f>
        <v>19.04677292063268</v>
      </c>
      <c r="F133" s="114">
        <f>+'I) Dépenses thématiques'!O133/'J) Plafonnement effort'!C133</f>
        <v>0</v>
      </c>
      <c r="G133" s="141">
        <f t="shared" si="5"/>
        <v>50.051564672054198</v>
      </c>
      <c r="H133" s="332">
        <f t="shared" si="6"/>
        <v>-5.051564672054198</v>
      </c>
      <c r="I133" s="57">
        <f t="shared" si="7"/>
        <v>-453528.95775680285</v>
      </c>
      <c r="J133" s="33">
        <f t="shared" si="8"/>
        <v>45</v>
      </c>
    </row>
    <row r="134" spans="1:10" x14ac:dyDescent="0.25">
      <c r="A134" s="49">
        <f>'A) Base RI'!A136</f>
        <v>5624</v>
      </c>
      <c r="B134" s="285" t="str">
        <f>'A) Base RI'!B136</f>
        <v>Bussigny</v>
      </c>
      <c r="C134" s="98">
        <f>'B) D RI'!U136</f>
        <v>397950.93625000003</v>
      </c>
      <c r="D134" s="114">
        <f>'E) Fact soc'!G140/C134</f>
        <v>19.545607840868264</v>
      </c>
      <c r="E134" s="141">
        <f>'H) Péréquation directe'!I145/C134</f>
        <v>8.4003839940452796</v>
      </c>
      <c r="F134" s="114">
        <f>+'I) Dépenses thématiques'!O134/'J) Plafonnement effort'!C134</f>
        <v>-2.6335721079971428</v>
      </c>
      <c r="G134" s="141">
        <f t="shared" ref="G134:G197" si="9">SUM(D134:F134)</f>
        <v>25.312419726916399</v>
      </c>
      <c r="H134" s="332">
        <f t="shared" ref="H134:H197" si="10">IF(G134&gt;H$4,H$4-G134,0)</f>
        <v>0</v>
      </c>
      <c r="I134" s="57">
        <f t="shared" ref="I134:I197" si="11">H134*C134</f>
        <v>0</v>
      </c>
      <c r="J134" s="33">
        <f t="shared" ref="J134:J197" si="12">G134+H134</f>
        <v>25.312419726916399</v>
      </c>
    </row>
    <row r="135" spans="1:10" x14ac:dyDescent="0.25">
      <c r="A135" s="49">
        <f>'A) Base RI'!A137</f>
        <v>5625</v>
      </c>
      <c r="B135" s="285" t="str">
        <f>'A) Base RI'!B137</f>
        <v>Bussy-Chardonney</v>
      </c>
      <c r="C135" s="98">
        <f>'B) D RI'!U137</f>
        <v>16807.989913419911</v>
      </c>
      <c r="D135" s="114">
        <f>'E) Fact soc'!G141/C135</f>
        <v>17.28285104185813</v>
      </c>
      <c r="E135" s="141">
        <f>'H) Péréquation directe'!I146/C135</f>
        <v>15.337751504651287</v>
      </c>
      <c r="F135" s="114">
        <f>+'I) Dépenses thématiques'!O135/'J) Plafonnement effort'!C135</f>
        <v>-2.0546002691632435</v>
      </c>
      <c r="G135" s="141">
        <f t="shared" si="9"/>
        <v>30.566002277346172</v>
      </c>
      <c r="H135" s="332">
        <f t="shared" si="10"/>
        <v>0</v>
      </c>
      <c r="I135" s="57">
        <f t="shared" si="11"/>
        <v>0</v>
      </c>
      <c r="J135" s="33">
        <f t="shared" si="12"/>
        <v>30.566002277346172</v>
      </c>
    </row>
    <row r="136" spans="1:10" x14ac:dyDescent="0.25">
      <c r="A136" s="49">
        <f>'A) Base RI'!A138</f>
        <v>5627</v>
      </c>
      <c r="B136" s="285" t="str">
        <f>'A) Base RI'!B138</f>
        <v>Chavannes-près-Renens</v>
      </c>
      <c r="C136" s="98">
        <f>'B) D RI'!U138</f>
        <v>211976.34008438818</v>
      </c>
      <c r="D136" s="114">
        <f>'E) Fact soc'!G142/C136</f>
        <v>21.384173024407453</v>
      </c>
      <c r="E136" s="141">
        <f>'H) Péréquation directe'!I147/C136</f>
        <v>-15.475117437087999</v>
      </c>
      <c r="F136" s="114">
        <f>+'I) Dépenses thématiques'!O136/'J) Plafonnement effort'!C136</f>
        <v>-6.1959888821960254</v>
      </c>
      <c r="G136" s="141">
        <f t="shared" si="9"/>
        <v>-0.28693329487657149</v>
      </c>
      <c r="H136" s="332">
        <f t="shared" si="10"/>
        <v>0</v>
      </c>
      <c r="I136" s="57">
        <f t="shared" si="11"/>
        <v>0</v>
      </c>
      <c r="J136" s="33">
        <f t="shared" si="12"/>
        <v>-0.28693329487657149</v>
      </c>
    </row>
    <row r="137" spans="1:10" x14ac:dyDescent="0.25">
      <c r="A137" s="49">
        <f>'A) Base RI'!A139</f>
        <v>5628</v>
      </c>
      <c r="B137" s="285" t="str">
        <f>'A) Base RI'!B139</f>
        <v>Chigny</v>
      </c>
      <c r="C137" s="98">
        <f>'B) D RI'!U139</f>
        <v>22390.960806451614</v>
      </c>
      <c r="D137" s="114">
        <f>'E) Fact soc'!G143/C137</f>
        <v>20.892995924733512</v>
      </c>
      <c r="E137" s="141">
        <f>'H) Péréquation directe'!I148/C137</f>
        <v>17.863406765391776</v>
      </c>
      <c r="F137" s="114">
        <f>+'I) Dépenses thématiques'!O137/'J) Plafonnement effort'!C137</f>
        <v>0</v>
      </c>
      <c r="G137" s="141">
        <f t="shared" si="9"/>
        <v>38.756402690125284</v>
      </c>
      <c r="H137" s="332">
        <f t="shared" si="10"/>
        <v>0</v>
      </c>
      <c r="I137" s="57">
        <f t="shared" si="11"/>
        <v>0</v>
      </c>
      <c r="J137" s="33">
        <f t="shared" si="12"/>
        <v>38.756402690125284</v>
      </c>
    </row>
    <row r="138" spans="1:10" x14ac:dyDescent="0.25">
      <c r="A138" s="49">
        <f>'A) Base RI'!A140</f>
        <v>5629</v>
      </c>
      <c r="B138" s="285" t="str">
        <f>'A) Base RI'!B140</f>
        <v>Clarmont</v>
      </c>
      <c r="C138" s="98">
        <f>'B) D RI'!U140</f>
        <v>6767.1243999999997</v>
      </c>
      <c r="D138" s="114">
        <f>'E) Fact soc'!G144/C138</f>
        <v>22.278807163337891</v>
      </c>
      <c r="E138" s="141">
        <f>'H) Péréquation directe'!I149/C138</f>
        <v>9.1093929148926147</v>
      </c>
      <c r="F138" s="114">
        <f>+'I) Dépenses thématiques'!O138/'J) Plafonnement effort'!C138</f>
        <v>-6.926078838340084</v>
      </c>
      <c r="G138" s="141">
        <f t="shared" si="9"/>
        <v>24.462121239890422</v>
      </c>
      <c r="H138" s="332">
        <f t="shared" si="10"/>
        <v>0</v>
      </c>
      <c r="I138" s="57">
        <f t="shared" si="11"/>
        <v>0</v>
      </c>
      <c r="J138" s="33">
        <f t="shared" si="12"/>
        <v>24.462121239890422</v>
      </c>
    </row>
    <row r="139" spans="1:10" x14ac:dyDescent="0.25">
      <c r="A139" s="49">
        <f>'A) Base RI'!A141</f>
        <v>5631</v>
      </c>
      <c r="B139" s="285" t="str">
        <f>'A) Base RI'!B141</f>
        <v>Denens</v>
      </c>
      <c r="C139" s="98">
        <f>'B) D RI'!U141</f>
        <v>51475.873428571431</v>
      </c>
      <c r="D139" s="114">
        <f>'E) Fact soc'!G145/C139</f>
        <v>21.485665378243318</v>
      </c>
      <c r="E139" s="141">
        <f>'H) Péréquation directe'!I150/C139</f>
        <v>18.19581246557912</v>
      </c>
      <c r="F139" s="114">
        <f>+'I) Dépenses thématiques'!O139/'J) Plafonnement effort'!C139</f>
        <v>0</v>
      </c>
      <c r="G139" s="141">
        <f t="shared" si="9"/>
        <v>39.681477843822435</v>
      </c>
      <c r="H139" s="332">
        <f t="shared" si="10"/>
        <v>0</v>
      </c>
      <c r="I139" s="57">
        <f t="shared" si="11"/>
        <v>0</v>
      </c>
      <c r="J139" s="33">
        <f t="shared" si="12"/>
        <v>39.681477843822435</v>
      </c>
    </row>
    <row r="140" spans="1:10" x14ac:dyDescent="0.25">
      <c r="A140" s="49">
        <f>'A) Base RI'!A142</f>
        <v>5632</v>
      </c>
      <c r="B140" s="285" t="str">
        <f>'A) Base RI'!B142</f>
        <v>Denges</v>
      </c>
      <c r="C140" s="98">
        <f>'B) D RI'!U142</f>
        <v>72992.009193548365</v>
      </c>
      <c r="D140" s="114">
        <f>'E) Fact soc'!G146/C140</f>
        <v>17.048223467934381</v>
      </c>
      <c r="E140" s="141">
        <f>'H) Péréquation directe'!I151/C140</f>
        <v>14.760239870958022</v>
      </c>
      <c r="F140" s="114">
        <f>+'I) Dépenses thématiques'!O140/'J) Plafonnement effort'!C140</f>
        <v>-2.1747159638063605</v>
      </c>
      <c r="G140" s="141">
        <f t="shared" si="9"/>
        <v>29.633747375086042</v>
      </c>
      <c r="H140" s="332">
        <f t="shared" si="10"/>
        <v>0</v>
      </c>
      <c r="I140" s="57">
        <f t="shared" si="11"/>
        <v>0</v>
      </c>
      <c r="J140" s="33">
        <f t="shared" si="12"/>
        <v>29.633747375086042</v>
      </c>
    </row>
    <row r="141" spans="1:10" x14ac:dyDescent="0.25">
      <c r="A141" s="49">
        <f>'A) Base RI'!A143</f>
        <v>5633</v>
      </c>
      <c r="B141" s="285" t="str">
        <f>'A) Base RI'!B143</f>
        <v>Echandens</v>
      </c>
      <c r="C141" s="98">
        <f>'B) D RI'!U143</f>
        <v>160902.30048387093</v>
      </c>
      <c r="D141" s="114">
        <f>'E) Fact soc'!G147/C141</f>
        <v>19.270677245512573</v>
      </c>
      <c r="E141" s="141">
        <f>'H) Péréquation directe'!I152/C141</f>
        <v>15.424156097966453</v>
      </c>
      <c r="F141" s="114">
        <f>+'I) Dépenses thématiques'!O141/'J) Plafonnement effort'!C141</f>
        <v>-3.4280848471185474</v>
      </c>
      <c r="G141" s="141">
        <f t="shared" si="9"/>
        <v>31.266748496360478</v>
      </c>
      <c r="H141" s="332">
        <f t="shared" si="10"/>
        <v>0</v>
      </c>
      <c r="I141" s="57">
        <f t="shared" si="11"/>
        <v>0</v>
      </c>
      <c r="J141" s="33">
        <f t="shared" si="12"/>
        <v>31.266748496360478</v>
      </c>
    </row>
    <row r="142" spans="1:10" x14ac:dyDescent="0.25">
      <c r="A142" s="49">
        <f>'A) Base RI'!A144</f>
        <v>5634</v>
      </c>
      <c r="B142" s="285" t="str">
        <f>'A) Base RI'!B144</f>
        <v>Echichens</v>
      </c>
      <c r="C142" s="98">
        <f>'B) D RI'!U144</f>
        <v>173253.00779411764</v>
      </c>
      <c r="D142" s="114">
        <f>'E) Fact soc'!G148/C142</f>
        <v>20.692323075337463</v>
      </c>
      <c r="E142" s="141">
        <f>'H) Péréquation directe'!I153/C142</f>
        <v>14.997579821886163</v>
      </c>
      <c r="F142" s="114">
        <f>+'I) Dépenses thématiques'!O142/'J) Plafonnement effort'!C142</f>
        <v>0</v>
      </c>
      <c r="G142" s="141">
        <f t="shared" si="9"/>
        <v>35.689902897223625</v>
      </c>
      <c r="H142" s="332">
        <f t="shared" si="10"/>
        <v>0</v>
      </c>
      <c r="I142" s="57">
        <f t="shared" si="11"/>
        <v>0</v>
      </c>
      <c r="J142" s="33">
        <f t="shared" si="12"/>
        <v>35.689902897223625</v>
      </c>
    </row>
    <row r="143" spans="1:10" x14ac:dyDescent="0.25">
      <c r="A143" s="49">
        <f>'A) Base RI'!A145</f>
        <v>5635</v>
      </c>
      <c r="B143" s="285" t="str">
        <f>'A) Base RI'!B145</f>
        <v>Ecublens</v>
      </c>
      <c r="C143" s="98">
        <f>'B) D RI'!U145</f>
        <v>489428.14554687496</v>
      </c>
      <c r="D143" s="114">
        <f>'E) Fact soc'!G149/C143</f>
        <v>18.631228149238009</v>
      </c>
      <c r="E143" s="141">
        <f>'H) Péréquation directe'!I154/C143</f>
        <v>-0.3629914118555535</v>
      </c>
      <c r="F143" s="114">
        <f>+'I) Dépenses thématiques'!O143/'J) Plafonnement effort'!C143</f>
        <v>-5.9154132521016862</v>
      </c>
      <c r="G143" s="141">
        <f t="shared" si="9"/>
        <v>12.352823485280769</v>
      </c>
      <c r="H143" s="332">
        <f t="shared" si="10"/>
        <v>0</v>
      </c>
      <c r="I143" s="57">
        <f t="shared" si="11"/>
        <v>0</v>
      </c>
      <c r="J143" s="33">
        <f t="shared" si="12"/>
        <v>12.352823485280769</v>
      </c>
    </row>
    <row r="144" spans="1:10" x14ac:dyDescent="0.25">
      <c r="A144" s="49">
        <f>'A) Base RI'!A146</f>
        <v>5636</v>
      </c>
      <c r="B144" s="285" t="str">
        <f>'A) Base RI'!B146</f>
        <v>Etoy</v>
      </c>
      <c r="C144" s="98">
        <f>'B) D RI'!U146</f>
        <v>176252.1018032787</v>
      </c>
      <c r="D144" s="114">
        <f>'E) Fact soc'!G150/C144</f>
        <v>21.33078955487338</v>
      </c>
      <c r="E144" s="141">
        <f>'H) Péréquation directe'!I155/C144</f>
        <v>15.43606772623159</v>
      </c>
      <c r="F144" s="114">
        <f>+'I) Dépenses thématiques'!O144/'J) Plafonnement effort'!C144</f>
        <v>-1.0343487295242377</v>
      </c>
      <c r="G144" s="141">
        <f t="shared" si="9"/>
        <v>35.732508551580729</v>
      </c>
      <c r="H144" s="332">
        <f t="shared" si="10"/>
        <v>0</v>
      </c>
      <c r="I144" s="57">
        <f t="shared" si="11"/>
        <v>0</v>
      </c>
      <c r="J144" s="33">
        <f t="shared" si="12"/>
        <v>35.732508551580729</v>
      </c>
    </row>
    <row r="145" spans="1:10" x14ac:dyDescent="0.25">
      <c r="A145" s="49">
        <f>'A) Base RI'!A147</f>
        <v>5637</v>
      </c>
      <c r="B145" s="285" t="str">
        <f>'A) Base RI'!B147</f>
        <v>Lavigny</v>
      </c>
      <c r="C145" s="98">
        <f>'B) D RI'!U147</f>
        <v>37192.899776286358</v>
      </c>
      <c r="D145" s="114">
        <f>'E) Fact soc'!G151/C145</f>
        <v>17.919312963038198</v>
      </c>
      <c r="E145" s="141">
        <f>'H) Péréquation directe'!I156/C145</f>
        <v>11.010399066371967</v>
      </c>
      <c r="F145" s="114">
        <f>+'I) Dépenses thématiques'!O145/'J) Plafonnement effort'!C145</f>
        <v>-4.9216666410179659</v>
      </c>
      <c r="G145" s="141">
        <f t="shared" si="9"/>
        <v>24.008045388392198</v>
      </c>
      <c r="H145" s="332">
        <f t="shared" si="10"/>
        <v>0</v>
      </c>
      <c r="I145" s="57">
        <f t="shared" si="11"/>
        <v>0</v>
      </c>
      <c r="J145" s="33">
        <f t="shared" si="12"/>
        <v>24.008045388392198</v>
      </c>
    </row>
    <row r="146" spans="1:10" x14ac:dyDescent="0.25">
      <c r="A146" s="49">
        <f>'A) Base RI'!A148</f>
        <v>5638</v>
      </c>
      <c r="B146" s="285" t="str">
        <f>'A) Base RI'!B148</f>
        <v>Lonay</v>
      </c>
      <c r="C146" s="98">
        <f>'B) D RI'!U148</f>
        <v>157137.98454545456</v>
      </c>
      <c r="D146" s="114">
        <f>'E) Fact soc'!G152/C146</f>
        <v>27.491341046474304</v>
      </c>
      <c r="E146" s="141">
        <f>'H) Péréquation directe'!I157/C146</f>
        <v>15.455407654985533</v>
      </c>
      <c r="F146" s="114">
        <f>+'I) Dépenses thématiques'!O146/'J) Plafonnement effort'!C146</f>
        <v>-2.447678192545697</v>
      </c>
      <c r="G146" s="141">
        <f t="shared" si="9"/>
        <v>40.499070508914144</v>
      </c>
      <c r="H146" s="332">
        <f t="shared" si="10"/>
        <v>0</v>
      </c>
      <c r="I146" s="57">
        <f t="shared" si="11"/>
        <v>0</v>
      </c>
      <c r="J146" s="33">
        <f t="shared" si="12"/>
        <v>40.499070508914144</v>
      </c>
    </row>
    <row r="147" spans="1:10" x14ac:dyDescent="0.25">
      <c r="A147" s="49">
        <f>'A) Base RI'!A149</f>
        <v>5639</v>
      </c>
      <c r="B147" s="285" t="str">
        <f>'A) Base RI'!B149</f>
        <v>Lully</v>
      </c>
      <c r="C147" s="98">
        <f>'B) D RI'!U149</f>
        <v>47176.43180327869</v>
      </c>
      <c r="D147" s="114">
        <f>'E) Fact soc'!G153/C147</f>
        <v>18.422252484350565</v>
      </c>
      <c r="E147" s="141">
        <f>'H) Péréquation directe'!I158/C147</f>
        <v>17.828392713921804</v>
      </c>
      <c r="F147" s="114">
        <f>+'I) Dépenses thématiques'!O147/'J) Plafonnement effort'!C147</f>
        <v>0</v>
      </c>
      <c r="G147" s="141">
        <f t="shared" si="9"/>
        <v>36.250645198272366</v>
      </c>
      <c r="H147" s="332">
        <f t="shared" si="10"/>
        <v>0</v>
      </c>
      <c r="I147" s="57">
        <f t="shared" si="11"/>
        <v>0</v>
      </c>
      <c r="J147" s="33">
        <f t="shared" si="12"/>
        <v>36.250645198272366</v>
      </c>
    </row>
    <row r="148" spans="1:10" x14ac:dyDescent="0.25">
      <c r="A148" s="49">
        <f>'A) Base RI'!A150</f>
        <v>5640</v>
      </c>
      <c r="B148" s="285" t="str">
        <f>'A) Base RI'!B150</f>
        <v>Lussy-sur-Morges</v>
      </c>
      <c r="C148" s="98">
        <f>'B) D RI'!U150</f>
        <v>61400.456666666665</v>
      </c>
      <c r="D148" s="114">
        <f>'E) Fact soc'!G154/C148</f>
        <v>28.283726611414831</v>
      </c>
      <c r="E148" s="141">
        <f>'H) Péréquation directe'!I159/C148</f>
        <v>18.582635929569793</v>
      </c>
      <c r="F148" s="114">
        <f>+'I) Dépenses thématiques'!O148/'J) Plafonnement effort'!C148</f>
        <v>0</v>
      </c>
      <c r="G148" s="141">
        <f t="shared" si="9"/>
        <v>46.866362540984625</v>
      </c>
      <c r="H148" s="332">
        <f t="shared" si="10"/>
        <v>-1.8663625409846247</v>
      </c>
      <c r="I148" s="57">
        <f t="shared" si="11"/>
        <v>-114595.51232201634</v>
      </c>
      <c r="J148" s="33">
        <f t="shared" si="12"/>
        <v>45</v>
      </c>
    </row>
    <row r="149" spans="1:10" x14ac:dyDescent="0.25">
      <c r="A149" s="49">
        <f>'A) Base RI'!A151</f>
        <v>5642</v>
      </c>
      <c r="B149" s="285" t="str">
        <f>'A) Base RI'!B151</f>
        <v>Morges</v>
      </c>
      <c r="C149" s="98">
        <f>'B) D RI'!U151</f>
        <v>842114.79489051085</v>
      </c>
      <c r="D149" s="114">
        <f>'E) Fact soc'!G155/C149</f>
        <v>20.244096550244599</v>
      </c>
      <c r="E149" s="141">
        <f>'H) Péréquation directe'!I160/C149</f>
        <v>7.2604205593085682</v>
      </c>
      <c r="F149" s="114">
        <f>+'I) Dépenses thématiques'!O149/'J) Plafonnement effort'!C149</f>
        <v>-1.1546737054170426</v>
      </c>
      <c r="G149" s="141">
        <f t="shared" si="9"/>
        <v>26.349843404136124</v>
      </c>
      <c r="H149" s="332">
        <f t="shared" si="10"/>
        <v>0</v>
      </c>
      <c r="I149" s="57">
        <f t="shared" si="11"/>
        <v>0</v>
      </c>
      <c r="J149" s="33">
        <f t="shared" si="12"/>
        <v>26.349843404136124</v>
      </c>
    </row>
    <row r="150" spans="1:10" x14ac:dyDescent="0.25">
      <c r="A150" s="49">
        <f>'A) Base RI'!A152</f>
        <v>5643</v>
      </c>
      <c r="B150" s="285" t="str">
        <f>'A) Base RI'!B152</f>
        <v>Préverenges</v>
      </c>
      <c r="C150" s="98">
        <f>'B) D RI'!U152</f>
        <v>259364.760625</v>
      </c>
      <c r="D150" s="114">
        <f>'E) Fact soc'!G156/C150</f>
        <v>18.873884683163929</v>
      </c>
      <c r="E150" s="141">
        <f>'H) Péréquation directe'!I161/C150</f>
        <v>12.369903716385686</v>
      </c>
      <c r="F150" s="114">
        <f>+'I) Dépenses thématiques'!O150/'J) Plafonnement effort'!C150</f>
        <v>0</v>
      </c>
      <c r="G150" s="141">
        <f t="shared" si="9"/>
        <v>31.243788399549615</v>
      </c>
      <c r="H150" s="332">
        <f t="shared" si="10"/>
        <v>0</v>
      </c>
      <c r="I150" s="57">
        <f t="shared" si="11"/>
        <v>0</v>
      </c>
      <c r="J150" s="33">
        <f t="shared" si="12"/>
        <v>31.243788399549615</v>
      </c>
    </row>
    <row r="151" spans="1:10" x14ac:dyDescent="0.25">
      <c r="A151" s="49">
        <f>'A) Base RI'!A153</f>
        <v>5644</v>
      </c>
      <c r="B151" s="285" t="str">
        <f>'A) Base RI'!B153</f>
        <v>Reverolle</v>
      </c>
      <c r="C151" s="98">
        <f>'B) D RI'!U153</f>
        <v>16859.730657894735</v>
      </c>
      <c r="D151" s="114">
        <f>'E) Fact soc'!G157/C151</f>
        <v>17.110548441526237</v>
      </c>
      <c r="E151" s="141">
        <f>'H) Péréquation directe'!I162/C151</f>
        <v>13.398685541272108</v>
      </c>
      <c r="F151" s="114">
        <f>+'I) Dépenses thématiques'!O151/'J) Plafonnement effort'!C151</f>
        <v>-2.9689573745322573</v>
      </c>
      <c r="G151" s="141">
        <f t="shared" si="9"/>
        <v>27.54027660826609</v>
      </c>
      <c r="H151" s="332">
        <f t="shared" si="10"/>
        <v>0</v>
      </c>
      <c r="I151" s="57">
        <f t="shared" si="11"/>
        <v>0</v>
      </c>
      <c r="J151" s="33">
        <f t="shared" si="12"/>
        <v>27.54027660826609</v>
      </c>
    </row>
    <row r="152" spans="1:10" x14ac:dyDescent="0.25">
      <c r="A152" s="49">
        <f>'A) Base RI'!A154</f>
        <v>5645</v>
      </c>
      <c r="B152" s="285" t="str">
        <f>'A) Base RI'!B154</f>
        <v>Romanel-sur-Morges</v>
      </c>
      <c r="C152" s="98">
        <f>'B) D RI'!U154</f>
        <v>29743.552142857145</v>
      </c>
      <c r="D152" s="114">
        <f>'E) Fact soc'!G158/C152</f>
        <v>21.173757808902764</v>
      </c>
      <c r="E152" s="141">
        <f>'H) Péréquation directe'!I163/C152</f>
        <v>18.021537185563915</v>
      </c>
      <c r="F152" s="114">
        <f>+'I) Dépenses thématiques'!O152/'J) Plafonnement effort'!C152</f>
        <v>0</v>
      </c>
      <c r="G152" s="141">
        <f t="shared" si="9"/>
        <v>39.195294994466678</v>
      </c>
      <c r="H152" s="332">
        <f t="shared" si="10"/>
        <v>0</v>
      </c>
      <c r="I152" s="57">
        <f t="shared" si="11"/>
        <v>0</v>
      </c>
      <c r="J152" s="33">
        <f t="shared" si="12"/>
        <v>39.195294994466678</v>
      </c>
    </row>
    <row r="153" spans="1:10" x14ac:dyDescent="0.25">
      <c r="A153" s="49">
        <f>'A) Base RI'!A155</f>
        <v>5646</v>
      </c>
      <c r="B153" s="285" t="str">
        <f>'A) Base RI'!B155</f>
        <v>Saint-Prex</v>
      </c>
      <c r="C153" s="98">
        <f>'B) D RI'!U155</f>
        <v>419083.43709090899</v>
      </c>
      <c r="D153" s="114">
        <f>'E) Fact soc'!G159/C153</f>
        <v>22.141354039594017</v>
      </c>
      <c r="E153" s="141">
        <f>'H) Péréquation directe'!I164/C153</f>
        <v>14.516337688158414</v>
      </c>
      <c r="F153" s="114">
        <f>+'I) Dépenses thématiques'!O153/'J) Plafonnement effort'!C153</f>
        <v>0</v>
      </c>
      <c r="G153" s="141">
        <f t="shared" si="9"/>
        <v>36.657691727752429</v>
      </c>
      <c r="H153" s="332">
        <f t="shared" si="10"/>
        <v>0</v>
      </c>
      <c r="I153" s="57">
        <f t="shared" si="11"/>
        <v>0</v>
      </c>
      <c r="J153" s="33">
        <f t="shared" si="12"/>
        <v>36.657691727752429</v>
      </c>
    </row>
    <row r="154" spans="1:10" x14ac:dyDescent="0.25">
      <c r="A154" s="49">
        <f>'A) Base RI'!A156</f>
        <v>5648</v>
      </c>
      <c r="B154" s="285" t="str">
        <f>'A) Base RI'!B156</f>
        <v>Saint-Sulpice</v>
      </c>
      <c r="C154" s="98">
        <f>'B) D RI'!U156</f>
        <v>383471.67436363641</v>
      </c>
      <c r="D154" s="114">
        <f>'E) Fact soc'!G160/C154</f>
        <v>24.80580407328322</v>
      </c>
      <c r="E154" s="141">
        <f>'H) Péréquation directe'!I165/C154</f>
        <v>15.594452861570904</v>
      </c>
      <c r="F154" s="114">
        <f>+'I) Dépenses thématiques'!O154/'J) Plafonnement effort'!C154</f>
        <v>0</v>
      </c>
      <c r="G154" s="141">
        <f t="shared" si="9"/>
        <v>40.400256934854127</v>
      </c>
      <c r="H154" s="332">
        <f t="shared" si="10"/>
        <v>0</v>
      </c>
      <c r="I154" s="57">
        <f t="shared" si="11"/>
        <v>0</v>
      </c>
      <c r="J154" s="33">
        <f t="shared" si="12"/>
        <v>40.400256934854127</v>
      </c>
    </row>
    <row r="155" spans="1:10" x14ac:dyDescent="0.25">
      <c r="A155" s="49">
        <f>'A) Base RI'!A157</f>
        <v>5649</v>
      </c>
      <c r="B155" s="285" t="str">
        <f>'A) Base RI'!B157</f>
        <v>Tolochenaz</v>
      </c>
      <c r="C155" s="98">
        <f>'B) D RI'!U157</f>
        <v>109794.23076923077</v>
      </c>
      <c r="D155" s="114">
        <f>'E) Fact soc'!G161/C155</f>
        <v>18.844226510403953</v>
      </c>
      <c r="E155" s="141">
        <f>'H) Péréquation directe'!I166/C155</f>
        <v>15.956609214867328</v>
      </c>
      <c r="F155" s="114">
        <f>+'I) Dépenses thématiques'!O155/'J) Plafonnement effort'!C155</f>
        <v>-4.3400065754370027</v>
      </c>
      <c r="G155" s="141">
        <f t="shared" si="9"/>
        <v>30.460829149834282</v>
      </c>
      <c r="H155" s="332">
        <f t="shared" si="10"/>
        <v>0</v>
      </c>
      <c r="I155" s="57">
        <f t="shared" si="11"/>
        <v>0</v>
      </c>
      <c r="J155" s="33">
        <f t="shared" si="12"/>
        <v>30.460829149834282</v>
      </c>
    </row>
    <row r="156" spans="1:10" x14ac:dyDescent="0.25">
      <c r="A156" s="49">
        <f>'A) Base RI'!A158</f>
        <v>5650</v>
      </c>
      <c r="B156" s="285" t="str">
        <f>'A) Base RI'!B158</f>
        <v>Vaux-sur-Morges</v>
      </c>
      <c r="C156" s="98">
        <f>'B) D RI'!U158</f>
        <v>162834.69392857142</v>
      </c>
      <c r="D156" s="114">
        <f>'E) Fact soc'!G162/C156</f>
        <v>45.252511526626876</v>
      </c>
      <c r="E156" s="141">
        <f>'H) Péréquation directe'!I167/C156</f>
        <v>19.855474729937534</v>
      </c>
      <c r="F156" s="114">
        <f>+'I) Dépenses thématiques'!O156/'J) Plafonnement effort'!C156</f>
        <v>0</v>
      </c>
      <c r="G156" s="141">
        <f t="shared" si="9"/>
        <v>65.107986256564402</v>
      </c>
      <c r="H156" s="332">
        <f t="shared" si="10"/>
        <v>-20.107986256564402</v>
      </c>
      <c r="I156" s="57">
        <f t="shared" si="11"/>
        <v>-3274277.7876075851</v>
      </c>
      <c r="J156" s="33">
        <f t="shared" si="12"/>
        <v>45</v>
      </c>
    </row>
    <row r="157" spans="1:10" x14ac:dyDescent="0.25">
      <c r="A157" s="49">
        <f>'A) Base RI'!A159</f>
        <v>5651</v>
      </c>
      <c r="B157" s="285" t="str">
        <f>'A) Base RI'!B159</f>
        <v>Villars-Sainte-Croix</v>
      </c>
      <c r="C157" s="98">
        <f>'B) D RI'!U159</f>
        <v>58682.807419354831</v>
      </c>
      <c r="D157" s="114">
        <f>'E) Fact soc'!G163/C157</f>
        <v>20.188515597747895</v>
      </c>
      <c r="E157" s="141">
        <f>'H) Péréquation directe'!I168/C157</f>
        <v>17.923682248750723</v>
      </c>
      <c r="F157" s="114">
        <f>+'I) Dépenses thématiques'!O157/'J) Plafonnement effort'!C157</f>
        <v>0</v>
      </c>
      <c r="G157" s="141">
        <f t="shared" si="9"/>
        <v>38.112197846498617</v>
      </c>
      <c r="H157" s="332">
        <f t="shared" si="10"/>
        <v>0</v>
      </c>
      <c r="I157" s="57">
        <f t="shared" si="11"/>
        <v>0</v>
      </c>
      <c r="J157" s="33">
        <f t="shared" si="12"/>
        <v>38.112197846498617</v>
      </c>
    </row>
    <row r="158" spans="1:10" x14ac:dyDescent="0.25">
      <c r="A158" s="49">
        <f>'A) Base RI'!A160</f>
        <v>5652</v>
      </c>
      <c r="B158" s="285" t="str">
        <f>'A) Base RI'!B160</f>
        <v>Villars-sous-Yens</v>
      </c>
      <c r="C158" s="98">
        <f>'B) D RI'!U160</f>
        <v>32935.200285087711</v>
      </c>
      <c r="D158" s="114">
        <f>'E) Fact soc'!G164/C158</f>
        <v>17.80062492342795</v>
      </c>
      <c r="E158" s="141">
        <f>'H) Péréquation directe'!I169/C158</f>
        <v>17.706594070204886</v>
      </c>
      <c r="F158" s="114">
        <f>+'I) Dépenses thématiques'!O158/'J) Plafonnement effort'!C158</f>
        <v>0</v>
      </c>
      <c r="G158" s="141">
        <f t="shared" si="9"/>
        <v>35.507218993632833</v>
      </c>
      <c r="H158" s="332">
        <f t="shared" si="10"/>
        <v>0</v>
      </c>
      <c r="I158" s="57">
        <f t="shared" si="11"/>
        <v>0</v>
      </c>
      <c r="J158" s="33">
        <f t="shared" si="12"/>
        <v>35.507218993632833</v>
      </c>
    </row>
    <row r="159" spans="1:10" x14ac:dyDescent="0.25">
      <c r="A159" s="49">
        <f>'A) Base RI'!A161</f>
        <v>5653</v>
      </c>
      <c r="B159" s="285" t="str">
        <f>'A) Base RI'!B161</f>
        <v>Vufflens-le-Château</v>
      </c>
      <c r="C159" s="98">
        <f>'B) D RI'!U161</f>
        <v>71866.827999999994</v>
      </c>
      <c r="D159" s="114">
        <f>'E) Fact soc'!G165/C159</f>
        <v>35.073884736838679</v>
      </c>
      <c r="E159" s="141">
        <f>'H) Péréquation directe'!I170/C159</f>
        <v>18.46313862379758</v>
      </c>
      <c r="F159" s="114">
        <f>+'I) Dépenses thématiques'!O159/'J) Plafonnement effort'!C159</f>
        <v>0</v>
      </c>
      <c r="G159" s="141">
        <f t="shared" si="9"/>
        <v>53.537023360636255</v>
      </c>
      <c r="H159" s="332">
        <f t="shared" si="10"/>
        <v>-8.5370233606362547</v>
      </c>
      <c r="I159" s="57">
        <f t="shared" si="11"/>
        <v>-613528.78949082759</v>
      </c>
      <c r="J159" s="33">
        <f t="shared" si="12"/>
        <v>45</v>
      </c>
    </row>
    <row r="160" spans="1:10" x14ac:dyDescent="0.25">
      <c r="A160" s="49">
        <f>'A) Base RI'!A162</f>
        <v>5654</v>
      </c>
      <c r="B160" s="285" t="str">
        <f>'A) Base RI'!B162</f>
        <v>Vullierens</v>
      </c>
      <c r="C160" s="98">
        <f>'B) D RI'!U162</f>
        <v>18067.402499999997</v>
      </c>
      <c r="D160" s="114">
        <f>'E) Fact soc'!G166/C160</f>
        <v>16.176157429402124</v>
      </c>
      <c r="E160" s="141">
        <f>'H) Péréquation directe'!I171/C160</f>
        <v>8.7086976242952794</v>
      </c>
      <c r="F160" s="114">
        <f>+'I) Dépenses thématiques'!O160/'J) Plafonnement effort'!C160</f>
        <v>-1.1078197647808863</v>
      </c>
      <c r="G160" s="141">
        <f t="shared" si="9"/>
        <v>23.777035288916519</v>
      </c>
      <c r="H160" s="332">
        <f t="shared" si="10"/>
        <v>0</v>
      </c>
      <c r="I160" s="57">
        <f t="shared" si="11"/>
        <v>0</v>
      </c>
      <c r="J160" s="33">
        <f t="shared" si="12"/>
        <v>23.777035288916519</v>
      </c>
    </row>
    <row r="161" spans="1:10" x14ac:dyDescent="0.25">
      <c r="A161" s="49">
        <f>'A) Base RI'!A163</f>
        <v>5655</v>
      </c>
      <c r="B161" s="285" t="str">
        <f>'A) Base RI'!B163</f>
        <v>Yens</v>
      </c>
      <c r="C161" s="98">
        <f>'B) D RI'!U163</f>
        <v>77231.578767123297</v>
      </c>
      <c r="D161" s="114">
        <f>'E) Fact soc'!G167/C161</f>
        <v>19.555227728212593</v>
      </c>
      <c r="E161" s="141">
        <f>'H) Péréquation directe'!I172/C161</f>
        <v>16.207486407024547</v>
      </c>
      <c r="F161" s="114">
        <f>+'I) Dépenses thématiques'!O161/'J) Plafonnement effort'!C161</f>
        <v>0</v>
      </c>
      <c r="G161" s="141">
        <f t="shared" si="9"/>
        <v>35.76271413523714</v>
      </c>
      <c r="H161" s="332">
        <f t="shared" si="10"/>
        <v>0</v>
      </c>
      <c r="I161" s="57">
        <f t="shared" si="11"/>
        <v>0</v>
      </c>
      <c r="J161" s="33">
        <f t="shared" si="12"/>
        <v>35.76271413523714</v>
      </c>
    </row>
    <row r="162" spans="1:10" x14ac:dyDescent="0.25">
      <c r="A162" s="49">
        <f>'A) Base RI'!A164</f>
        <v>5661</v>
      </c>
      <c r="B162" s="285" t="str">
        <f>'A) Base RI'!B164</f>
        <v>Boulens</v>
      </c>
      <c r="C162" s="98">
        <f>'B) D RI'!U164</f>
        <v>10067.366438356165</v>
      </c>
      <c r="D162" s="114">
        <f>'E) Fact soc'!G168/C162</f>
        <v>15.305190488811492</v>
      </c>
      <c r="E162" s="141">
        <f>'H) Péréquation directe'!I173/C162</f>
        <v>0.94685284402222603</v>
      </c>
      <c r="F162" s="114">
        <f>+'I) Dépenses thématiques'!O162/'J) Plafonnement effort'!C162</f>
        <v>-7.5752182217265736</v>
      </c>
      <c r="G162" s="141">
        <f t="shared" si="9"/>
        <v>8.6768251111071457</v>
      </c>
      <c r="H162" s="332">
        <f t="shared" si="10"/>
        <v>0</v>
      </c>
      <c r="I162" s="57">
        <f t="shared" si="11"/>
        <v>0</v>
      </c>
      <c r="J162" s="33">
        <f t="shared" si="12"/>
        <v>8.6768251111071457</v>
      </c>
    </row>
    <row r="163" spans="1:10" x14ac:dyDescent="0.25">
      <c r="A163" s="49">
        <f>'A) Base RI'!A165</f>
        <v>5663</v>
      </c>
      <c r="B163" s="285" t="str">
        <f>'A) Base RI'!B165</f>
        <v>Bussy-sur-Moudon</v>
      </c>
      <c r="C163" s="98">
        <f>'B) D RI'!U165</f>
        <v>6357.5273750000006</v>
      </c>
      <c r="D163" s="114">
        <f>'E) Fact soc'!G169/C163</f>
        <v>18.261281879562567</v>
      </c>
      <c r="E163" s="141">
        <f>'H) Péréquation directe'!I174/C163</f>
        <v>9.1563268647832805E-2</v>
      </c>
      <c r="F163" s="114">
        <f>+'I) Dépenses thématiques'!O163/'J) Plafonnement effort'!C163</f>
        <v>-4.6876661479751132</v>
      </c>
      <c r="G163" s="141">
        <f t="shared" si="9"/>
        <v>13.665179000235286</v>
      </c>
      <c r="H163" s="332">
        <f t="shared" si="10"/>
        <v>0</v>
      </c>
      <c r="I163" s="57">
        <f t="shared" si="11"/>
        <v>0</v>
      </c>
      <c r="J163" s="33">
        <f t="shared" si="12"/>
        <v>13.665179000235286</v>
      </c>
    </row>
    <row r="164" spans="1:10" x14ac:dyDescent="0.25">
      <c r="A164" s="49">
        <f>'A) Base RI'!A166</f>
        <v>5665</v>
      </c>
      <c r="B164" s="285" t="str">
        <f>'A) Base RI'!B166</f>
        <v>Chavannes-sur-Moudon</v>
      </c>
      <c r="C164" s="98">
        <f>'B) D RI'!U166</f>
        <v>4734.8986301369869</v>
      </c>
      <c r="D164" s="114">
        <f>'E) Fact soc'!G170/C164</f>
        <v>17.806480983347107</v>
      </c>
      <c r="E164" s="141">
        <f>'H) Péréquation directe'!I175/C164</f>
        <v>-8.564967808120393</v>
      </c>
      <c r="F164" s="114">
        <f>+'I) Dépenses thématiques'!O164/'J) Plafonnement effort'!C164</f>
        <v>-4.3890168711252278</v>
      </c>
      <c r="G164" s="141">
        <f t="shared" si="9"/>
        <v>4.8524963041014866</v>
      </c>
      <c r="H164" s="332">
        <f t="shared" si="10"/>
        <v>0</v>
      </c>
      <c r="I164" s="57">
        <f t="shared" si="11"/>
        <v>0</v>
      </c>
      <c r="J164" s="33">
        <f t="shared" si="12"/>
        <v>4.8524963041014866</v>
      </c>
    </row>
    <row r="165" spans="1:10" x14ac:dyDescent="0.25">
      <c r="A165" s="49">
        <f>'A) Base RI'!A167</f>
        <v>5669</v>
      </c>
      <c r="B165" s="285" t="str">
        <f>'A) Base RI'!B167</f>
        <v>Curtilles</v>
      </c>
      <c r="C165" s="98">
        <f>'B) D RI'!U167</f>
        <v>10002.199066666666</v>
      </c>
      <c r="D165" s="114">
        <f>'E) Fact soc'!G171/C165</f>
        <v>15.452658960421724</v>
      </c>
      <c r="E165" s="141">
        <f>'H) Péréquation directe'!I176/C165</f>
        <v>5.8559240786705198</v>
      </c>
      <c r="F165" s="114">
        <f>+'I) Dépenses thématiques'!O165/'J) Plafonnement effort'!C165</f>
        <v>0</v>
      </c>
      <c r="G165" s="141">
        <f t="shared" si="9"/>
        <v>21.308583039092245</v>
      </c>
      <c r="H165" s="332">
        <f t="shared" si="10"/>
        <v>0</v>
      </c>
      <c r="I165" s="57">
        <f t="shared" si="11"/>
        <v>0</v>
      </c>
      <c r="J165" s="33">
        <f t="shared" si="12"/>
        <v>21.308583039092245</v>
      </c>
    </row>
    <row r="166" spans="1:10" x14ac:dyDescent="0.25">
      <c r="A166" s="49">
        <f>'A) Base RI'!A168</f>
        <v>5671</v>
      </c>
      <c r="B166" s="285" t="str">
        <f>'A) Base RI'!B168</f>
        <v>Dompierre</v>
      </c>
      <c r="C166" s="98">
        <f>'B) D RI'!U168</f>
        <v>6571.3844999999983</v>
      </c>
      <c r="D166" s="114">
        <f>'E) Fact soc'!G172/C166</f>
        <v>18.344438852109278</v>
      </c>
      <c r="E166" s="141">
        <f>'H) Péréquation directe'!I177/C166</f>
        <v>-1.2473864048158567</v>
      </c>
      <c r="F166" s="114">
        <f>+'I) Dépenses thématiques'!O166/'J) Plafonnement effort'!C166</f>
        <v>-6.047029305221157</v>
      </c>
      <c r="G166" s="141">
        <f t="shared" si="9"/>
        <v>11.050023142072265</v>
      </c>
      <c r="H166" s="332">
        <f t="shared" si="10"/>
        <v>0</v>
      </c>
      <c r="I166" s="57">
        <f t="shared" si="11"/>
        <v>0</v>
      </c>
      <c r="J166" s="33">
        <f t="shared" si="12"/>
        <v>11.050023142072265</v>
      </c>
    </row>
    <row r="167" spans="1:10" x14ac:dyDescent="0.25">
      <c r="A167" s="49">
        <f>'A) Base RI'!A169</f>
        <v>5673</v>
      </c>
      <c r="B167" s="285" t="str">
        <f>'A) Base RI'!B169</f>
        <v>Hermenches</v>
      </c>
      <c r="C167" s="98">
        <f>'B) D RI'!U169</f>
        <v>9909.6989333333331</v>
      </c>
      <c r="D167" s="114">
        <f>'E) Fact soc'!G173/C167</f>
        <v>17.04359707119551</v>
      </c>
      <c r="E167" s="141">
        <f>'H) Péréquation directe'!I178/C167</f>
        <v>-1.2436025322160784</v>
      </c>
      <c r="F167" s="114">
        <f>+'I) Dépenses thématiques'!O167/'J) Plafonnement effort'!C167</f>
        <v>-9.2953414083510122</v>
      </c>
      <c r="G167" s="141">
        <f t="shared" si="9"/>
        <v>6.5046531306284194</v>
      </c>
      <c r="H167" s="332">
        <f t="shared" si="10"/>
        <v>0</v>
      </c>
      <c r="I167" s="57">
        <f t="shared" si="11"/>
        <v>0</v>
      </c>
      <c r="J167" s="33">
        <f t="shared" si="12"/>
        <v>6.5046531306284194</v>
      </c>
    </row>
    <row r="168" spans="1:10" x14ac:dyDescent="0.25">
      <c r="A168" s="49">
        <f>'A) Base RI'!A170</f>
        <v>5674</v>
      </c>
      <c r="B168" s="285" t="str">
        <f>'A) Base RI'!B170</f>
        <v>Lovatens</v>
      </c>
      <c r="C168" s="98">
        <f>'B) D RI'!U170</f>
        <v>3215.0507999999995</v>
      </c>
      <c r="D168" s="114">
        <f>'E) Fact soc'!G174/C168</f>
        <v>14.720618851778804</v>
      </c>
      <c r="E168" s="141">
        <f>'H) Péréquation directe'!I179/C168</f>
        <v>-7.4328101668263367</v>
      </c>
      <c r="F168" s="114">
        <f>+'I) Dépenses thématiques'!O168/'J) Plafonnement effort'!C168</f>
        <v>-3.8655411920443732</v>
      </c>
      <c r="G168" s="141">
        <f t="shared" si="9"/>
        <v>3.4222674929080941</v>
      </c>
      <c r="H168" s="332">
        <f t="shared" si="10"/>
        <v>0</v>
      </c>
      <c r="I168" s="57">
        <f t="shared" si="11"/>
        <v>0</v>
      </c>
      <c r="J168" s="33">
        <f t="shared" si="12"/>
        <v>3.4222674929080941</v>
      </c>
    </row>
    <row r="169" spans="1:10" x14ac:dyDescent="0.25">
      <c r="A169" s="49">
        <f>'A) Base RI'!A171</f>
        <v>5675</v>
      </c>
      <c r="B169" s="285" t="str">
        <f>'A) Base RI'!B171</f>
        <v>Lucens</v>
      </c>
      <c r="C169" s="98">
        <f>'B) D RI'!U171</f>
        <v>97758.400909090895</v>
      </c>
      <c r="D169" s="114">
        <f>'E) Fact soc'!G175/C169</f>
        <v>19.390818615495359</v>
      </c>
      <c r="E169" s="141">
        <f>'H) Péréquation directe'!I180/C169</f>
        <v>-14.242860017351838</v>
      </c>
      <c r="F169" s="114">
        <f>+'I) Dépenses thématiques'!O169/'J) Plafonnement effort'!C169</f>
        <v>-4.8802864535600179</v>
      </c>
      <c r="G169" s="141">
        <f t="shared" si="9"/>
        <v>0.26767214458350352</v>
      </c>
      <c r="H169" s="332">
        <f t="shared" si="10"/>
        <v>0</v>
      </c>
      <c r="I169" s="57">
        <f t="shared" si="11"/>
        <v>0</v>
      </c>
      <c r="J169" s="33">
        <f t="shared" si="12"/>
        <v>0.26767214458350352</v>
      </c>
    </row>
    <row r="170" spans="1:10" x14ac:dyDescent="0.25">
      <c r="A170" s="49">
        <f>'A) Base RI'!A172</f>
        <v>5678</v>
      </c>
      <c r="B170" s="285" t="str">
        <f>'A) Base RI'!B172</f>
        <v>Moudon</v>
      </c>
      <c r="C170" s="98">
        <f>'B) D RI'!U172</f>
        <v>126080.27293333331</v>
      </c>
      <c r="D170" s="114">
        <f>'E) Fact soc'!G176/C170</f>
        <v>20.672258326206379</v>
      </c>
      <c r="E170" s="141">
        <f>'H) Péréquation directe'!I181/C170</f>
        <v>-28.047372601572675</v>
      </c>
      <c r="F170" s="114">
        <f>+'I) Dépenses thématiques'!O170/'J) Plafonnement effort'!C170</f>
        <v>-8.7945870840597156</v>
      </c>
      <c r="G170" s="141">
        <f t="shared" si="9"/>
        <v>-16.169701359426014</v>
      </c>
      <c r="H170" s="332">
        <f t="shared" si="10"/>
        <v>0</v>
      </c>
      <c r="I170" s="57">
        <f t="shared" si="11"/>
        <v>0</v>
      </c>
      <c r="J170" s="33">
        <f t="shared" si="12"/>
        <v>-16.169701359426014</v>
      </c>
    </row>
    <row r="171" spans="1:10" x14ac:dyDescent="0.25">
      <c r="A171" s="49">
        <f>'A) Base RI'!A173</f>
        <v>5680</v>
      </c>
      <c r="B171" s="285" t="str">
        <f>'A) Base RI'!B173</f>
        <v>Ogens</v>
      </c>
      <c r="C171" s="98">
        <f>'B) D RI'!U173</f>
        <v>6313.5037606837595</v>
      </c>
      <c r="D171" s="114">
        <f>'E) Fact soc'!G177/C171</f>
        <v>20.500152671738444</v>
      </c>
      <c r="E171" s="141">
        <f>'H) Péréquation directe'!I182/C171</f>
        <v>-15.016056231601043</v>
      </c>
      <c r="F171" s="114">
        <f>+'I) Dépenses thématiques'!O171/'J) Plafonnement effort'!C171</f>
        <v>-4.4843675667504321</v>
      </c>
      <c r="G171" s="141">
        <f t="shared" si="9"/>
        <v>0.99972887338696914</v>
      </c>
      <c r="H171" s="332">
        <f t="shared" si="10"/>
        <v>0</v>
      </c>
      <c r="I171" s="57">
        <f t="shared" si="11"/>
        <v>0</v>
      </c>
      <c r="J171" s="33">
        <f t="shared" si="12"/>
        <v>0.99972887338696914</v>
      </c>
    </row>
    <row r="172" spans="1:10" x14ac:dyDescent="0.25">
      <c r="A172" s="49">
        <f>'A) Base RI'!A174</f>
        <v>5683</v>
      </c>
      <c r="B172" s="285" t="str">
        <f>'A) Base RI'!B174</f>
        <v>Prévonloup</v>
      </c>
      <c r="C172" s="98">
        <f>'B) D RI'!U174</f>
        <v>4589.3872972972958</v>
      </c>
      <c r="D172" s="114">
        <f>'E) Fact soc'!G178/C172</f>
        <v>15.590343731491007</v>
      </c>
      <c r="E172" s="141">
        <f>'H) Péréquation directe'!I183/C172</f>
        <v>-6.8127688268756579</v>
      </c>
      <c r="F172" s="114">
        <f>+'I) Dépenses thématiques'!O172/'J) Plafonnement effort'!C172</f>
        <v>-4.766226347546346</v>
      </c>
      <c r="G172" s="141">
        <f t="shared" si="9"/>
        <v>4.0113485570690033</v>
      </c>
      <c r="H172" s="332">
        <f t="shared" si="10"/>
        <v>0</v>
      </c>
      <c r="I172" s="57">
        <f t="shared" si="11"/>
        <v>0</v>
      </c>
      <c r="J172" s="33">
        <f t="shared" si="12"/>
        <v>4.0113485570690033</v>
      </c>
    </row>
    <row r="173" spans="1:10" x14ac:dyDescent="0.25">
      <c r="A173" s="49">
        <f>'A) Base RI'!A175</f>
        <v>5684</v>
      </c>
      <c r="B173" s="285" t="str">
        <f>'A) Base RI'!B175</f>
        <v>Rossenges</v>
      </c>
      <c r="C173" s="98">
        <f>'B) D RI'!U175</f>
        <v>3098.721</v>
      </c>
      <c r="D173" s="114">
        <f>'E) Fact soc'!G179/C173</f>
        <v>14.691171416609196</v>
      </c>
      <c r="E173" s="141">
        <f>'H) Péréquation directe'!I184/C173</f>
        <v>10.421752176934195</v>
      </c>
      <c r="F173" s="114">
        <f>+'I) Dépenses thématiques'!O173/'J) Plafonnement effort'!C173</f>
        <v>-3.7880851497750636</v>
      </c>
      <c r="G173" s="141">
        <f t="shared" si="9"/>
        <v>21.324838443768328</v>
      </c>
      <c r="H173" s="332">
        <f t="shared" si="10"/>
        <v>0</v>
      </c>
      <c r="I173" s="57">
        <f t="shared" si="11"/>
        <v>0</v>
      </c>
      <c r="J173" s="33">
        <f t="shared" si="12"/>
        <v>21.324838443768328</v>
      </c>
    </row>
    <row r="174" spans="1:10" x14ac:dyDescent="0.25">
      <c r="A174" s="49">
        <f>'A) Base RI'!A176</f>
        <v>5688</v>
      </c>
      <c r="B174" s="285" t="str">
        <f>'A) Base RI'!B176</f>
        <v>Syens</v>
      </c>
      <c r="C174" s="98">
        <f>'B) D RI'!U176</f>
        <v>2742.3284391534398</v>
      </c>
      <c r="D174" s="114">
        <f>'E) Fact soc'!G180/C174</f>
        <v>14.735511473862708</v>
      </c>
      <c r="E174" s="141">
        <f>'H) Péréquation directe'!I185/C174</f>
        <v>-24.739316337742501</v>
      </c>
      <c r="F174" s="114">
        <f>+'I) Dépenses thématiques'!O174/'J) Plafonnement effort'!C174</f>
        <v>-15.284742408998913</v>
      </c>
      <c r="G174" s="141">
        <f t="shared" si="9"/>
        <v>-25.288547272878706</v>
      </c>
      <c r="H174" s="332">
        <f t="shared" si="10"/>
        <v>0</v>
      </c>
      <c r="I174" s="57">
        <f t="shared" si="11"/>
        <v>0</v>
      </c>
      <c r="J174" s="33">
        <f t="shared" si="12"/>
        <v>-25.288547272878706</v>
      </c>
    </row>
    <row r="175" spans="1:10" x14ac:dyDescent="0.25">
      <c r="A175" s="49">
        <f>'A) Base RI'!A177</f>
        <v>5690</v>
      </c>
      <c r="B175" s="285" t="str">
        <f>'A) Base RI'!B177</f>
        <v>Villars-le-Comte</v>
      </c>
      <c r="C175" s="98">
        <f>'B) D RI'!U177</f>
        <v>3018.1645000000003</v>
      </c>
      <c r="D175" s="114">
        <f>'E) Fact soc'!G181/C175</f>
        <v>40.821622556697811</v>
      </c>
      <c r="E175" s="141">
        <f>'H) Péréquation directe'!I186/C175</f>
        <v>-2.627004111908319</v>
      </c>
      <c r="F175" s="114">
        <f>+'I) Dépenses thématiques'!O175/'J) Plafonnement effort'!C175</f>
        <v>0</v>
      </c>
      <c r="G175" s="141">
        <f t="shared" si="9"/>
        <v>38.194618444789491</v>
      </c>
      <c r="H175" s="332">
        <f t="shared" si="10"/>
        <v>0</v>
      </c>
      <c r="I175" s="57">
        <f t="shared" si="11"/>
        <v>0</v>
      </c>
      <c r="J175" s="33">
        <f t="shared" si="12"/>
        <v>38.194618444789491</v>
      </c>
    </row>
    <row r="176" spans="1:10" x14ac:dyDescent="0.25">
      <c r="A176" s="49">
        <f>'A) Base RI'!A178</f>
        <v>5692</v>
      </c>
      <c r="B176" s="285" t="str">
        <f>'A) Base RI'!B178</f>
        <v>Vucherens</v>
      </c>
      <c r="C176" s="98">
        <f>'B) D RI'!U178</f>
        <v>16002.190506329114</v>
      </c>
      <c r="D176" s="114">
        <f>'E) Fact soc'!G182/C176</f>
        <v>17.852739514426183</v>
      </c>
      <c r="E176" s="141">
        <f>'H) Péréquation directe'!I187/C176</f>
        <v>-2.0428362128801729</v>
      </c>
      <c r="F176" s="114">
        <f>+'I) Dépenses thématiques'!O176/'J) Plafonnement effort'!C176</f>
        <v>-4.2251831572713066</v>
      </c>
      <c r="G176" s="141">
        <f t="shared" si="9"/>
        <v>11.584720144274703</v>
      </c>
      <c r="H176" s="332">
        <f t="shared" si="10"/>
        <v>0</v>
      </c>
      <c r="I176" s="57">
        <f t="shared" si="11"/>
        <v>0</v>
      </c>
      <c r="J176" s="33">
        <f t="shared" si="12"/>
        <v>11.584720144274703</v>
      </c>
    </row>
    <row r="177" spans="1:10" x14ac:dyDescent="0.25">
      <c r="A177" s="49">
        <f>'A) Base RI'!A179</f>
        <v>5693</v>
      </c>
      <c r="B177" s="285" t="str">
        <f>'A) Base RI'!B179</f>
        <v>Montanaire</v>
      </c>
      <c r="C177" s="98">
        <f>'B) D RI'!U179</f>
        <v>70807.212499999965</v>
      </c>
      <c r="D177" s="114">
        <f>'E) Fact soc'!G183/C177</f>
        <v>17.071970547771151</v>
      </c>
      <c r="E177" s="141">
        <f>'H) Péréquation directe'!I188/C177</f>
        <v>-6.8874033836274346</v>
      </c>
      <c r="F177" s="114">
        <f>+'I) Dépenses thématiques'!O177/'J) Plafonnement effort'!C177</f>
        <v>-8.1118080571444633</v>
      </c>
      <c r="G177" s="141">
        <f t="shared" si="9"/>
        <v>2.0727591069992535</v>
      </c>
      <c r="H177" s="332">
        <f t="shared" si="10"/>
        <v>0</v>
      </c>
      <c r="I177" s="57">
        <f t="shared" si="11"/>
        <v>0</v>
      </c>
      <c r="J177" s="33">
        <f t="shared" si="12"/>
        <v>2.0727591069992535</v>
      </c>
    </row>
    <row r="178" spans="1:10" x14ac:dyDescent="0.25">
      <c r="A178" s="49">
        <f>'A) Base RI'!A180</f>
        <v>5701</v>
      </c>
      <c r="B178" s="285" t="str">
        <f>'A) Base RI'!B180</f>
        <v>Arnex-sur-Nyon</v>
      </c>
      <c r="C178" s="98">
        <f>'B) D RI'!U180</f>
        <v>12068.134285714286</v>
      </c>
      <c r="D178" s="114">
        <f>'E) Fact soc'!G184/C178</f>
        <v>17.916931955177507</v>
      </c>
      <c r="E178" s="141">
        <f>'H) Péréquation directe'!I189/C178</f>
        <v>17.622810492057354</v>
      </c>
      <c r="F178" s="114">
        <f>+'I) Dépenses thématiques'!O178/'J) Plafonnement effort'!C178</f>
        <v>-14.282446394677446</v>
      </c>
      <c r="G178" s="141">
        <f t="shared" si="9"/>
        <v>21.257296052557411</v>
      </c>
      <c r="H178" s="332">
        <f t="shared" si="10"/>
        <v>0</v>
      </c>
      <c r="I178" s="57">
        <f t="shared" si="11"/>
        <v>0</v>
      </c>
      <c r="J178" s="33">
        <f t="shared" si="12"/>
        <v>21.257296052557411</v>
      </c>
    </row>
    <row r="179" spans="1:10" x14ac:dyDescent="0.25">
      <c r="A179" s="49">
        <f>'A) Base RI'!A181</f>
        <v>5702</v>
      </c>
      <c r="B179" s="285" t="str">
        <f>'A) Base RI'!B181</f>
        <v>Arzier-Le Muids</v>
      </c>
      <c r="C179" s="98">
        <f>'B) D RI'!U181</f>
        <v>173952.76901041667</v>
      </c>
      <c r="D179" s="114">
        <f>'E) Fact soc'!G185/C179</f>
        <v>22.214826931626945</v>
      </c>
      <c r="E179" s="141">
        <f>'H) Péréquation directe'!I190/C179</f>
        <v>15.642577865816436</v>
      </c>
      <c r="F179" s="114">
        <f>+'I) Dépenses thématiques'!O179/'J) Plafonnement effort'!C179</f>
        <v>-1.5847482714876846</v>
      </c>
      <c r="G179" s="141">
        <f t="shared" si="9"/>
        <v>36.272656525955696</v>
      </c>
      <c r="H179" s="332">
        <f t="shared" si="10"/>
        <v>0</v>
      </c>
      <c r="I179" s="57">
        <f t="shared" si="11"/>
        <v>0</v>
      </c>
      <c r="J179" s="33">
        <f t="shared" si="12"/>
        <v>36.272656525955696</v>
      </c>
    </row>
    <row r="180" spans="1:10" x14ac:dyDescent="0.25">
      <c r="A180" s="49">
        <f>'A) Base RI'!A182</f>
        <v>5703</v>
      </c>
      <c r="B180" s="285" t="str">
        <f>'A) Base RI'!B182</f>
        <v>Bassins</v>
      </c>
      <c r="C180" s="98">
        <f>'B) D RI'!U182</f>
        <v>58992.28158301158</v>
      </c>
      <c r="D180" s="114">
        <f>'E) Fact soc'!G186/C180</f>
        <v>17.662018454511689</v>
      </c>
      <c r="E180" s="141">
        <f>'H) Péréquation directe'!I191/C180</f>
        <v>13.042140484433268</v>
      </c>
      <c r="F180" s="114">
        <f>+'I) Dépenses thématiques'!O180/'J) Plafonnement effort'!C180</f>
        <v>-5.9506518605045065</v>
      </c>
      <c r="G180" s="141">
        <f t="shared" si="9"/>
        <v>24.75350707844045</v>
      </c>
      <c r="H180" s="332">
        <f t="shared" si="10"/>
        <v>0</v>
      </c>
      <c r="I180" s="57">
        <f t="shared" si="11"/>
        <v>0</v>
      </c>
      <c r="J180" s="33">
        <f t="shared" si="12"/>
        <v>24.75350707844045</v>
      </c>
    </row>
    <row r="181" spans="1:10" x14ac:dyDescent="0.25">
      <c r="A181" s="49">
        <f>'A) Base RI'!A183</f>
        <v>5704</v>
      </c>
      <c r="B181" s="285" t="str">
        <f>'A) Base RI'!B183</f>
        <v>Begnins</v>
      </c>
      <c r="C181" s="98">
        <f>'B) D RI'!U183</f>
        <v>129564.85270833333</v>
      </c>
      <c r="D181" s="114">
        <f>'E) Fact soc'!G187/C181</f>
        <v>21.940948760492322</v>
      </c>
      <c r="E181" s="141">
        <f>'H) Péréquation directe'!I192/C181</f>
        <v>16.509462700066759</v>
      </c>
      <c r="F181" s="114">
        <f>+'I) Dépenses thématiques'!O181/'J) Plafonnement effort'!C181</f>
        <v>0</v>
      </c>
      <c r="G181" s="141">
        <f t="shared" si="9"/>
        <v>38.450411460559081</v>
      </c>
      <c r="H181" s="332">
        <f t="shared" si="10"/>
        <v>0</v>
      </c>
      <c r="I181" s="57">
        <f t="shared" si="11"/>
        <v>0</v>
      </c>
      <c r="J181" s="33">
        <f t="shared" si="12"/>
        <v>38.450411460559081</v>
      </c>
    </row>
    <row r="182" spans="1:10" x14ac:dyDescent="0.25">
      <c r="A182" s="49">
        <f>'A) Base RI'!A184</f>
        <v>5705</v>
      </c>
      <c r="B182" s="285" t="str">
        <f>'A) Base RI'!B184</f>
        <v>Bogis-Bossey</v>
      </c>
      <c r="C182" s="98">
        <f>'B) D RI'!U184</f>
        <v>47436.61605263158</v>
      </c>
      <c r="D182" s="114">
        <f>'E) Fact soc'!G188/C182</f>
        <v>20.978867642882296</v>
      </c>
      <c r="E182" s="141">
        <f>'H) Péréquation directe'!I193/C182</f>
        <v>17.821801971263728</v>
      </c>
      <c r="F182" s="114">
        <f>+'I) Dépenses thématiques'!O182/'J) Plafonnement effort'!C182</f>
        <v>0</v>
      </c>
      <c r="G182" s="141">
        <f t="shared" si="9"/>
        <v>38.800669614146024</v>
      </c>
      <c r="H182" s="332">
        <f t="shared" si="10"/>
        <v>0</v>
      </c>
      <c r="I182" s="57">
        <f t="shared" si="11"/>
        <v>0</v>
      </c>
      <c r="J182" s="33">
        <f t="shared" si="12"/>
        <v>38.800669614146024</v>
      </c>
    </row>
    <row r="183" spans="1:10" x14ac:dyDescent="0.25">
      <c r="A183" s="49">
        <f>'A) Base RI'!A185</f>
        <v>5706</v>
      </c>
      <c r="B183" s="285" t="str">
        <f>'A) Base RI'!B185</f>
        <v>Borex</v>
      </c>
      <c r="C183" s="98">
        <f>'B) D RI'!U185</f>
        <v>76683.378793103446</v>
      </c>
      <c r="D183" s="114">
        <f>'E) Fact soc'!G189/C183</f>
        <v>20.751799731326415</v>
      </c>
      <c r="E183" s="141">
        <f>'H) Péréquation directe'!I194/C183</f>
        <v>17.762903923008231</v>
      </c>
      <c r="F183" s="114">
        <f>+'I) Dépenses thématiques'!O183/'J) Plafonnement effort'!C183</f>
        <v>0</v>
      </c>
      <c r="G183" s="141">
        <f t="shared" si="9"/>
        <v>38.514703654334646</v>
      </c>
      <c r="H183" s="332">
        <f t="shared" si="10"/>
        <v>0</v>
      </c>
      <c r="I183" s="57">
        <f t="shared" si="11"/>
        <v>0</v>
      </c>
      <c r="J183" s="33">
        <f t="shared" si="12"/>
        <v>38.514703654334646</v>
      </c>
    </row>
    <row r="184" spans="1:10" x14ac:dyDescent="0.25">
      <c r="A184" s="49">
        <f>'A) Base RI'!A186</f>
        <v>5707</v>
      </c>
      <c r="B184" s="285" t="str">
        <f>'A) Base RI'!B186</f>
        <v>Chavannes-de-Bogis</v>
      </c>
      <c r="C184" s="98">
        <f>'B) D RI'!U186</f>
        <v>81307.638983050841</v>
      </c>
      <c r="D184" s="114">
        <f>'E) Fact soc'!G190/C184</f>
        <v>22.248601577613798</v>
      </c>
      <c r="E184" s="141">
        <f>'H) Péréquation directe'!I195/C184</f>
        <v>16.917100591250939</v>
      </c>
      <c r="F184" s="114">
        <f>+'I) Dépenses thématiques'!O184/'J) Plafonnement effort'!C184</f>
        <v>0</v>
      </c>
      <c r="G184" s="141">
        <f t="shared" si="9"/>
        <v>39.16570216886474</v>
      </c>
      <c r="H184" s="332">
        <f t="shared" si="10"/>
        <v>0</v>
      </c>
      <c r="I184" s="57">
        <f t="shared" si="11"/>
        <v>0</v>
      </c>
      <c r="J184" s="33">
        <f t="shared" si="12"/>
        <v>39.16570216886474</v>
      </c>
    </row>
    <row r="185" spans="1:10" x14ac:dyDescent="0.25">
      <c r="A185" s="49">
        <f>'A) Base RI'!A187</f>
        <v>5708</v>
      </c>
      <c r="B185" s="285" t="str">
        <f>'A) Base RI'!B187</f>
        <v>Chavannes-des-Bois</v>
      </c>
      <c r="C185" s="98">
        <f>'B) D RI'!U187</f>
        <v>64704.48911764707</v>
      </c>
      <c r="D185" s="114">
        <f>'E) Fact soc'!G191/C185</f>
        <v>23.572133055298533</v>
      </c>
      <c r="E185" s="141">
        <f>'H) Péréquation directe'!I196/C185</f>
        <v>18.142776616620385</v>
      </c>
      <c r="F185" s="114">
        <f>+'I) Dépenses thématiques'!O185/'J) Plafonnement effort'!C185</f>
        <v>0</v>
      </c>
      <c r="G185" s="141">
        <f t="shared" si="9"/>
        <v>41.714909671918917</v>
      </c>
      <c r="H185" s="332">
        <f t="shared" si="10"/>
        <v>0</v>
      </c>
      <c r="I185" s="57">
        <f t="shared" si="11"/>
        <v>0</v>
      </c>
      <c r="J185" s="33">
        <f t="shared" si="12"/>
        <v>41.714909671918917</v>
      </c>
    </row>
    <row r="186" spans="1:10" x14ac:dyDescent="0.25">
      <c r="A186" s="49">
        <f>'A) Base RI'!A188</f>
        <v>5709</v>
      </c>
      <c r="B186" s="285" t="str">
        <f>'A) Base RI'!B188</f>
        <v>Chéserex</v>
      </c>
      <c r="C186" s="98">
        <f>'B) D RI'!U188</f>
        <v>99426.699824561394</v>
      </c>
      <c r="D186" s="114">
        <f>'E) Fact soc'!G192/C186</f>
        <v>24.942990826099891</v>
      </c>
      <c r="E186" s="141">
        <f>'H) Péréquation directe'!I197/C186</f>
        <v>17.901141920880974</v>
      </c>
      <c r="F186" s="114">
        <f>+'I) Dépenses thématiques'!O186/'J) Plafonnement effort'!C186</f>
        <v>0</v>
      </c>
      <c r="G186" s="141">
        <f t="shared" si="9"/>
        <v>42.844132746980861</v>
      </c>
      <c r="H186" s="332">
        <f t="shared" si="10"/>
        <v>0</v>
      </c>
      <c r="I186" s="57">
        <f t="shared" si="11"/>
        <v>0</v>
      </c>
      <c r="J186" s="33">
        <f t="shared" si="12"/>
        <v>42.844132746980861</v>
      </c>
    </row>
    <row r="187" spans="1:10" x14ac:dyDescent="0.25">
      <c r="A187" s="49">
        <f>'A) Base RI'!A189</f>
        <v>5710</v>
      </c>
      <c r="B187" s="285" t="str">
        <f>'A) Base RI'!B189</f>
        <v>Coinsins</v>
      </c>
      <c r="C187" s="98">
        <f>'B) D RI'!U189</f>
        <v>112110.92803921571</v>
      </c>
      <c r="D187" s="114">
        <f>'E) Fact soc'!G193/C187</f>
        <v>35.692649996038952</v>
      </c>
      <c r="E187" s="141">
        <f>'H) Péréquation directe'!I198/C187</f>
        <v>19.453126548085532</v>
      </c>
      <c r="F187" s="114">
        <f>+'I) Dépenses thématiques'!O187/'J) Plafonnement effort'!C187</f>
        <v>0</v>
      </c>
      <c r="G187" s="141">
        <f t="shared" si="9"/>
        <v>55.145776544124487</v>
      </c>
      <c r="H187" s="332">
        <f t="shared" si="10"/>
        <v>-10.145776544124487</v>
      </c>
      <c r="I187" s="57">
        <f t="shared" si="11"/>
        <v>-1137452.4240403031</v>
      </c>
      <c r="J187" s="33">
        <f t="shared" si="12"/>
        <v>45</v>
      </c>
    </row>
    <row r="188" spans="1:10" x14ac:dyDescent="0.25">
      <c r="A188" s="49">
        <f>'A) Base RI'!A190</f>
        <v>5711</v>
      </c>
      <c r="B188" s="285" t="str">
        <f>'A) Base RI'!B190</f>
        <v>Commugny</v>
      </c>
      <c r="C188" s="98">
        <f>'B) D RI'!U190</f>
        <v>257487.27623481784</v>
      </c>
      <c r="D188" s="114">
        <f>'E) Fact soc'!G194/C188</f>
        <v>25.794584036855575</v>
      </c>
      <c r="E188" s="141">
        <f>'H) Péréquation directe'!I199/C188</f>
        <v>16.875330494501988</v>
      </c>
      <c r="F188" s="114">
        <f>+'I) Dépenses thématiques'!O188/'J) Plafonnement effort'!C188</f>
        <v>0</v>
      </c>
      <c r="G188" s="141">
        <f t="shared" si="9"/>
        <v>42.669914531357563</v>
      </c>
      <c r="H188" s="332">
        <f t="shared" si="10"/>
        <v>0</v>
      </c>
      <c r="I188" s="57">
        <f t="shared" si="11"/>
        <v>0</v>
      </c>
      <c r="J188" s="33">
        <f t="shared" si="12"/>
        <v>42.669914531357563</v>
      </c>
    </row>
    <row r="189" spans="1:10" x14ac:dyDescent="0.25">
      <c r="A189" s="49">
        <f>'A) Base RI'!A191</f>
        <v>5712</v>
      </c>
      <c r="B189" s="285" t="str">
        <f>'A) Base RI'!B191</f>
        <v>Coppet</v>
      </c>
      <c r="C189" s="98">
        <f>'B) D RI'!U191</f>
        <v>389043.84018867929</v>
      </c>
      <c r="D189" s="114">
        <f>'E) Fact soc'!G195/C189</f>
        <v>30.330810798777463</v>
      </c>
      <c r="E189" s="141">
        <f>'H) Péréquation directe'!I200/C189</f>
        <v>17.602898614141427</v>
      </c>
      <c r="F189" s="114">
        <f>+'I) Dépenses thématiques'!O189/'J) Plafonnement effort'!C189</f>
        <v>0</v>
      </c>
      <c r="G189" s="141">
        <f t="shared" si="9"/>
        <v>47.933709412918887</v>
      </c>
      <c r="H189" s="332">
        <f t="shared" si="10"/>
        <v>-2.933709412918887</v>
      </c>
      <c r="I189" s="57">
        <f t="shared" si="11"/>
        <v>-1141341.5759996397</v>
      </c>
      <c r="J189" s="33">
        <f t="shared" si="12"/>
        <v>45</v>
      </c>
    </row>
    <row r="190" spans="1:10" x14ac:dyDescent="0.25">
      <c r="A190" s="49">
        <f>'A) Base RI'!A192</f>
        <v>5713</v>
      </c>
      <c r="B190" s="285" t="str">
        <f>'A) Base RI'!B192</f>
        <v>Crans-près-Céligny</v>
      </c>
      <c r="C190" s="98">
        <f>'B) D RI'!U192</f>
        <v>285689.07035714283</v>
      </c>
      <c r="D190" s="114">
        <f>'E) Fact soc'!G196/C190</f>
        <v>30.424001581877494</v>
      </c>
      <c r="E190" s="141">
        <f>'H) Péréquation directe'!I201/C190</f>
        <v>17.983537353211236</v>
      </c>
      <c r="F190" s="114">
        <f>+'I) Dépenses thématiques'!O190/'J) Plafonnement effort'!C190</f>
        <v>0</v>
      </c>
      <c r="G190" s="141">
        <f t="shared" si="9"/>
        <v>48.407538935088731</v>
      </c>
      <c r="H190" s="332">
        <f t="shared" si="10"/>
        <v>-3.4075389350887306</v>
      </c>
      <c r="I190" s="57">
        <f t="shared" si="11"/>
        <v>-973496.63057126792</v>
      </c>
      <c r="J190" s="33">
        <f t="shared" si="12"/>
        <v>45</v>
      </c>
    </row>
    <row r="191" spans="1:10" x14ac:dyDescent="0.25">
      <c r="A191" s="49">
        <f>'A) Base RI'!A193</f>
        <v>5714</v>
      </c>
      <c r="B191" s="285" t="str">
        <f>'A) Base RI'!B193</f>
        <v>Crassier</v>
      </c>
      <c r="C191" s="98">
        <f>'B) D RI'!U193</f>
        <v>69757.357205882377</v>
      </c>
      <c r="D191" s="114">
        <f>'E) Fact soc'!G197/C191</f>
        <v>20.440739433582298</v>
      </c>
      <c r="E191" s="141">
        <f>'H) Péréquation directe'!I202/C191</f>
        <v>17.353546988384821</v>
      </c>
      <c r="F191" s="114">
        <f>+'I) Dépenses thématiques'!O191/'J) Plafonnement effort'!C191</f>
        <v>0</v>
      </c>
      <c r="G191" s="141">
        <f t="shared" si="9"/>
        <v>37.794286421967115</v>
      </c>
      <c r="H191" s="332">
        <f t="shared" si="10"/>
        <v>0</v>
      </c>
      <c r="I191" s="57">
        <f t="shared" si="11"/>
        <v>0</v>
      </c>
      <c r="J191" s="33">
        <f t="shared" si="12"/>
        <v>37.794286421967115</v>
      </c>
    </row>
    <row r="192" spans="1:10" x14ac:dyDescent="0.25">
      <c r="A192" s="49">
        <f>'A) Base RI'!A194</f>
        <v>5715</v>
      </c>
      <c r="B192" s="285" t="str">
        <f>'A) Base RI'!B194</f>
        <v>Duillier</v>
      </c>
      <c r="C192" s="98">
        <f>'B) D RI'!U194</f>
        <v>70129.929393939397</v>
      </c>
      <c r="D192" s="114">
        <f>'E) Fact soc'!G198/C192</f>
        <v>21.404576373039546</v>
      </c>
      <c r="E192" s="141">
        <f>'H) Péréquation directe'!I203/C192</f>
        <v>17.763893503626527</v>
      </c>
      <c r="F192" s="114">
        <f>+'I) Dépenses thématiques'!O192/'J) Plafonnement effort'!C192</f>
        <v>0</v>
      </c>
      <c r="G192" s="141">
        <f t="shared" si="9"/>
        <v>39.168469876666073</v>
      </c>
      <c r="H192" s="332">
        <f t="shared" si="10"/>
        <v>0</v>
      </c>
      <c r="I192" s="57">
        <f t="shared" si="11"/>
        <v>0</v>
      </c>
      <c r="J192" s="33">
        <f t="shared" si="12"/>
        <v>39.168469876666073</v>
      </c>
    </row>
    <row r="193" spans="1:10" x14ac:dyDescent="0.25">
      <c r="A193" s="49">
        <f>'A) Base RI'!A195</f>
        <v>5716</v>
      </c>
      <c r="B193" s="285" t="str">
        <f>'A) Base RI'!B195</f>
        <v>Eysins</v>
      </c>
      <c r="C193" s="98">
        <f>'B) D RI'!U195</f>
        <v>206146.61786885248</v>
      </c>
      <c r="D193" s="114">
        <f>'E) Fact soc'!G199/C193</f>
        <v>30.937365518039314</v>
      </c>
      <c r="E193" s="141">
        <f>'H) Péréquation directe'!I204/C193</f>
        <v>18.139688127987725</v>
      </c>
      <c r="F193" s="114">
        <f>+'I) Dépenses thématiques'!O193/'J) Plafonnement effort'!C193</f>
        <v>0</v>
      </c>
      <c r="G193" s="141">
        <f t="shared" si="9"/>
        <v>49.077053646027039</v>
      </c>
      <c r="H193" s="332">
        <f t="shared" si="10"/>
        <v>-4.0770536460270392</v>
      </c>
      <c r="I193" s="57">
        <f t="shared" si="11"/>
        <v>-840470.81999834778</v>
      </c>
      <c r="J193" s="33">
        <f t="shared" si="12"/>
        <v>45</v>
      </c>
    </row>
    <row r="194" spans="1:10" x14ac:dyDescent="0.25">
      <c r="A194" s="49">
        <f>'A) Base RI'!A196</f>
        <v>5717</v>
      </c>
      <c r="B194" s="285" t="str">
        <f>'A) Base RI'!B196</f>
        <v>Founex</v>
      </c>
      <c r="C194" s="98">
        <f>'B) D RI'!U196</f>
        <v>344775.19280701759</v>
      </c>
      <c r="D194" s="114">
        <f>'E) Fact soc'!G200/C194</f>
        <v>27.286229983761711</v>
      </c>
      <c r="E194" s="141">
        <f>'H) Péréquation directe'!I205/C194</f>
        <v>16.476589044429975</v>
      </c>
      <c r="F194" s="114">
        <f>+'I) Dépenses thématiques'!O194/'J) Plafonnement effort'!C194</f>
        <v>0</v>
      </c>
      <c r="G194" s="141">
        <f t="shared" si="9"/>
        <v>43.762819028191686</v>
      </c>
      <c r="H194" s="332">
        <f t="shared" si="10"/>
        <v>0</v>
      </c>
      <c r="I194" s="57">
        <f t="shared" si="11"/>
        <v>0</v>
      </c>
      <c r="J194" s="33">
        <f t="shared" si="12"/>
        <v>43.762819028191686</v>
      </c>
    </row>
    <row r="195" spans="1:10" x14ac:dyDescent="0.25">
      <c r="A195" s="49">
        <f>'A) Base RI'!A197</f>
        <v>5718</v>
      </c>
      <c r="B195" s="285" t="str">
        <f>'A) Base RI'!B197</f>
        <v>Genolier</v>
      </c>
      <c r="C195" s="98">
        <f>'B) D RI'!U197</f>
        <v>171473.77890909091</v>
      </c>
      <c r="D195" s="114">
        <f>'E) Fact soc'!G201/C195</f>
        <v>27.140376433793342</v>
      </c>
      <c r="E195" s="141">
        <f>'H) Péréquation directe'!I206/C195</f>
        <v>17.222653956565445</v>
      </c>
      <c r="F195" s="114">
        <f>+'I) Dépenses thématiques'!O195/'J) Plafonnement effort'!C195</f>
        <v>0</v>
      </c>
      <c r="G195" s="141">
        <f t="shared" si="9"/>
        <v>44.363030390358787</v>
      </c>
      <c r="H195" s="332">
        <f t="shared" si="10"/>
        <v>0</v>
      </c>
      <c r="I195" s="57">
        <f t="shared" si="11"/>
        <v>0</v>
      </c>
      <c r="J195" s="33">
        <f t="shared" si="12"/>
        <v>44.363030390358787</v>
      </c>
    </row>
    <row r="196" spans="1:10" x14ac:dyDescent="0.25">
      <c r="A196" s="49">
        <f>'A) Base RI'!A198</f>
        <v>5719</v>
      </c>
      <c r="B196" s="285" t="str">
        <f>'A) Base RI'!B198</f>
        <v>Gingins</v>
      </c>
      <c r="C196" s="98">
        <f>'B) D RI'!U198</f>
        <v>142317.67801169588</v>
      </c>
      <c r="D196" s="114">
        <f>'E) Fact soc'!G202/C196</f>
        <v>28.885354691730132</v>
      </c>
      <c r="E196" s="141">
        <f>'H) Péréquation directe'!I207/C196</f>
        <v>18.533229910261827</v>
      </c>
      <c r="F196" s="114">
        <f>+'I) Dépenses thématiques'!O196/'J) Plafonnement effort'!C196</f>
        <v>0</v>
      </c>
      <c r="G196" s="141">
        <f t="shared" si="9"/>
        <v>47.418584601991959</v>
      </c>
      <c r="H196" s="332">
        <f t="shared" si="10"/>
        <v>-2.4185846019919595</v>
      </c>
      <c r="I196" s="57">
        <f t="shared" si="11"/>
        <v>-344207.34463033732</v>
      </c>
      <c r="J196" s="33">
        <f t="shared" si="12"/>
        <v>45</v>
      </c>
    </row>
    <row r="197" spans="1:10" x14ac:dyDescent="0.25">
      <c r="A197" s="49">
        <f>'A) Base RI'!A199</f>
        <v>5720</v>
      </c>
      <c r="B197" s="285" t="str">
        <f>'A) Base RI'!B199</f>
        <v>Givrins</v>
      </c>
      <c r="C197" s="98">
        <f>'B) D RI'!U199</f>
        <v>82564.367429519058</v>
      </c>
      <c r="D197" s="114">
        <f>'E) Fact soc'!G203/C197</f>
        <v>26.498274120990043</v>
      </c>
      <c r="E197" s="141">
        <f>'H) Péréquation directe'!I208/C197</f>
        <v>18.348770969317911</v>
      </c>
      <c r="F197" s="114">
        <f>+'I) Dépenses thématiques'!O197/'J) Plafonnement effort'!C197</f>
        <v>-0.48453854972340882</v>
      </c>
      <c r="G197" s="141">
        <f t="shared" si="9"/>
        <v>44.362506540584548</v>
      </c>
      <c r="H197" s="332">
        <f t="shared" si="10"/>
        <v>0</v>
      </c>
      <c r="I197" s="57">
        <f t="shared" si="11"/>
        <v>0</v>
      </c>
      <c r="J197" s="33">
        <f t="shared" si="12"/>
        <v>44.362506540584548</v>
      </c>
    </row>
    <row r="198" spans="1:10" x14ac:dyDescent="0.25">
      <c r="A198" s="49">
        <f>'A) Base RI'!A200</f>
        <v>5721</v>
      </c>
      <c r="B198" s="285" t="str">
        <f>'A) Base RI'!B200</f>
        <v>Gland</v>
      </c>
      <c r="C198" s="98">
        <f>'B) D RI'!U200</f>
        <v>655037.95408000017</v>
      </c>
      <c r="D198" s="114">
        <f>'E) Fact soc'!G204/C198</f>
        <v>26.812845459525541</v>
      </c>
      <c r="E198" s="141">
        <f>'H) Péréquation directe'!I209/C198</f>
        <v>7.7797879236033607</v>
      </c>
      <c r="F198" s="114">
        <f>+'I) Dépenses thématiques'!O198/'J) Plafonnement effort'!C198</f>
        <v>0</v>
      </c>
      <c r="G198" s="141">
        <f t="shared" ref="G198:G261" si="13">SUM(D198:F198)</f>
        <v>34.592633383128899</v>
      </c>
      <c r="H198" s="332">
        <f t="shared" ref="H198:H261" si="14">IF(G198&gt;H$4,H$4-G198,0)</f>
        <v>0</v>
      </c>
      <c r="I198" s="57">
        <f t="shared" ref="I198:I261" si="15">H198*C198</f>
        <v>0</v>
      </c>
      <c r="J198" s="33">
        <f t="shared" ref="J198:J261" si="16">G198+H198</f>
        <v>34.592633383128899</v>
      </c>
    </row>
    <row r="199" spans="1:10" x14ac:dyDescent="0.25">
      <c r="A199" s="49">
        <f>'A) Base RI'!A201</f>
        <v>5722</v>
      </c>
      <c r="B199" s="285" t="str">
        <f>'A) Base RI'!B201</f>
        <v>Grens</v>
      </c>
      <c r="C199" s="98">
        <f>'B) D RI'!U201</f>
        <v>20306.92935483871</v>
      </c>
      <c r="D199" s="114">
        <f>'E) Fact soc'!G205/C199</f>
        <v>19.46457747403182</v>
      </c>
      <c r="E199" s="141">
        <f>'H) Péréquation directe'!I210/C199</f>
        <v>17.637262268249948</v>
      </c>
      <c r="F199" s="114">
        <f>+'I) Dépenses thématiques'!O199/'J) Plafonnement effort'!C199</f>
        <v>-10.21257117271635</v>
      </c>
      <c r="G199" s="141">
        <f t="shared" si="13"/>
        <v>26.889268569565417</v>
      </c>
      <c r="H199" s="332">
        <f t="shared" si="14"/>
        <v>0</v>
      </c>
      <c r="I199" s="57">
        <f t="shared" si="15"/>
        <v>0</v>
      </c>
      <c r="J199" s="33">
        <f t="shared" si="16"/>
        <v>26.889268569565417</v>
      </c>
    </row>
    <row r="200" spans="1:10" x14ac:dyDescent="0.25">
      <c r="A200" s="49">
        <f>'A) Base RI'!A202</f>
        <v>5723</v>
      </c>
      <c r="B200" s="285" t="str">
        <f>'A) Base RI'!B202</f>
        <v>Mies</v>
      </c>
      <c r="C200" s="98">
        <f>'B) D RI'!U202</f>
        <v>571754.57660377375</v>
      </c>
      <c r="D200" s="114">
        <f>'E) Fact soc'!G206/C200</f>
        <v>38.492058122640714</v>
      </c>
      <c r="E200" s="141">
        <f>'H) Péréquation directe'!I211/C200</f>
        <v>19.100369236424168</v>
      </c>
      <c r="F200" s="114">
        <f>+'I) Dépenses thématiques'!O200/'J) Plafonnement effort'!C200</f>
        <v>0</v>
      </c>
      <c r="G200" s="141">
        <f t="shared" si="13"/>
        <v>57.592427359064885</v>
      </c>
      <c r="H200" s="332">
        <f t="shared" si="14"/>
        <v>-12.592427359064885</v>
      </c>
      <c r="I200" s="57">
        <f t="shared" si="15"/>
        <v>-7199777.9730959199</v>
      </c>
      <c r="J200" s="33">
        <f t="shared" si="16"/>
        <v>45</v>
      </c>
    </row>
    <row r="201" spans="1:10" x14ac:dyDescent="0.25">
      <c r="A201" s="49">
        <f>'A) Base RI'!A203</f>
        <v>5724</v>
      </c>
      <c r="B201" s="285" t="str">
        <f>'A) Base RI'!B203</f>
        <v>Nyon</v>
      </c>
      <c r="C201" s="98">
        <f>'B) D RI'!U203</f>
        <v>1403046.442824716</v>
      </c>
      <c r="D201" s="114">
        <f>'E) Fact soc'!G207/C201</f>
        <v>22.929301658244835</v>
      </c>
      <c r="E201" s="141">
        <f>'H) Péréquation directe'!I212/C201</f>
        <v>8.178958879309782</v>
      </c>
      <c r="F201" s="114">
        <f>+'I) Dépenses thématiques'!O201/'J) Plafonnement effort'!C201</f>
        <v>-0.42391197468346625</v>
      </c>
      <c r="G201" s="141">
        <f t="shared" si="13"/>
        <v>30.684348562871151</v>
      </c>
      <c r="H201" s="332">
        <f t="shared" si="14"/>
        <v>0</v>
      </c>
      <c r="I201" s="57">
        <f t="shared" si="15"/>
        <v>0</v>
      </c>
      <c r="J201" s="33">
        <f t="shared" si="16"/>
        <v>30.684348562871151</v>
      </c>
    </row>
    <row r="202" spans="1:10" x14ac:dyDescent="0.25">
      <c r="A202" s="49">
        <f>'A) Base RI'!A204</f>
        <v>5725</v>
      </c>
      <c r="B202" s="285" t="str">
        <f>'A) Base RI'!B204</f>
        <v>Prangins</v>
      </c>
      <c r="C202" s="98">
        <f>'B) D RI'!U204</f>
        <v>339116.20058673463</v>
      </c>
      <c r="D202" s="114">
        <f>'E) Fact soc'!G208/C202</f>
        <v>26.986904958400935</v>
      </c>
      <c r="E202" s="141">
        <f>'H) Péréquation directe'!I213/C202</f>
        <v>15.949419928760964</v>
      </c>
      <c r="F202" s="114">
        <f>+'I) Dépenses thématiques'!O202/'J) Plafonnement effort'!C202</f>
        <v>0</v>
      </c>
      <c r="G202" s="141">
        <f t="shared" si="13"/>
        <v>42.936324887161902</v>
      </c>
      <c r="H202" s="332">
        <f t="shared" si="14"/>
        <v>0</v>
      </c>
      <c r="I202" s="57">
        <f t="shared" si="15"/>
        <v>0</v>
      </c>
      <c r="J202" s="33">
        <f t="shared" si="16"/>
        <v>42.936324887161902</v>
      </c>
    </row>
    <row r="203" spans="1:10" x14ac:dyDescent="0.25">
      <c r="A203" s="49">
        <f>'A) Base RI'!A205</f>
        <v>5726</v>
      </c>
      <c r="B203" s="285" t="str">
        <f>'A) Base RI'!B205</f>
        <v>La Rippe</v>
      </c>
      <c r="C203" s="98">
        <f>'B) D RI'!U205</f>
        <v>61326.535692307698</v>
      </c>
      <c r="D203" s="114">
        <f>'E) Fact soc'!G209/C203</f>
        <v>18.51586950503118</v>
      </c>
      <c r="E203" s="141">
        <f>'H) Péréquation directe'!I214/C203</f>
        <v>17.178091386821915</v>
      </c>
      <c r="F203" s="114">
        <f>+'I) Dépenses thématiques'!O203/'J) Plafonnement effort'!C203</f>
        <v>-1.1153491760032525E-2</v>
      </c>
      <c r="G203" s="141">
        <f t="shared" si="13"/>
        <v>35.682807400093061</v>
      </c>
      <c r="H203" s="332">
        <f t="shared" si="14"/>
        <v>0</v>
      </c>
      <c r="I203" s="57">
        <f t="shared" si="15"/>
        <v>0</v>
      </c>
      <c r="J203" s="33">
        <f t="shared" si="16"/>
        <v>35.682807400093061</v>
      </c>
    </row>
    <row r="204" spans="1:10" x14ac:dyDescent="0.25">
      <c r="A204" s="49">
        <f>'A) Base RI'!A206</f>
        <v>5727</v>
      </c>
      <c r="B204" s="285" t="str">
        <f>'A) Base RI'!B206</f>
        <v>Saint-Cergue</v>
      </c>
      <c r="C204" s="98">
        <f>'B) D RI'!U206</f>
        <v>96125.190858585862</v>
      </c>
      <c r="D204" s="114">
        <f>'E) Fact soc'!G210/C204</f>
        <v>18.559411486447118</v>
      </c>
      <c r="E204" s="141">
        <f>'H) Péréquation directe'!I215/C204</f>
        <v>8.0717336503322077</v>
      </c>
      <c r="F204" s="114">
        <f>+'I) Dépenses thématiques'!O204/'J) Plafonnement effort'!C204</f>
        <v>-3.6724011593589632</v>
      </c>
      <c r="G204" s="141">
        <f t="shared" si="13"/>
        <v>22.958743977420362</v>
      </c>
      <c r="H204" s="332">
        <f t="shared" si="14"/>
        <v>0</v>
      </c>
      <c r="I204" s="57">
        <f t="shared" si="15"/>
        <v>0</v>
      </c>
      <c r="J204" s="33">
        <f t="shared" si="16"/>
        <v>22.958743977420362</v>
      </c>
    </row>
    <row r="205" spans="1:10" x14ac:dyDescent="0.25">
      <c r="A205" s="49">
        <f>'A) Base RI'!A207</f>
        <v>5728</v>
      </c>
      <c r="B205" s="285" t="str">
        <f>'A) Base RI'!B207</f>
        <v>Signy-Avenex</v>
      </c>
      <c r="C205" s="98">
        <f>'B) D RI'!U207</f>
        <v>43125.38</v>
      </c>
      <c r="D205" s="114">
        <f>'E) Fact soc'!G211/C205</f>
        <v>22.923005141185214</v>
      </c>
      <c r="E205" s="141">
        <f>'H) Péréquation directe'!I216/C205</f>
        <v>18.299611203825272</v>
      </c>
      <c r="F205" s="114">
        <f>+'I) Dépenses thématiques'!O205/'J) Plafonnement effort'!C205</f>
        <v>0</v>
      </c>
      <c r="G205" s="141">
        <f t="shared" si="13"/>
        <v>41.222616345010486</v>
      </c>
      <c r="H205" s="332">
        <f t="shared" si="14"/>
        <v>0</v>
      </c>
      <c r="I205" s="57">
        <f t="shared" si="15"/>
        <v>0</v>
      </c>
      <c r="J205" s="33">
        <f t="shared" si="16"/>
        <v>41.222616345010486</v>
      </c>
    </row>
    <row r="206" spans="1:10" x14ac:dyDescent="0.25">
      <c r="A206" s="49">
        <f>'A) Base RI'!A208</f>
        <v>5729</v>
      </c>
      <c r="B206" s="285" t="str">
        <f>'A) Base RI'!B208</f>
        <v>Tannay</v>
      </c>
      <c r="C206" s="98">
        <f>'B) D RI'!U208</f>
        <v>176892.2019125683</v>
      </c>
      <c r="D206" s="114">
        <f>'E) Fact soc'!G212/C206</f>
        <v>30.470573136392886</v>
      </c>
      <c r="E206" s="141">
        <f>'H) Péréquation directe'!I217/C206</f>
        <v>18.103355951943175</v>
      </c>
      <c r="F206" s="114">
        <f>+'I) Dépenses thématiques'!O206/'J) Plafonnement effort'!C206</f>
        <v>0</v>
      </c>
      <c r="G206" s="141">
        <f t="shared" si="13"/>
        <v>48.573929088336058</v>
      </c>
      <c r="H206" s="332">
        <f t="shared" si="14"/>
        <v>-3.5739290883360582</v>
      </c>
      <c r="I206" s="57">
        <f t="shared" si="15"/>
        <v>-632200.18591514311</v>
      </c>
      <c r="J206" s="33">
        <f t="shared" si="16"/>
        <v>45</v>
      </c>
    </row>
    <row r="207" spans="1:10" x14ac:dyDescent="0.25">
      <c r="A207" s="49">
        <f>'A) Base RI'!A209</f>
        <v>5730</v>
      </c>
      <c r="B207" s="285" t="str">
        <f>'A) Base RI'!B209</f>
        <v>Trélex</v>
      </c>
      <c r="C207" s="98">
        <f>'B) D RI'!U209</f>
        <v>134482.25955165693</v>
      </c>
      <c r="D207" s="114">
        <f>'E) Fact soc'!G213/C207</f>
        <v>25.984200485413826</v>
      </c>
      <c r="E207" s="141">
        <f>'H) Péréquation directe'!I218/C207</f>
        <v>17.937326081774835</v>
      </c>
      <c r="F207" s="114">
        <f>+'I) Dépenses thématiques'!O207/'J) Plafonnement effort'!C207</f>
        <v>0</v>
      </c>
      <c r="G207" s="141">
        <f t="shared" si="13"/>
        <v>43.921526567188664</v>
      </c>
      <c r="H207" s="332">
        <f t="shared" si="14"/>
        <v>0</v>
      </c>
      <c r="I207" s="57">
        <f t="shared" si="15"/>
        <v>0</v>
      </c>
      <c r="J207" s="33">
        <f t="shared" si="16"/>
        <v>43.921526567188664</v>
      </c>
    </row>
    <row r="208" spans="1:10" x14ac:dyDescent="0.25">
      <c r="A208" s="49">
        <f>'A) Base RI'!A210</f>
        <v>5731</v>
      </c>
      <c r="B208" s="285" t="str">
        <f>'A) Base RI'!B210</f>
        <v>Le Vaud</v>
      </c>
      <c r="C208" s="98">
        <f>'B) D RI'!U210</f>
        <v>61944.089333333322</v>
      </c>
      <c r="D208" s="114">
        <f>'E) Fact soc'!G214/C208</f>
        <v>20.680238234649647</v>
      </c>
      <c r="E208" s="141">
        <f>'H) Péréquation directe'!I219/C208</f>
        <v>15.117605135059327</v>
      </c>
      <c r="F208" s="114">
        <f>+'I) Dépenses thématiques'!O208/'J) Plafonnement effort'!C208</f>
        <v>-1.7228963848697216</v>
      </c>
      <c r="G208" s="141">
        <f t="shared" si="13"/>
        <v>34.074946984839251</v>
      </c>
      <c r="H208" s="332">
        <f t="shared" si="14"/>
        <v>0</v>
      </c>
      <c r="I208" s="57">
        <f t="shared" si="15"/>
        <v>0</v>
      </c>
      <c r="J208" s="33">
        <f t="shared" si="16"/>
        <v>34.074946984839251</v>
      </c>
    </row>
    <row r="209" spans="1:10" x14ac:dyDescent="0.25">
      <c r="A209" s="49">
        <f>'A) Base RI'!A211</f>
        <v>5732</v>
      </c>
      <c r="B209" s="285" t="str">
        <f>'A) Base RI'!B211</f>
        <v>Vich</v>
      </c>
      <c r="C209" s="98">
        <f>'B) D RI'!U211</f>
        <v>63992.408333333333</v>
      </c>
      <c r="D209" s="114">
        <f>'E) Fact soc'!G215/C209</f>
        <v>20.881515369311071</v>
      </c>
      <c r="E209" s="141">
        <f>'H) Péréquation directe'!I220/C209</f>
        <v>17.587264859217118</v>
      </c>
      <c r="F209" s="114">
        <f>+'I) Dépenses thématiques'!O209/'J) Plafonnement effort'!C209</f>
        <v>0</v>
      </c>
      <c r="G209" s="141">
        <f t="shared" si="13"/>
        <v>38.468780228528189</v>
      </c>
      <c r="H209" s="332">
        <f t="shared" si="14"/>
        <v>0</v>
      </c>
      <c r="I209" s="57">
        <f t="shared" si="15"/>
        <v>0</v>
      </c>
      <c r="J209" s="33">
        <f t="shared" si="16"/>
        <v>38.468780228528189</v>
      </c>
    </row>
    <row r="210" spans="1:10" x14ac:dyDescent="0.25">
      <c r="A210" s="49">
        <f>'A) Base RI'!A212</f>
        <v>5741</v>
      </c>
      <c r="B210" s="285" t="str">
        <f>'A) Base RI'!B212</f>
        <v>L'Abergement</v>
      </c>
      <c r="C210" s="98">
        <f>'B) D RI'!U212</f>
        <v>7144.356296296296</v>
      </c>
      <c r="D210" s="114">
        <f>'E) Fact soc'!G216/C210</f>
        <v>18.032345066133747</v>
      </c>
      <c r="E210" s="141">
        <f>'H) Péréquation directe'!I221/C210</f>
        <v>-0.1158236682023082</v>
      </c>
      <c r="F210" s="114">
        <f>+'I) Dépenses thématiques'!O210/'J) Plafonnement effort'!C210</f>
        <v>-16.660580897235519</v>
      </c>
      <c r="G210" s="141">
        <f t="shared" si="13"/>
        <v>1.255940500695921</v>
      </c>
      <c r="H210" s="332">
        <f t="shared" si="14"/>
        <v>0</v>
      </c>
      <c r="I210" s="57">
        <f t="shared" si="15"/>
        <v>0</v>
      </c>
      <c r="J210" s="33">
        <f t="shared" si="16"/>
        <v>1.255940500695921</v>
      </c>
    </row>
    <row r="211" spans="1:10" x14ac:dyDescent="0.25">
      <c r="A211" s="49">
        <f>'A) Base RI'!A213</f>
        <v>5742</v>
      </c>
      <c r="B211" s="285" t="str">
        <f>'A) Base RI'!B213</f>
        <v>Agiez</v>
      </c>
      <c r="C211" s="98">
        <f>'B) D RI'!U213</f>
        <v>9023.5640789473691</v>
      </c>
      <c r="D211" s="114">
        <f>'E) Fact soc'!G217/C211</f>
        <v>18.398844427770747</v>
      </c>
      <c r="E211" s="141">
        <f>'H) Péréquation directe'!I222/C211</f>
        <v>-4.3319516883000002</v>
      </c>
      <c r="F211" s="114">
        <f>+'I) Dépenses thématiques'!O211/'J) Plafonnement effort'!C211</f>
        <v>-1.8582582111649808</v>
      </c>
      <c r="G211" s="141">
        <f t="shared" si="13"/>
        <v>12.208634528305765</v>
      </c>
      <c r="H211" s="332">
        <f t="shared" si="14"/>
        <v>0</v>
      </c>
      <c r="I211" s="57">
        <f t="shared" si="15"/>
        <v>0</v>
      </c>
      <c r="J211" s="33">
        <f t="shared" si="16"/>
        <v>12.208634528305765</v>
      </c>
    </row>
    <row r="212" spans="1:10" x14ac:dyDescent="0.25">
      <c r="A212" s="49">
        <f>'A) Base RI'!A214</f>
        <v>5743</v>
      </c>
      <c r="B212" s="285" t="str">
        <f>'A) Base RI'!B214</f>
        <v>Arnex-sur-Orbe</v>
      </c>
      <c r="C212" s="98">
        <f>'B) D RI'!U214</f>
        <v>19009.64441780822</v>
      </c>
      <c r="D212" s="114">
        <f>'E) Fact soc'!G218/C212</f>
        <v>20.41828958921479</v>
      </c>
      <c r="E212" s="141">
        <f>'H) Péréquation directe'!I223/C212</f>
        <v>3.8134115229880416</v>
      </c>
      <c r="F212" s="114">
        <f>+'I) Dépenses thématiques'!O212/'J) Plafonnement effort'!C212</f>
        <v>-3.9152292722101061</v>
      </c>
      <c r="G212" s="141">
        <f t="shared" si="13"/>
        <v>20.316471839992726</v>
      </c>
      <c r="H212" s="332">
        <f t="shared" si="14"/>
        <v>0</v>
      </c>
      <c r="I212" s="57">
        <f t="shared" si="15"/>
        <v>0</v>
      </c>
      <c r="J212" s="33">
        <f t="shared" si="16"/>
        <v>20.316471839992726</v>
      </c>
    </row>
    <row r="213" spans="1:10" x14ac:dyDescent="0.25">
      <c r="A213" s="49">
        <f>'A) Base RI'!A215</f>
        <v>5744</v>
      </c>
      <c r="B213" s="285" t="str">
        <f>'A) Base RI'!B215</f>
        <v>Ballaigues</v>
      </c>
      <c r="C213" s="98">
        <f>'B) D RI'!U215</f>
        <v>63457.136212121215</v>
      </c>
      <c r="D213" s="114">
        <f>'E) Fact soc'!G219/C213</f>
        <v>25.935460044936413</v>
      </c>
      <c r="E213" s="141">
        <f>'H) Péréquation directe'!I224/C213</f>
        <v>17.428274617962906</v>
      </c>
      <c r="F213" s="114">
        <f>+'I) Dépenses thématiques'!O213/'J) Plafonnement effort'!C213</f>
        <v>-4.2372519063569642</v>
      </c>
      <c r="G213" s="141">
        <f t="shared" si="13"/>
        <v>39.126482756542352</v>
      </c>
      <c r="H213" s="332">
        <f t="shared" si="14"/>
        <v>0</v>
      </c>
      <c r="I213" s="57">
        <f t="shared" si="15"/>
        <v>0</v>
      </c>
      <c r="J213" s="33">
        <f t="shared" si="16"/>
        <v>39.126482756542352</v>
      </c>
    </row>
    <row r="214" spans="1:10" x14ac:dyDescent="0.25">
      <c r="A214" s="49">
        <f>'A) Base RI'!A216</f>
        <v>5745</v>
      </c>
      <c r="B214" s="285" t="str">
        <f>'A) Base RI'!B216</f>
        <v>Baulmes</v>
      </c>
      <c r="C214" s="98">
        <f>'B) D RI'!U216</f>
        <v>27759.177948717952</v>
      </c>
      <c r="D214" s="114">
        <f>'E) Fact soc'!G220/C214</f>
        <v>18.842730234845831</v>
      </c>
      <c r="E214" s="141">
        <f>'H) Péréquation directe'!I225/C214</f>
        <v>-3.5739422072930496</v>
      </c>
      <c r="F214" s="114">
        <f>+'I) Dépenses thématiques'!O214/'J) Plafonnement effort'!C214</f>
        <v>-10.313675561828447</v>
      </c>
      <c r="G214" s="141">
        <f t="shared" si="13"/>
        <v>4.9551124657243353</v>
      </c>
      <c r="H214" s="332">
        <f t="shared" si="14"/>
        <v>0</v>
      </c>
      <c r="I214" s="57">
        <f t="shared" si="15"/>
        <v>0</v>
      </c>
      <c r="J214" s="33">
        <f t="shared" si="16"/>
        <v>4.9551124657243353</v>
      </c>
    </row>
    <row r="215" spans="1:10" x14ac:dyDescent="0.25">
      <c r="A215" s="49">
        <f>'A) Base RI'!A217</f>
        <v>5746</v>
      </c>
      <c r="B215" s="285" t="str">
        <f>'A) Base RI'!B217</f>
        <v>Bavois</v>
      </c>
      <c r="C215" s="98">
        <f>'B) D RI'!U217</f>
        <v>26302.981735159818</v>
      </c>
      <c r="D215" s="114">
        <f>'E) Fact soc'!G221/C215</f>
        <v>18.677932919767073</v>
      </c>
      <c r="E215" s="141">
        <f>'H) Péréquation directe'!I226/C215</f>
        <v>0.57146806463242616</v>
      </c>
      <c r="F215" s="114">
        <f>+'I) Dépenses thématiques'!O215/'J) Plafonnement effort'!C215</f>
        <v>-7.5029225829415012</v>
      </c>
      <c r="G215" s="141">
        <f t="shared" si="13"/>
        <v>11.746478401457999</v>
      </c>
      <c r="H215" s="332">
        <f t="shared" si="14"/>
        <v>0</v>
      </c>
      <c r="I215" s="57">
        <f t="shared" si="15"/>
        <v>0</v>
      </c>
      <c r="J215" s="33">
        <f t="shared" si="16"/>
        <v>11.746478401457999</v>
      </c>
    </row>
    <row r="216" spans="1:10" x14ac:dyDescent="0.25">
      <c r="A216" s="49">
        <f>'A) Base RI'!A218</f>
        <v>5747</v>
      </c>
      <c r="B216" s="285" t="str">
        <f>'A) Base RI'!B218</f>
        <v>Bofflens</v>
      </c>
      <c r="C216" s="98">
        <f>'B) D RI'!U218</f>
        <v>5938.7008695652166</v>
      </c>
      <c r="D216" s="114">
        <f>'E) Fact soc'!G222/C216</f>
        <v>15.884315364355928</v>
      </c>
      <c r="E216" s="141">
        <f>'H) Péréquation directe'!I227/C216</f>
        <v>5.7341483682429617</v>
      </c>
      <c r="F216" s="114">
        <f>+'I) Dépenses thématiques'!O216/'J) Plafonnement effort'!C216</f>
        <v>-39.359419711218877</v>
      </c>
      <c r="G216" s="141">
        <f t="shared" si="13"/>
        <v>-17.740955978619986</v>
      </c>
      <c r="H216" s="332">
        <f t="shared" si="14"/>
        <v>0</v>
      </c>
      <c r="I216" s="57">
        <f t="shared" si="15"/>
        <v>0</v>
      </c>
      <c r="J216" s="33">
        <f t="shared" si="16"/>
        <v>-17.740955978619986</v>
      </c>
    </row>
    <row r="217" spans="1:10" x14ac:dyDescent="0.25">
      <c r="A217" s="49">
        <f>'A) Base RI'!A219</f>
        <v>5748</v>
      </c>
      <c r="B217" s="285" t="str">
        <f>'A) Base RI'!B219</f>
        <v>Bretonnières</v>
      </c>
      <c r="C217" s="98">
        <f>'B) D RI'!U219</f>
        <v>7318.7627314814808</v>
      </c>
      <c r="D217" s="114">
        <f>'E) Fact soc'!G223/C217</f>
        <v>16.914864901027649</v>
      </c>
      <c r="E217" s="141">
        <f>'H) Péréquation directe'!I228/C217</f>
        <v>0.36320658777240289</v>
      </c>
      <c r="F217" s="114">
        <f>+'I) Dépenses thématiques'!O217/'J) Plafonnement effort'!C217</f>
        <v>-7.1635409675012784</v>
      </c>
      <c r="G217" s="141">
        <f t="shared" si="13"/>
        <v>10.114530521298773</v>
      </c>
      <c r="H217" s="332">
        <f t="shared" si="14"/>
        <v>0</v>
      </c>
      <c r="I217" s="57">
        <f t="shared" si="15"/>
        <v>0</v>
      </c>
      <c r="J217" s="33">
        <f t="shared" si="16"/>
        <v>10.114530521298773</v>
      </c>
    </row>
    <row r="218" spans="1:10" x14ac:dyDescent="0.25">
      <c r="A218" s="49">
        <f>'A) Base RI'!A220</f>
        <v>5749</v>
      </c>
      <c r="B218" s="285" t="str">
        <f>'A) Base RI'!B220</f>
        <v>Chavornay</v>
      </c>
      <c r="C218" s="98">
        <f>'B) D RI'!U220</f>
        <v>133236.15722222222</v>
      </c>
      <c r="D218" s="114">
        <f>'E) Fact soc'!G224/C218</f>
        <v>19.301053019360481</v>
      </c>
      <c r="E218" s="141">
        <f>'H) Péréquation directe'!I229/C218</f>
        <v>-11.123996181152524</v>
      </c>
      <c r="F218" s="114">
        <f>+'I) Dépenses thématiques'!O218/'J) Plafonnement effort'!C218</f>
        <v>-4.6144820204557195</v>
      </c>
      <c r="G218" s="141">
        <f t="shared" si="13"/>
        <v>3.5625748177522372</v>
      </c>
      <c r="H218" s="332">
        <f t="shared" si="14"/>
        <v>0</v>
      </c>
      <c r="I218" s="57">
        <f t="shared" si="15"/>
        <v>0</v>
      </c>
      <c r="J218" s="33">
        <f t="shared" si="16"/>
        <v>3.5625748177522372</v>
      </c>
    </row>
    <row r="219" spans="1:10" x14ac:dyDescent="0.25">
      <c r="A219" s="49">
        <f>'A) Base RI'!A221</f>
        <v>5750</v>
      </c>
      <c r="B219" s="285" t="str">
        <f>'A) Base RI'!B221</f>
        <v>Les Clées</v>
      </c>
      <c r="C219" s="98">
        <f>'B) D RI'!U221</f>
        <v>5052.8727083333342</v>
      </c>
      <c r="D219" s="114">
        <f>'E) Fact soc'!G225/C219</f>
        <v>15.430162920163545</v>
      </c>
      <c r="E219" s="141">
        <f>'H) Péréquation directe'!I230/C219</f>
        <v>-2.9739923115754183</v>
      </c>
      <c r="F219" s="114">
        <f>+'I) Dépenses thématiques'!O219/'J) Plafonnement effort'!C219</f>
        <v>-11.453337134476731</v>
      </c>
      <c r="G219" s="141">
        <f t="shared" si="13"/>
        <v>1.0028334741113945</v>
      </c>
      <c r="H219" s="332">
        <f t="shared" si="14"/>
        <v>0</v>
      </c>
      <c r="I219" s="57">
        <f t="shared" si="15"/>
        <v>0</v>
      </c>
      <c r="J219" s="33">
        <f t="shared" si="16"/>
        <v>1.0028334741113945</v>
      </c>
    </row>
    <row r="220" spans="1:10" x14ac:dyDescent="0.25">
      <c r="A220" s="49">
        <f>'A) Base RI'!A222</f>
        <v>5752</v>
      </c>
      <c r="B220" s="285" t="str">
        <f>'A) Base RI'!B222</f>
        <v>Croy</v>
      </c>
      <c r="C220" s="98">
        <f>'B) D RI'!U222</f>
        <v>9724.9561776061801</v>
      </c>
      <c r="D220" s="114">
        <f>'E) Fact soc'!G226/C220</f>
        <v>17.230009592235557</v>
      </c>
      <c r="E220" s="141">
        <f>'H) Péréquation directe'!I231/C220</f>
        <v>-5.8585396232336606</v>
      </c>
      <c r="F220" s="114">
        <f>+'I) Dépenses thématiques'!O220/'J) Plafonnement effort'!C220</f>
        <v>-8.7936400002678567</v>
      </c>
      <c r="G220" s="141">
        <f t="shared" si="13"/>
        <v>2.57782996873404</v>
      </c>
      <c r="H220" s="332">
        <f t="shared" si="14"/>
        <v>0</v>
      </c>
      <c r="I220" s="57">
        <f t="shared" si="15"/>
        <v>0</v>
      </c>
      <c r="J220" s="33">
        <f t="shared" si="16"/>
        <v>2.57782996873404</v>
      </c>
    </row>
    <row r="221" spans="1:10" x14ac:dyDescent="0.25">
      <c r="A221" s="49">
        <f>'A) Base RI'!A223</f>
        <v>5754</v>
      </c>
      <c r="B221" s="285" t="str">
        <f>'A) Base RI'!B223</f>
        <v>Juriens</v>
      </c>
      <c r="C221" s="98">
        <f>'B) D RI'!U223</f>
        <v>9237.2617721518982</v>
      </c>
      <c r="D221" s="114">
        <f>'E) Fact soc'!G227/C221</f>
        <v>15.006764941173875</v>
      </c>
      <c r="E221" s="141">
        <f>'H) Péréquation directe'!I232/C221</f>
        <v>-1.0924354408783434</v>
      </c>
      <c r="F221" s="114">
        <f>+'I) Dépenses thématiques'!O221/'J) Plafonnement effort'!C221</f>
        <v>-3.6799536742342243</v>
      </c>
      <c r="G221" s="141">
        <f t="shared" si="13"/>
        <v>10.234375826061306</v>
      </c>
      <c r="H221" s="332">
        <f t="shared" si="14"/>
        <v>0</v>
      </c>
      <c r="I221" s="57">
        <f t="shared" si="15"/>
        <v>0</v>
      </c>
      <c r="J221" s="33">
        <f t="shared" si="16"/>
        <v>10.234375826061306</v>
      </c>
    </row>
    <row r="222" spans="1:10" x14ac:dyDescent="0.25">
      <c r="A222" s="49">
        <f>'A) Base RI'!A224</f>
        <v>5755</v>
      </c>
      <c r="B222" s="285" t="str">
        <f>'A) Base RI'!B224</f>
        <v>Lignerolle</v>
      </c>
      <c r="C222" s="98">
        <f>'B) D RI'!U224</f>
        <v>9846.5387499999997</v>
      </c>
      <c r="D222" s="114">
        <f>'E) Fact soc'!G228/C222</f>
        <v>20.482913210140449</v>
      </c>
      <c r="E222" s="141">
        <f>'H) Péréquation directe'!I233/C222</f>
        <v>-13.226372903614243</v>
      </c>
      <c r="F222" s="114">
        <f>+'I) Dépenses thématiques'!O222/'J) Plafonnement effort'!C222</f>
        <v>-13.730559874695439</v>
      </c>
      <c r="G222" s="141">
        <f t="shared" si="13"/>
        <v>-6.4740195681692327</v>
      </c>
      <c r="H222" s="332">
        <f t="shared" si="14"/>
        <v>0</v>
      </c>
      <c r="I222" s="57">
        <f t="shared" si="15"/>
        <v>0</v>
      </c>
      <c r="J222" s="33">
        <f t="shared" si="16"/>
        <v>-6.4740195681692327</v>
      </c>
    </row>
    <row r="223" spans="1:10" x14ac:dyDescent="0.25">
      <c r="A223" s="49">
        <f>'A) Base RI'!A225</f>
        <v>5756</v>
      </c>
      <c r="B223" s="285" t="str">
        <f>'A) Base RI'!B225</f>
        <v>Montcherand</v>
      </c>
      <c r="C223" s="98">
        <f>'B) D RI'!U225</f>
        <v>16429.064166666663</v>
      </c>
      <c r="D223" s="114">
        <f>'E) Fact soc'!G229/C223</f>
        <v>16.41951270932941</v>
      </c>
      <c r="E223" s="141">
        <f>'H) Péréquation directe'!I234/C223</f>
        <v>6.9387443581033397</v>
      </c>
      <c r="F223" s="114">
        <f>+'I) Dépenses thématiques'!O223/'J) Plafonnement effort'!C223</f>
        <v>-3.7916883472929221</v>
      </c>
      <c r="G223" s="141">
        <f t="shared" si="13"/>
        <v>19.566568720139827</v>
      </c>
      <c r="H223" s="332">
        <f t="shared" si="14"/>
        <v>0</v>
      </c>
      <c r="I223" s="57">
        <f t="shared" si="15"/>
        <v>0</v>
      </c>
      <c r="J223" s="33">
        <f t="shared" si="16"/>
        <v>19.566568720139827</v>
      </c>
    </row>
    <row r="224" spans="1:10" x14ac:dyDescent="0.25">
      <c r="A224" s="49">
        <f>'A) Base RI'!A226</f>
        <v>5757</v>
      </c>
      <c r="B224" s="285" t="str">
        <f>'A) Base RI'!B226</f>
        <v>Orbe</v>
      </c>
      <c r="C224" s="98">
        <f>'B) D RI'!U226</f>
        <v>203622.90168831171</v>
      </c>
      <c r="D224" s="114">
        <f>'E) Fact soc'!G230/C224</f>
        <v>20.692712033443197</v>
      </c>
      <c r="E224" s="141">
        <f>'H) Péréquation directe'!I235/C224</f>
        <v>-9.7309500561803883</v>
      </c>
      <c r="F224" s="114">
        <f>+'I) Dépenses thématiques'!O224/'J) Plafonnement effort'!C224</f>
        <v>-7.6546236428684642</v>
      </c>
      <c r="G224" s="141">
        <f t="shared" si="13"/>
        <v>3.3071383343943443</v>
      </c>
      <c r="H224" s="332">
        <f t="shared" si="14"/>
        <v>0</v>
      </c>
      <c r="I224" s="57">
        <f t="shared" si="15"/>
        <v>0</v>
      </c>
      <c r="J224" s="33">
        <f t="shared" si="16"/>
        <v>3.3071383343943443</v>
      </c>
    </row>
    <row r="225" spans="1:10" x14ac:dyDescent="0.25">
      <c r="A225" s="49">
        <f>'A) Base RI'!A227</f>
        <v>5758</v>
      </c>
      <c r="B225" s="285" t="str">
        <f>'A) Base RI'!B227</f>
        <v>La Praz</v>
      </c>
      <c r="C225" s="98">
        <f>'B) D RI'!U227</f>
        <v>4513.7940160642565</v>
      </c>
      <c r="D225" s="114">
        <f>'E) Fact soc'!G231/C225</f>
        <v>21.312087190266542</v>
      </c>
      <c r="E225" s="141">
        <f>'H) Péréquation directe'!I236/C225</f>
        <v>-4.2962680515410572</v>
      </c>
      <c r="F225" s="114">
        <f>+'I) Dépenses thématiques'!O225/'J) Plafonnement effort'!C225</f>
        <v>-7.022088479213501</v>
      </c>
      <c r="G225" s="141">
        <f t="shared" si="13"/>
        <v>9.9937306595119821</v>
      </c>
      <c r="H225" s="332">
        <f t="shared" si="14"/>
        <v>0</v>
      </c>
      <c r="I225" s="57">
        <f t="shared" si="15"/>
        <v>0</v>
      </c>
      <c r="J225" s="33">
        <f t="shared" si="16"/>
        <v>9.9937306595119821</v>
      </c>
    </row>
    <row r="226" spans="1:10" x14ac:dyDescent="0.25">
      <c r="A226" s="49">
        <f>'A) Base RI'!A228</f>
        <v>5759</v>
      </c>
      <c r="B226" s="285" t="str">
        <f>'A) Base RI'!B228</f>
        <v>Premier</v>
      </c>
      <c r="C226" s="98">
        <f>'B) D RI'!U228</f>
        <v>5266.2719753086421</v>
      </c>
      <c r="D226" s="114">
        <f>'E) Fact soc'!G232/C226</f>
        <v>17.064420473740832</v>
      </c>
      <c r="E226" s="141">
        <f>'H) Péréquation directe'!I237/C226</f>
        <v>-9.1232012224321863</v>
      </c>
      <c r="F226" s="114">
        <f>+'I) Dépenses thématiques'!O226/'J) Plafonnement effort'!C226</f>
        <v>-9.8209908656521439</v>
      </c>
      <c r="G226" s="141">
        <f t="shared" si="13"/>
        <v>-1.8797716143434986</v>
      </c>
      <c r="H226" s="332">
        <f t="shared" si="14"/>
        <v>0</v>
      </c>
      <c r="I226" s="57">
        <f t="shared" si="15"/>
        <v>0</v>
      </c>
      <c r="J226" s="33">
        <f t="shared" si="16"/>
        <v>-1.8797716143434986</v>
      </c>
    </row>
    <row r="227" spans="1:10" x14ac:dyDescent="0.25">
      <c r="A227" s="49">
        <f>'A) Base RI'!A229</f>
        <v>5760</v>
      </c>
      <c r="B227" s="285" t="str">
        <f>'A) Base RI'!B229</f>
        <v>Rances</v>
      </c>
      <c r="C227" s="98">
        <f>'B) D RI'!U229</f>
        <v>12393.154658119658</v>
      </c>
      <c r="D227" s="114">
        <f>'E) Fact soc'!G233/C227</f>
        <v>16.007261665617246</v>
      </c>
      <c r="E227" s="141">
        <f>'H) Péréquation directe'!I238/C227</f>
        <v>-7.2805053270377051</v>
      </c>
      <c r="F227" s="114">
        <f>+'I) Dépenses thématiques'!O227/'J) Plafonnement effort'!C227</f>
        <v>-9.571048393043343</v>
      </c>
      <c r="G227" s="141">
        <f t="shared" si="13"/>
        <v>-0.84429205446380173</v>
      </c>
      <c r="H227" s="332">
        <f t="shared" si="14"/>
        <v>0</v>
      </c>
      <c r="I227" s="57">
        <f t="shared" si="15"/>
        <v>0</v>
      </c>
      <c r="J227" s="33">
        <f t="shared" si="16"/>
        <v>-0.84429205446380173</v>
      </c>
    </row>
    <row r="228" spans="1:10" x14ac:dyDescent="0.25">
      <c r="A228" s="49">
        <f>'A) Base RI'!A230</f>
        <v>5761</v>
      </c>
      <c r="B228" s="285" t="str">
        <f>'A) Base RI'!B230</f>
        <v>Romainmôtier-Envy</v>
      </c>
      <c r="C228" s="98">
        <f>'B) D RI'!U230</f>
        <v>12300.346363636363</v>
      </c>
      <c r="D228" s="114">
        <f>'E) Fact soc'!G234/C228</f>
        <v>20.531371592790485</v>
      </c>
      <c r="E228" s="141">
        <f>'H) Péréquation directe'!I239/C228</f>
        <v>-12.725694447526728</v>
      </c>
      <c r="F228" s="114">
        <f>+'I) Dépenses thématiques'!O228/'J) Plafonnement effort'!C228</f>
        <v>-11.000611752693818</v>
      </c>
      <c r="G228" s="141">
        <f t="shared" si="13"/>
        <v>-3.19493460743006</v>
      </c>
      <c r="H228" s="332">
        <f t="shared" si="14"/>
        <v>0</v>
      </c>
      <c r="I228" s="57">
        <f t="shared" si="15"/>
        <v>0</v>
      </c>
      <c r="J228" s="33">
        <f t="shared" si="16"/>
        <v>-3.19493460743006</v>
      </c>
    </row>
    <row r="229" spans="1:10" x14ac:dyDescent="0.25">
      <c r="A229" s="49">
        <f>'A) Base RI'!A231</f>
        <v>5762</v>
      </c>
      <c r="B229" s="285" t="str">
        <f>'A) Base RI'!B231</f>
        <v>Sergey</v>
      </c>
      <c r="C229" s="98">
        <f>'B) D RI'!U231</f>
        <v>4008.7221794871789</v>
      </c>
      <c r="D229" s="114">
        <f>'E) Fact soc'!G235/C229</f>
        <v>15.589992746367928</v>
      </c>
      <c r="E229" s="141">
        <f>'H) Péréquation directe'!I240/C229</f>
        <v>-1.509512252090371</v>
      </c>
      <c r="F229" s="114">
        <f>+'I) Dépenses thématiques'!O229/'J) Plafonnement effort'!C229</f>
        <v>-0.37852068486908075</v>
      </c>
      <c r="G229" s="141">
        <f t="shared" si="13"/>
        <v>13.701959809408477</v>
      </c>
      <c r="H229" s="332">
        <f t="shared" si="14"/>
        <v>0</v>
      </c>
      <c r="I229" s="57">
        <f t="shared" si="15"/>
        <v>0</v>
      </c>
      <c r="J229" s="33">
        <f t="shared" si="16"/>
        <v>13.701959809408477</v>
      </c>
    </row>
    <row r="230" spans="1:10" x14ac:dyDescent="0.25">
      <c r="A230" s="49">
        <f>'A) Base RI'!A232</f>
        <v>5763</v>
      </c>
      <c r="B230" s="285" t="str">
        <f>'A) Base RI'!B232</f>
        <v>Valeyres-sous-Rances</v>
      </c>
      <c r="C230" s="98">
        <f>'B) D RI'!U232</f>
        <v>21916.016764705884</v>
      </c>
      <c r="D230" s="114">
        <f>'E) Fact soc'!G236/C230</f>
        <v>16.021812851733657</v>
      </c>
      <c r="E230" s="141">
        <f>'H) Péréquation directe'!I241/C230</f>
        <v>10.353261465292093</v>
      </c>
      <c r="F230" s="114">
        <f>+'I) Dépenses thématiques'!O230/'J) Plafonnement effort'!C230</f>
        <v>-4.5435184491404916</v>
      </c>
      <c r="G230" s="141">
        <f t="shared" si="13"/>
        <v>21.831555867885257</v>
      </c>
      <c r="H230" s="332">
        <f t="shared" si="14"/>
        <v>0</v>
      </c>
      <c r="I230" s="57">
        <f t="shared" si="15"/>
        <v>0</v>
      </c>
      <c r="J230" s="33">
        <f t="shared" si="16"/>
        <v>21.831555867885257</v>
      </c>
    </row>
    <row r="231" spans="1:10" x14ac:dyDescent="0.25">
      <c r="A231" s="49">
        <f>'A) Base RI'!A233</f>
        <v>5764</v>
      </c>
      <c r="B231" s="285" t="str">
        <f>'A) Base RI'!B233</f>
        <v>Vallorbe</v>
      </c>
      <c r="C231" s="98">
        <f>'B) D RI'!U233</f>
        <v>88041.024794520548</v>
      </c>
      <c r="D231" s="114">
        <f>'E) Fact soc'!G237/C231</f>
        <v>25.995136895461044</v>
      </c>
      <c r="E231" s="141">
        <f>'H) Péréquation directe'!I242/C231</f>
        <v>-16.763111683777712</v>
      </c>
      <c r="F231" s="114">
        <f>+'I) Dépenses thématiques'!O231/'J) Plafonnement effort'!C231</f>
        <v>-25.365124331119322</v>
      </c>
      <c r="G231" s="141">
        <f t="shared" si="13"/>
        <v>-16.13309911943599</v>
      </c>
      <c r="H231" s="332">
        <f t="shared" si="14"/>
        <v>0</v>
      </c>
      <c r="I231" s="57">
        <f t="shared" si="15"/>
        <v>0</v>
      </c>
      <c r="J231" s="33">
        <f t="shared" si="16"/>
        <v>-16.13309911943599</v>
      </c>
    </row>
    <row r="232" spans="1:10" x14ac:dyDescent="0.25">
      <c r="A232" s="49">
        <f>'A) Base RI'!A234</f>
        <v>5765</v>
      </c>
      <c r="B232" s="285" t="str">
        <f>'A) Base RI'!B234</f>
        <v>Vaulion</v>
      </c>
      <c r="C232" s="98">
        <f>'B) D RI'!U234</f>
        <v>11969.433580246912</v>
      </c>
      <c r="D232" s="114">
        <f>'E) Fact soc'!G238/C232</f>
        <v>18.875503504190469</v>
      </c>
      <c r="E232" s="141">
        <f>'H) Péréquation directe'!I243/C232</f>
        <v>-9.9506989123736265</v>
      </c>
      <c r="F232" s="114">
        <f>+'I) Dépenses thématiques'!O232/'J) Plafonnement effort'!C232</f>
        <v>-11.025610099944858</v>
      </c>
      <c r="G232" s="141">
        <f t="shared" si="13"/>
        <v>-2.1008055081280155</v>
      </c>
      <c r="H232" s="332">
        <f t="shared" si="14"/>
        <v>0</v>
      </c>
      <c r="I232" s="57">
        <f t="shared" si="15"/>
        <v>0</v>
      </c>
      <c r="J232" s="33">
        <f t="shared" si="16"/>
        <v>-2.1008055081280155</v>
      </c>
    </row>
    <row r="233" spans="1:10" x14ac:dyDescent="0.25">
      <c r="A233" s="49">
        <f>'A) Base RI'!A235</f>
        <v>5766</v>
      </c>
      <c r="B233" s="285" t="str">
        <f>'A) Base RI'!B235</f>
        <v>Vuiteboeuf</v>
      </c>
      <c r="C233" s="98">
        <f>'B) D RI'!U235</f>
        <v>13963.194675324676</v>
      </c>
      <c r="D233" s="114">
        <f>'E) Fact soc'!G239/C233</f>
        <v>18.096572265458587</v>
      </c>
      <c r="E233" s="141">
        <f>'H) Péréquation directe'!I244/C233</f>
        <v>-7.3353874468063669</v>
      </c>
      <c r="F233" s="114">
        <f>+'I) Dépenses thématiques'!O233/'J) Plafonnement effort'!C233</f>
        <v>-6.9001156651329083</v>
      </c>
      <c r="G233" s="141">
        <f t="shared" si="13"/>
        <v>3.8610691535193116</v>
      </c>
      <c r="H233" s="332">
        <f t="shared" si="14"/>
        <v>0</v>
      </c>
      <c r="I233" s="57">
        <f t="shared" si="15"/>
        <v>0</v>
      </c>
      <c r="J233" s="33">
        <f t="shared" si="16"/>
        <v>3.8610691535193116</v>
      </c>
    </row>
    <row r="234" spans="1:10" x14ac:dyDescent="0.25">
      <c r="A234" s="49">
        <f>'A) Base RI'!A236</f>
        <v>5785</v>
      </c>
      <c r="B234" s="285" t="str">
        <f>'A) Base RI'!B236</f>
        <v>Corcelles-le-Jorat</v>
      </c>
      <c r="C234" s="98">
        <f>'B) D RI'!U236</f>
        <v>16982.100779220782</v>
      </c>
      <c r="D234" s="114">
        <f>'E) Fact soc'!G240/C234</f>
        <v>17.370745669029098</v>
      </c>
      <c r="E234" s="141">
        <f>'H) Péréquation directe'!I245/C234</f>
        <v>10.258267345878423</v>
      </c>
      <c r="F234" s="114">
        <f>+'I) Dépenses thématiques'!O234/'J) Plafonnement effort'!C234</f>
        <v>-4.4536417750399577</v>
      </c>
      <c r="G234" s="141">
        <f t="shared" si="13"/>
        <v>23.175371239867562</v>
      </c>
      <c r="H234" s="332">
        <f t="shared" si="14"/>
        <v>0</v>
      </c>
      <c r="I234" s="57">
        <f t="shared" si="15"/>
        <v>0</v>
      </c>
      <c r="J234" s="33">
        <f t="shared" si="16"/>
        <v>23.175371239867562</v>
      </c>
    </row>
    <row r="235" spans="1:10" x14ac:dyDescent="0.25">
      <c r="A235" s="49">
        <f>'A) Base RI'!A237</f>
        <v>5788</v>
      </c>
      <c r="B235" s="285" t="str">
        <f>'A) Base RI'!B237</f>
        <v>Essertes</v>
      </c>
      <c r="C235" s="98">
        <f>'B) D RI'!U237</f>
        <v>12373.296527777777</v>
      </c>
      <c r="D235" s="114">
        <f>'E) Fact soc'!G241/C235</f>
        <v>18.70500878715184</v>
      </c>
      <c r="E235" s="141">
        <f>'H) Péréquation directe'!I246/C235</f>
        <v>6.9681543779398636</v>
      </c>
      <c r="F235" s="114">
        <f>+'I) Dépenses thématiques'!O235/'J) Plafonnement effort'!C235</f>
        <v>-2.5737344425551383</v>
      </c>
      <c r="G235" s="141">
        <f t="shared" si="13"/>
        <v>23.099428722536565</v>
      </c>
      <c r="H235" s="332">
        <f t="shared" si="14"/>
        <v>0</v>
      </c>
      <c r="I235" s="57">
        <f t="shared" si="15"/>
        <v>0</v>
      </c>
      <c r="J235" s="33">
        <f t="shared" si="16"/>
        <v>23.099428722536565</v>
      </c>
    </row>
    <row r="236" spans="1:10" x14ac:dyDescent="0.25">
      <c r="A236" s="49">
        <f>'A) Base RI'!A238</f>
        <v>5790</v>
      </c>
      <c r="B236" s="285" t="str">
        <f>'A) Base RI'!B238</f>
        <v>Maracon</v>
      </c>
      <c r="C236" s="98">
        <f>'B) D RI'!U238</f>
        <v>14432.888421052632</v>
      </c>
      <c r="D236" s="114">
        <f>'E) Fact soc'!G242/C236</f>
        <v>23.125781069825194</v>
      </c>
      <c r="E236" s="141">
        <f>'H) Péréquation directe'!I247/C236</f>
        <v>-1.9798294717745353</v>
      </c>
      <c r="F236" s="114">
        <f>+'I) Dépenses thématiques'!O236/'J) Plafonnement effort'!C236</f>
        <v>-6.7112545614446892</v>
      </c>
      <c r="G236" s="141">
        <f t="shared" si="13"/>
        <v>14.434697036605968</v>
      </c>
      <c r="H236" s="332">
        <f t="shared" si="14"/>
        <v>0</v>
      </c>
      <c r="I236" s="57">
        <f t="shared" si="15"/>
        <v>0</v>
      </c>
      <c r="J236" s="33">
        <f t="shared" si="16"/>
        <v>14.434697036605968</v>
      </c>
    </row>
    <row r="237" spans="1:10" x14ac:dyDescent="0.25">
      <c r="A237" s="49">
        <f>'A) Base RI'!A239</f>
        <v>5792</v>
      </c>
      <c r="B237" s="285" t="str">
        <f>'A) Base RI'!B239</f>
        <v>Montpreveyres</v>
      </c>
      <c r="C237" s="98">
        <f>'B) D RI'!U239</f>
        <v>20144.698311688313</v>
      </c>
      <c r="D237" s="114">
        <f>'E) Fact soc'!G243/C237</f>
        <v>17.697489707554322</v>
      </c>
      <c r="E237" s="141">
        <f>'H) Péréquation directe'!I248/C237</f>
        <v>3.3048521542401081</v>
      </c>
      <c r="F237" s="114">
        <f>+'I) Dépenses thématiques'!O237/'J) Plafonnement effort'!C237</f>
        <v>-6.328088843213993</v>
      </c>
      <c r="G237" s="141">
        <f t="shared" si="13"/>
        <v>14.674253018580437</v>
      </c>
      <c r="H237" s="332">
        <f t="shared" si="14"/>
        <v>0</v>
      </c>
      <c r="I237" s="57">
        <f t="shared" si="15"/>
        <v>0</v>
      </c>
      <c r="J237" s="33">
        <f t="shared" si="16"/>
        <v>14.674253018580437</v>
      </c>
    </row>
    <row r="238" spans="1:10" x14ac:dyDescent="0.25">
      <c r="A238" s="49">
        <f>'A) Base RI'!A240</f>
        <v>5798</v>
      </c>
      <c r="B238" s="285" t="str">
        <f>'A) Base RI'!B240</f>
        <v>Ropraz</v>
      </c>
      <c r="C238" s="98">
        <f>'B) D RI'!U240</f>
        <v>14372.607741935482</v>
      </c>
      <c r="D238" s="114">
        <f>'E) Fact soc'!G244/C238</f>
        <v>15.271027915140314</v>
      </c>
      <c r="E238" s="141">
        <f>'H) Péréquation directe'!I249/C238</f>
        <v>1.4712678733049451</v>
      </c>
      <c r="F238" s="114">
        <f>+'I) Dépenses thématiques'!O238/'J) Plafonnement effort'!C238</f>
        <v>-3.8506317425165184</v>
      </c>
      <c r="G238" s="141">
        <f t="shared" si="13"/>
        <v>12.891664045928739</v>
      </c>
      <c r="H238" s="332">
        <f t="shared" si="14"/>
        <v>0</v>
      </c>
      <c r="I238" s="57">
        <f t="shared" si="15"/>
        <v>0</v>
      </c>
      <c r="J238" s="33">
        <f t="shared" si="16"/>
        <v>12.891664045928739</v>
      </c>
    </row>
    <row r="239" spans="1:10" x14ac:dyDescent="0.25">
      <c r="A239" s="49">
        <f>'A) Base RI'!A241</f>
        <v>5799</v>
      </c>
      <c r="B239" s="285" t="str">
        <f>'A) Base RI'!B241</f>
        <v>Servion</v>
      </c>
      <c r="C239" s="98">
        <f>'B) D RI'!U241</f>
        <v>71130.218550724647</v>
      </c>
      <c r="D239" s="114">
        <f>'E) Fact soc'!G245/C239</f>
        <v>17.817197380404505</v>
      </c>
      <c r="E239" s="141">
        <f>'H) Péréquation directe'!I250/C239</f>
        <v>7.220501061815888</v>
      </c>
      <c r="F239" s="114">
        <f>+'I) Dépenses thématiques'!O239/'J) Plafonnement effort'!C239</f>
        <v>-3.4685163700972512</v>
      </c>
      <c r="G239" s="141">
        <f t="shared" si="13"/>
        <v>21.569182072123141</v>
      </c>
      <c r="H239" s="332">
        <f t="shared" si="14"/>
        <v>0</v>
      </c>
      <c r="I239" s="57">
        <f t="shared" si="15"/>
        <v>0</v>
      </c>
      <c r="J239" s="33">
        <f t="shared" si="16"/>
        <v>21.569182072123141</v>
      </c>
    </row>
    <row r="240" spans="1:10" x14ac:dyDescent="0.25">
      <c r="A240" s="49">
        <f>'A) Base RI'!A242</f>
        <v>5803</v>
      </c>
      <c r="B240" s="285" t="str">
        <f>'A) Base RI'!B242</f>
        <v>Vulliens</v>
      </c>
      <c r="C240" s="98">
        <f>'B) D RI'!U242</f>
        <v>17471.95461538462</v>
      </c>
      <c r="D240" s="114">
        <f>'E) Fact soc'!G246/C240</f>
        <v>15.276177514953789</v>
      </c>
      <c r="E240" s="141">
        <f>'H) Péréquation directe'!I251/C240</f>
        <v>-0.21200914395132811</v>
      </c>
      <c r="F240" s="114">
        <f>+'I) Dépenses thématiques'!O240/'J) Plafonnement effort'!C240</f>
        <v>-5.9524733351398647</v>
      </c>
      <c r="G240" s="141">
        <f t="shared" si="13"/>
        <v>9.1116950358625957</v>
      </c>
      <c r="H240" s="332">
        <f t="shared" si="14"/>
        <v>0</v>
      </c>
      <c r="I240" s="57">
        <f t="shared" si="15"/>
        <v>0</v>
      </c>
      <c r="J240" s="33">
        <f t="shared" si="16"/>
        <v>9.1116950358625957</v>
      </c>
    </row>
    <row r="241" spans="1:10" x14ac:dyDescent="0.25">
      <c r="A241" s="49">
        <f>'A) Base RI'!A243</f>
        <v>5804</v>
      </c>
      <c r="B241" s="285" t="str">
        <f>'A) Base RI'!B243</f>
        <v>Jorat-Menthue</v>
      </c>
      <c r="C241" s="98">
        <f>'B) D RI'!U243</f>
        <v>44252.610972222225</v>
      </c>
      <c r="D241" s="114">
        <f>'E) Fact soc'!G247/C241</f>
        <v>16.734148045869542</v>
      </c>
      <c r="E241" s="141">
        <f>'H) Péréquation directe'!I252/C241</f>
        <v>-1.7801354831919733</v>
      </c>
      <c r="F241" s="114">
        <f>+'I) Dépenses thématiques'!O241/'J) Plafonnement effort'!C241</f>
        <v>-26.910298169181026</v>
      </c>
      <c r="G241" s="141">
        <f t="shared" si="13"/>
        <v>-11.956285606503457</v>
      </c>
      <c r="H241" s="332">
        <f t="shared" si="14"/>
        <v>0</v>
      </c>
      <c r="I241" s="57">
        <f t="shared" si="15"/>
        <v>0</v>
      </c>
      <c r="J241" s="33">
        <f t="shared" si="16"/>
        <v>-11.956285606503457</v>
      </c>
    </row>
    <row r="242" spans="1:10" x14ac:dyDescent="0.25">
      <c r="A242" s="49">
        <f>'A) Base RI'!A244</f>
        <v>5805</v>
      </c>
      <c r="B242" s="285" t="str">
        <f>'A) Base RI'!B244</f>
        <v>Oron</v>
      </c>
      <c r="C242" s="98">
        <f>'B) D RI'!U244</f>
        <v>158737.86322793149</v>
      </c>
      <c r="D242" s="114">
        <f>'E) Fact soc'!G248/C242</f>
        <v>18.993128719760293</v>
      </c>
      <c r="E242" s="141">
        <f>'H) Péréquation directe'!I253/C242</f>
        <v>-6.9638955246748964</v>
      </c>
      <c r="F242" s="114">
        <f>+'I) Dépenses thématiques'!O242/'J) Plafonnement effort'!C242</f>
        <v>-5.0024264653713955</v>
      </c>
      <c r="G242" s="141">
        <f t="shared" si="13"/>
        <v>7.0268067297140009</v>
      </c>
      <c r="H242" s="332">
        <f t="shared" si="14"/>
        <v>0</v>
      </c>
      <c r="I242" s="57">
        <f t="shared" si="15"/>
        <v>0</v>
      </c>
      <c r="J242" s="33">
        <f t="shared" si="16"/>
        <v>7.0268067297140009</v>
      </c>
    </row>
    <row r="243" spans="1:10" x14ac:dyDescent="0.25">
      <c r="A243" s="49">
        <f>'A) Base RI'!A245</f>
        <v>5806</v>
      </c>
      <c r="B243" s="285" t="str">
        <f>'A) Base RI'!B245</f>
        <v>Jorat-Mézières</v>
      </c>
      <c r="C243" s="98">
        <f>'B) D RI'!U245</f>
        <v>92100.572236842127</v>
      </c>
      <c r="D243" s="114">
        <f>'E) Fact soc'!G249/C243</f>
        <v>16.646062473496436</v>
      </c>
      <c r="E243" s="141">
        <f>'H) Péréquation directe'!I254/C243</f>
        <v>-0.43957648781437231</v>
      </c>
      <c r="F243" s="114">
        <f>+'I) Dépenses thématiques'!O243/'J) Plafonnement effort'!C243</f>
        <v>-3.7479541356746298</v>
      </c>
      <c r="G243" s="141">
        <f t="shared" si="13"/>
        <v>12.458531850007436</v>
      </c>
      <c r="H243" s="332">
        <f t="shared" si="14"/>
        <v>0</v>
      </c>
      <c r="I243" s="57">
        <f t="shared" si="15"/>
        <v>0</v>
      </c>
      <c r="J243" s="33">
        <f t="shared" si="16"/>
        <v>12.458531850007436</v>
      </c>
    </row>
    <row r="244" spans="1:10" x14ac:dyDescent="0.25">
      <c r="A244" s="49">
        <f>'A) Base RI'!A246</f>
        <v>5812</v>
      </c>
      <c r="B244" s="285" t="str">
        <f>'A) Base RI'!B246</f>
        <v>Champtauroz</v>
      </c>
      <c r="C244" s="98">
        <f>'B) D RI'!U246</f>
        <v>3697.8804870129875</v>
      </c>
      <c r="D244" s="114">
        <f>'E) Fact soc'!G250/C244</f>
        <v>23.132223016200921</v>
      </c>
      <c r="E244" s="141">
        <f>'H) Péréquation directe'!I255/C244</f>
        <v>0.17430876332553621</v>
      </c>
      <c r="F244" s="114">
        <f>+'I) Dépenses thématiques'!O244/'J) Plafonnement effort'!C244</f>
        <v>-3.6187278032917609</v>
      </c>
      <c r="G244" s="141">
        <f t="shared" si="13"/>
        <v>19.687803976234697</v>
      </c>
      <c r="H244" s="332">
        <f t="shared" si="14"/>
        <v>0</v>
      </c>
      <c r="I244" s="57">
        <f t="shared" si="15"/>
        <v>0</v>
      </c>
      <c r="J244" s="33">
        <f t="shared" si="16"/>
        <v>19.687803976234697</v>
      </c>
    </row>
    <row r="245" spans="1:10" x14ac:dyDescent="0.25">
      <c r="A245" s="49">
        <f>'A) Base RI'!A247</f>
        <v>5813</v>
      </c>
      <c r="B245" s="285" t="str">
        <f>'A) Base RI'!B247</f>
        <v>Chevroux</v>
      </c>
      <c r="C245" s="98">
        <f>'B) D RI'!U247</f>
        <v>14717.819857142857</v>
      </c>
      <c r="D245" s="114">
        <f>'E) Fact soc'!G251/C245</f>
        <v>16.053781517470501</v>
      </c>
      <c r="E245" s="141">
        <f>'H) Péréquation directe'!I256/C245</f>
        <v>4.6450864176636646</v>
      </c>
      <c r="F245" s="114">
        <f>+'I) Dépenses thématiques'!O245/'J) Plafonnement effort'!C245</f>
        <v>-3.4446077674912501</v>
      </c>
      <c r="G245" s="141">
        <f t="shared" si="13"/>
        <v>17.254260167642919</v>
      </c>
      <c r="H245" s="332">
        <f t="shared" si="14"/>
        <v>0</v>
      </c>
      <c r="I245" s="57">
        <f t="shared" si="15"/>
        <v>0</v>
      </c>
      <c r="J245" s="33">
        <f t="shared" si="16"/>
        <v>17.254260167642919</v>
      </c>
    </row>
    <row r="246" spans="1:10" x14ac:dyDescent="0.25">
      <c r="A246" s="49">
        <f>'A) Base RI'!A248</f>
        <v>5816</v>
      </c>
      <c r="B246" s="285" t="str">
        <f>'A) Base RI'!B248</f>
        <v>Corcelles-près-Payerne</v>
      </c>
      <c r="C246" s="98">
        <f>'B) D RI'!U248</f>
        <v>60753.42418367348</v>
      </c>
      <c r="D246" s="114">
        <f>'E) Fact soc'!G252/C246</f>
        <v>21.747019885397187</v>
      </c>
      <c r="E246" s="141">
        <f>'H) Péréquation directe'!I257/C246</f>
        <v>-10.446826137819441</v>
      </c>
      <c r="F246" s="114">
        <f>+'I) Dépenses thématiques'!O246/'J) Plafonnement effort'!C246</f>
        <v>-7.7380831837806436</v>
      </c>
      <c r="G246" s="141">
        <f t="shared" si="13"/>
        <v>3.562110563797102</v>
      </c>
      <c r="H246" s="332">
        <f t="shared" si="14"/>
        <v>0</v>
      </c>
      <c r="I246" s="57">
        <f t="shared" si="15"/>
        <v>0</v>
      </c>
      <c r="J246" s="33">
        <f t="shared" si="16"/>
        <v>3.562110563797102</v>
      </c>
    </row>
    <row r="247" spans="1:10" x14ac:dyDescent="0.25">
      <c r="A247" s="49">
        <f>'A) Base RI'!A249</f>
        <v>5817</v>
      </c>
      <c r="B247" s="285" t="str">
        <f>'A) Base RI'!B249</f>
        <v>Grandcour</v>
      </c>
      <c r="C247" s="98">
        <f>'B) D RI'!U249</f>
        <v>21844.312857142857</v>
      </c>
      <c r="D247" s="114">
        <f>'E) Fact soc'!G253/C247</f>
        <v>15.788336850776794</v>
      </c>
      <c r="E247" s="141">
        <f>'H) Péréquation directe'!I258/C247</f>
        <v>-10.26190087237798</v>
      </c>
      <c r="F247" s="114">
        <f>+'I) Dépenses thématiques'!O247/'J) Plafonnement effort'!C247</f>
        <v>-6.9028951910295486</v>
      </c>
      <c r="G247" s="141">
        <f t="shared" si="13"/>
        <v>-1.3764592126307349</v>
      </c>
      <c r="H247" s="332">
        <f t="shared" si="14"/>
        <v>0</v>
      </c>
      <c r="I247" s="57">
        <f t="shared" si="15"/>
        <v>0</v>
      </c>
      <c r="J247" s="33">
        <f t="shared" si="16"/>
        <v>-1.3764592126307349</v>
      </c>
    </row>
    <row r="248" spans="1:10" x14ac:dyDescent="0.25">
      <c r="A248" s="49">
        <f>'A) Base RI'!A250</f>
        <v>5819</v>
      </c>
      <c r="B248" s="285" t="str">
        <f>'A) Base RI'!B250</f>
        <v>Henniez</v>
      </c>
      <c r="C248" s="98">
        <f>'B) D RI'!U250</f>
        <v>12524.767971014497</v>
      </c>
      <c r="D248" s="114">
        <f>'E) Fact soc'!G254/C248</f>
        <v>17.249683484390392</v>
      </c>
      <c r="E248" s="141">
        <f>'H) Péréquation directe'!I259/C248</f>
        <v>8.4176722327439659</v>
      </c>
      <c r="F248" s="114">
        <f>+'I) Dépenses thématiques'!O248/'J) Plafonnement effort'!C248</f>
        <v>-5.9860394413366844</v>
      </c>
      <c r="G248" s="141">
        <f t="shared" si="13"/>
        <v>19.68131627579767</v>
      </c>
      <c r="H248" s="332">
        <f t="shared" si="14"/>
        <v>0</v>
      </c>
      <c r="I248" s="57">
        <f t="shared" si="15"/>
        <v>0</v>
      </c>
      <c r="J248" s="33">
        <f t="shared" si="16"/>
        <v>19.68131627579767</v>
      </c>
    </row>
    <row r="249" spans="1:10" x14ac:dyDescent="0.25">
      <c r="A249" s="49">
        <f>'A) Base RI'!A251</f>
        <v>5821</v>
      </c>
      <c r="B249" s="285" t="str">
        <f>'A) Base RI'!B251</f>
        <v>Missy</v>
      </c>
      <c r="C249" s="98">
        <f>'B) D RI'!U251</f>
        <v>8359.2275000000009</v>
      </c>
      <c r="D249" s="114">
        <f>'E) Fact soc'!G255/C249</f>
        <v>14.908296743082245</v>
      </c>
      <c r="E249" s="141">
        <f>'H) Péréquation directe'!I260/C249</f>
        <v>-6.7958840655657369</v>
      </c>
      <c r="F249" s="114">
        <f>+'I) Dépenses thématiques'!O249/'J) Plafonnement effort'!C249</f>
        <v>-2.2008493310547372</v>
      </c>
      <c r="G249" s="141">
        <f t="shared" si="13"/>
        <v>5.9115633464617705</v>
      </c>
      <c r="H249" s="332">
        <f t="shared" si="14"/>
        <v>0</v>
      </c>
      <c r="I249" s="57">
        <f t="shared" si="15"/>
        <v>0</v>
      </c>
      <c r="J249" s="33">
        <f t="shared" si="16"/>
        <v>5.9115633464617705</v>
      </c>
    </row>
    <row r="250" spans="1:10" x14ac:dyDescent="0.25">
      <c r="A250" s="49">
        <f>'A) Base RI'!A252</f>
        <v>5822</v>
      </c>
      <c r="B250" s="285" t="str">
        <f>'A) Base RI'!B252</f>
        <v>Payerne</v>
      </c>
      <c r="C250" s="98">
        <f>'B) D RI'!U252</f>
        <v>246662.05359999998</v>
      </c>
      <c r="D250" s="114">
        <f>'E) Fact soc'!G256/C250</f>
        <v>17.153733781329567</v>
      </c>
      <c r="E250" s="141">
        <f>'H) Péréquation directe'!I261/C250</f>
        <v>-21.505571161691972</v>
      </c>
      <c r="F250" s="114">
        <f>+'I) Dépenses thématiques'!O250/'J) Plafonnement effort'!C250</f>
        <v>-6.8394892729441814</v>
      </c>
      <c r="G250" s="141">
        <f t="shared" si="13"/>
        <v>-11.191326653306586</v>
      </c>
      <c r="H250" s="332">
        <f t="shared" si="14"/>
        <v>0</v>
      </c>
      <c r="I250" s="57">
        <f t="shared" si="15"/>
        <v>0</v>
      </c>
      <c r="J250" s="33">
        <f t="shared" si="16"/>
        <v>-11.191326653306586</v>
      </c>
    </row>
    <row r="251" spans="1:10" x14ac:dyDescent="0.25">
      <c r="A251" s="49">
        <f>'A) Base RI'!A253</f>
        <v>5827</v>
      </c>
      <c r="B251" s="285" t="str">
        <f>'A) Base RI'!B253</f>
        <v>Trey</v>
      </c>
      <c r="C251" s="98">
        <f>'B) D RI'!U253</f>
        <v>6768.899124999999</v>
      </c>
      <c r="D251" s="114">
        <f>'E) Fact soc'!G257/C251</f>
        <v>16.190137468936058</v>
      </c>
      <c r="E251" s="141">
        <f>'H) Péréquation directe'!I262/C251</f>
        <v>-10.22157115283729</v>
      </c>
      <c r="F251" s="114">
        <f>+'I) Dépenses thématiques'!O251/'J) Plafonnement effort'!C251</f>
        <v>-7.9160695279002136</v>
      </c>
      <c r="G251" s="141">
        <f t="shared" si="13"/>
        <v>-1.9475032118014459</v>
      </c>
      <c r="H251" s="332">
        <f t="shared" si="14"/>
        <v>0</v>
      </c>
      <c r="I251" s="57">
        <f t="shared" si="15"/>
        <v>0</v>
      </c>
      <c r="J251" s="33">
        <f t="shared" si="16"/>
        <v>-1.9475032118014459</v>
      </c>
    </row>
    <row r="252" spans="1:10" x14ac:dyDescent="0.25">
      <c r="A252" s="49">
        <f>'A) Base RI'!A254</f>
        <v>5828</v>
      </c>
      <c r="B252" s="285" t="str">
        <f>'A) Base RI'!B254</f>
        <v>Treytorrens (Payerne)</v>
      </c>
      <c r="C252" s="98">
        <f>'B) D RI'!U254</f>
        <v>2424.4907539682545</v>
      </c>
      <c r="D252" s="114">
        <f>'E) Fact soc'!G258/C252</f>
        <v>21.282318433294929</v>
      </c>
      <c r="E252" s="141">
        <f>'H) Péréquation directe'!I263/C252</f>
        <v>-18.082822672932469</v>
      </c>
      <c r="F252" s="114">
        <f>+'I) Dépenses thématiques'!O252/'J) Plafonnement effort'!C252</f>
        <v>-13.167457944367776</v>
      </c>
      <c r="G252" s="141">
        <f t="shared" si="13"/>
        <v>-9.9679621840053159</v>
      </c>
      <c r="H252" s="332">
        <f t="shared" si="14"/>
        <v>0</v>
      </c>
      <c r="I252" s="57">
        <f t="shared" si="15"/>
        <v>0</v>
      </c>
      <c r="J252" s="33">
        <f t="shared" si="16"/>
        <v>-9.9679621840053159</v>
      </c>
    </row>
    <row r="253" spans="1:10" x14ac:dyDescent="0.25">
      <c r="A253" s="49">
        <f>'A) Base RI'!A255</f>
        <v>5830</v>
      </c>
      <c r="B253" s="285" t="str">
        <f>'A) Base RI'!B255</f>
        <v>Villarzel</v>
      </c>
      <c r="C253" s="98">
        <f>'B) D RI'!U255</f>
        <v>13652.802077922079</v>
      </c>
      <c r="D253" s="114">
        <f>'E) Fact soc'!G259/C253</f>
        <v>17.680513807062393</v>
      </c>
      <c r="E253" s="141">
        <f>'H) Péréquation directe'!I264/C253</f>
        <v>2.7881052520134353</v>
      </c>
      <c r="F253" s="114">
        <f>+'I) Dépenses thématiques'!O253/'J) Plafonnement effort'!C253</f>
        <v>-6.4404761908725199</v>
      </c>
      <c r="G253" s="141">
        <f t="shared" si="13"/>
        <v>14.028142868203307</v>
      </c>
      <c r="H253" s="332">
        <f t="shared" si="14"/>
        <v>0</v>
      </c>
      <c r="I253" s="57">
        <f t="shared" si="15"/>
        <v>0</v>
      </c>
      <c r="J253" s="33">
        <f t="shared" si="16"/>
        <v>14.028142868203307</v>
      </c>
    </row>
    <row r="254" spans="1:10" x14ac:dyDescent="0.25">
      <c r="A254" s="49">
        <f>'A) Base RI'!A256</f>
        <v>5831</v>
      </c>
      <c r="B254" s="285" t="str">
        <f>'A) Base RI'!B256</f>
        <v>Valbroye</v>
      </c>
      <c r="C254" s="98">
        <f>'B) D RI'!U256</f>
        <v>90573.475753424646</v>
      </c>
      <c r="D254" s="114">
        <f>'E) Fact soc'!G260/C254</f>
        <v>17.949874724004793</v>
      </c>
      <c r="E254" s="141">
        <f>'H) Péréquation directe'!I265/C254</f>
        <v>-5.8738811473182269</v>
      </c>
      <c r="F254" s="114">
        <f>+'I) Dépenses thématiques'!O254/'J) Plafonnement effort'!C254</f>
        <v>-9.873305576122295</v>
      </c>
      <c r="G254" s="141">
        <f t="shared" si="13"/>
        <v>2.2026880005642724</v>
      </c>
      <c r="H254" s="332">
        <f t="shared" si="14"/>
        <v>0</v>
      </c>
      <c r="I254" s="57">
        <f t="shared" si="15"/>
        <v>0</v>
      </c>
      <c r="J254" s="33">
        <f t="shared" si="16"/>
        <v>2.2026880005642724</v>
      </c>
    </row>
    <row r="255" spans="1:10" x14ac:dyDescent="0.25">
      <c r="A255" s="49">
        <f>'A) Base RI'!A257</f>
        <v>5841</v>
      </c>
      <c r="B255" s="285" t="str">
        <f>'A) Base RI'!B257</f>
        <v>Château-d'Oex</v>
      </c>
      <c r="C255" s="98">
        <f>'B) D RI'!U257</f>
        <v>118643.61518072287</v>
      </c>
      <c r="D255" s="114">
        <f>'E) Fact soc'!G261/C255</f>
        <v>17.572690362902627</v>
      </c>
      <c r="E255" s="141">
        <f>'H) Péréquation directe'!I266/C255</f>
        <v>0.73975330610699563</v>
      </c>
      <c r="F255" s="114">
        <f>+'I) Dépenses thématiques'!O255/'J) Plafonnement effort'!C255</f>
        <v>-17.862621695038904</v>
      </c>
      <c r="G255" s="141">
        <f t="shared" si="13"/>
        <v>0.44982197397071744</v>
      </c>
      <c r="H255" s="332">
        <f t="shared" si="14"/>
        <v>0</v>
      </c>
      <c r="I255" s="57">
        <f t="shared" si="15"/>
        <v>0</v>
      </c>
      <c r="J255" s="33">
        <f t="shared" si="16"/>
        <v>0.44982197397071744</v>
      </c>
    </row>
    <row r="256" spans="1:10" x14ac:dyDescent="0.25">
      <c r="A256" s="49">
        <f>'A) Base RI'!A258</f>
        <v>5842</v>
      </c>
      <c r="B256" s="285" t="str">
        <f>'A) Base RI'!B258</f>
        <v>Rossinière</v>
      </c>
      <c r="C256" s="98">
        <f>'B) D RI'!U258</f>
        <v>13727.475720164608</v>
      </c>
      <c r="D256" s="114">
        <f>'E) Fact soc'!G262/C256</f>
        <v>16.431464059407876</v>
      </c>
      <c r="E256" s="141">
        <f>'H) Péréquation directe'!I267/C256</f>
        <v>-7.9003910838786</v>
      </c>
      <c r="F256" s="114">
        <f>+'I) Dépenses thématiques'!O256/'J) Plafonnement effort'!C256</f>
        <v>-20.35634353596355</v>
      </c>
      <c r="G256" s="141">
        <f t="shared" si="13"/>
        <v>-11.825270560434273</v>
      </c>
      <c r="H256" s="332">
        <f t="shared" si="14"/>
        <v>0</v>
      </c>
      <c r="I256" s="57">
        <f t="shared" si="15"/>
        <v>0</v>
      </c>
      <c r="J256" s="33">
        <f t="shared" si="16"/>
        <v>-11.825270560434273</v>
      </c>
    </row>
    <row r="257" spans="1:10" x14ac:dyDescent="0.25">
      <c r="A257" s="49">
        <f>'A) Base RI'!A259</f>
        <v>5843</v>
      </c>
      <c r="B257" s="285" t="str">
        <f>'A) Base RI'!B259</f>
        <v>Rougemont</v>
      </c>
      <c r="C257" s="98">
        <f>'B) D RI'!U259</f>
        <v>86224.81779279279</v>
      </c>
      <c r="D257" s="114">
        <f>'E) Fact soc'!G263/C257</f>
        <v>38.955098802587301</v>
      </c>
      <c r="E257" s="141">
        <f>'H) Péréquation directe'!I268/C257</f>
        <v>18.756592734212866</v>
      </c>
      <c r="F257" s="114">
        <f>+'I) Dépenses thématiques'!O257/'J) Plafonnement effort'!C257</f>
        <v>-3.8673880641852176</v>
      </c>
      <c r="G257" s="141">
        <f t="shared" si="13"/>
        <v>53.844303472614946</v>
      </c>
      <c r="H257" s="332">
        <f t="shared" si="14"/>
        <v>-8.8443034726149463</v>
      </c>
      <c r="I257" s="57">
        <f t="shared" si="15"/>
        <v>-762598.45543038833</v>
      </c>
      <c r="J257" s="33">
        <f t="shared" si="16"/>
        <v>45</v>
      </c>
    </row>
    <row r="258" spans="1:10" x14ac:dyDescent="0.25">
      <c r="A258" s="49">
        <f>'A) Base RI'!A260</f>
        <v>5851</v>
      </c>
      <c r="B258" s="285" t="str">
        <f>'A) Base RI'!B260</f>
        <v>Allaman</v>
      </c>
      <c r="C258" s="98">
        <f>'B) D RI'!U260</f>
        <v>23662.073064516131</v>
      </c>
      <c r="D258" s="114">
        <f>'E) Fact soc'!G264/C258</f>
        <v>24.273364311277444</v>
      </c>
      <c r="E258" s="141">
        <f>'H) Péréquation directe'!I269/C258</f>
        <v>17.612201786249056</v>
      </c>
      <c r="F258" s="114">
        <f>+'I) Dépenses thématiques'!O258/'J) Plafonnement effort'!C258</f>
        <v>0</v>
      </c>
      <c r="G258" s="141">
        <f t="shared" si="13"/>
        <v>41.8855660975265</v>
      </c>
      <c r="H258" s="332">
        <f t="shared" si="14"/>
        <v>0</v>
      </c>
      <c r="I258" s="57">
        <f t="shared" si="15"/>
        <v>0</v>
      </c>
      <c r="J258" s="33">
        <f t="shared" si="16"/>
        <v>41.8855660975265</v>
      </c>
    </row>
    <row r="259" spans="1:10" x14ac:dyDescent="0.25">
      <c r="A259" s="49">
        <f>'A) Base RI'!A261</f>
        <v>5852</v>
      </c>
      <c r="B259" s="285" t="str">
        <f>'A) Base RI'!B261</f>
        <v>Bursinel</v>
      </c>
      <c r="C259" s="98">
        <f>'B) D RI'!U261</f>
        <v>39686.843918575076</v>
      </c>
      <c r="D259" s="114">
        <f>'E) Fact soc'!G265/C259</f>
        <v>29.474805679776054</v>
      </c>
      <c r="E259" s="141">
        <f>'H) Péréquation directe'!I270/C259</f>
        <v>18.50940859113253</v>
      </c>
      <c r="F259" s="114">
        <f>+'I) Dépenses thématiques'!O259/'J) Plafonnement effort'!C259</f>
        <v>0</v>
      </c>
      <c r="G259" s="141">
        <f t="shared" si="13"/>
        <v>47.984214270908581</v>
      </c>
      <c r="H259" s="332">
        <f t="shared" si="14"/>
        <v>-2.9842142709085806</v>
      </c>
      <c r="I259" s="57">
        <f t="shared" si="15"/>
        <v>-118434.04598913316</v>
      </c>
      <c r="J259" s="33">
        <f t="shared" si="16"/>
        <v>45</v>
      </c>
    </row>
    <row r="260" spans="1:10" x14ac:dyDescent="0.25">
      <c r="A260" s="49">
        <f>'A) Base RI'!A262</f>
        <v>5853</v>
      </c>
      <c r="B260" s="285" t="str">
        <f>'A) Base RI'!B262</f>
        <v>Bursins</v>
      </c>
      <c r="C260" s="98">
        <f>'B) D RI'!U262</f>
        <v>36429.778873239433</v>
      </c>
      <c r="D260" s="114">
        <f>'E) Fact soc'!G266/C260</f>
        <v>19.659728750701642</v>
      </c>
      <c r="E260" s="141">
        <f>'H) Péréquation directe'!I271/C260</f>
        <v>17.078874486757432</v>
      </c>
      <c r="F260" s="114">
        <f>+'I) Dépenses thématiques'!O260/'J) Plafonnement effort'!C260</f>
        <v>-0.69335499983166726</v>
      </c>
      <c r="G260" s="141">
        <f t="shared" si="13"/>
        <v>36.045248237627405</v>
      </c>
      <c r="H260" s="332">
        <f t="shared" si="14"/>
        <v>0</v>
      </c>
      <c r="I260" s="57">
        <f t="shared" si="15"/>
        <v>0</v>
      </c>
      <c r="J260" s="33">
        <f t="shared" si="16"/>
        <v>36.045248237627405</v>
      </c>
    </row>
    <row r="261" spans="1:10" x14ac:dyDescent="0.25">
      <c r="A261" s="49">
        <f>'A) Base RI'!A263</f>
        <v>5854</v>
      </c>
      <c r="B261" s="285" t="str">
        <f>'A) Base RI'!B263</f>
        <v>Burtigny</v>
      </c>
      <c r="C261" s="98">
        <f>'B) D RI'!U263</f>
        <v>11092.867583333333</v>
      </c>
      <c r="D261" s="114">
        <f>'E) Fact soc'!G267/C261</f>
        <v>23.501504206197243</v>
      </c>
      <c r="E261" s="141">
        <f>'H) Péréquation directe'!I272/C261</f>
        <v>-1.0535652746851416</v>
      </c>
      <c r="F261" s="114">
        <f>+'I) Dépenses thématiques'!O261/'J) Plafonnement effort'!C261</f>
        <v>-4.7448113276204289</v>
      </c>
      <c r="G261" s="141">
        <f t="shared" si="13"/>
        <v>17.703127603891673</v>
      </c>
      <c r="H261" s="332">
        <f t="shared" si="14"/>
        <v>0</v>
      </c>
      <c r="I261" s="57">
        <f t="shared" si="15"/>
        <v>0</v>
      </c>
      <c r="J261" s="33">
        <f t="shared" si="16"/>
        <v>17.703127603891673</v>
      </c>
    </row>
    <row r="262" spans="1:10" x14ac:dyDescent="0.25">
      <c r="A262" s="49">
        <f>'A) Base RI'!A264</f>
        <v>5855</v>
      </c>
      <c r="B262" s="285" t="str">
        <f>'A) Base RI'!B264</f>
        <v>Dully</v>
      </c>
      <c r="C262" s="98">
        <f>'B) D RI'!U264</f>
        <v>79675.83</v>
      </c>
      <c r="D262" s="114">
        <f>'E) Fact soc'!G268/C262</f>
        <v>30.417116673261575</v>
      </c>
      <c r="E262" s="141">
        <f>'H) Péréquation directe'!I273/C262</f>
        <v>18.99914839447856</v>
      </c>
      <c r="F262" s="114">
        <f>+'I) Dépenses thématiques'!O262/'J) Plafonnement effort'!C262</f>
        <v>0</v>
      </c>
      <c r="G262" s="141">
        <f t="shared" ref="G262:G313" si="17">SUM(D262:F262)</f>
        <v>49.416265067740134</v>
      </c>
      <c r="H262" s="332">
        <f t="shared" ref="H262:H313" si="18">IF(G262&gt;H$4,H$4-G262,0)</f>
        <v>-4.4162650677401345</v>
      </c>
      <c r="I262" s="57">
        <f t="shared" ref="I262:I313" si="19">H262*C262</f>
        <v>-351869.58477220143</v>
      </c>
      <c r="J262" s="33">
        <f t="shared" ref="J262:J313" si="20">G262+H262</f>
        <v>45</v>
      </c>
    </row>
    <row r="263" spans="1:10" x14ac:dyDescent="0.25">
      <c r="A263" s="49">
        <f>'A) Base RI'!A265</f>
        <v>5856</v>
      </c>
      <c r="B263" s="285" t="str">
        <f>'A) Base RI'!B265</f>
        <v>Essertines-sur-Rolle</v>
      </c>
      <c r="C263" s="98">
        <f>'B) D RI'!U265</f>
        <v>36504.775588235294</v>
      </c>
      <c r="D263" s="114">
        <f>'E) Fact soc'!G269/C263</f>
        <v>17.369764581331324</v>
      </c>
      <c r="E263" s="141">
        <f>'H) Péréquation directe'!I274/C263</f>
        <v>17.521975620099475</v>
      </c>
      <c r="F263" s="114">
        <f>+'I) Dépenses thématiques'!O263/'J) Plafonnement effort'!C263</f>
        <v>0</v>
      </c>
      <c r="G263" s="141">
        <f t="shared" si="17"/>
        <v>34.8917402014308</v>
      </c>
      <c r="H263" s="332">
        <f t="shared" si="18"/>
        <v>0</v>
      </c>
      <c r="I263" s="57">
        <f t="shared" si="19"/>
        <v>0</v>
      </c>
      <c r="J263" s="33">
        <f t="shared" si="20"/>
        <v>34.8917402014308</v>
      </c>
    </row>
    <row r="264" spans="1:10" x14ac:dyDescent="0.25">
      <c r="A264" s="49">
        <f>'A) Base RI'!A266</f>
        <v>5857</v>
      </c>
      <c r="B264" s="285" t="str">
        <f>'A) Base RI'!B266</f>
        <v>Gilly</v>
      </c>
      <c r="C264" s="98">
        <f>'B) D RI'!U266</f>
        <v>85344.541363636366</v>
      </c>
      <c r="D264" s="114">
        <f>'E) Fact soc'!G270/C264</f>
        <v>21.254221136367978</v>
      </c>
      <c r="E264" s="141">
        <f>'H) Péréquation directe'!I275/C264</f>
        <v>17.009660549261238</v>
      </c>
      <c r="F264" s="114">
        <f>+'I) Dépenses thématiques'!O264/'J) Plafonnement effort'!C264</f>
        <v>0</v>
      </c>
      <c r="G264" s="141">
        <f t="shared" si="17"/>
        <v>38.263881685629215</v>
      </c>
      <c r="H264" s="332">
        <f t="shared" si="18"/>
        <v>0</v>
      </c>
      <c r="I264" s="57">
        <f t="shared" si="19"/>
        <v>0</v>
      </c>
      <c r="J264" s="33">
        <f t="shared" si="20"/>
        <v>38.263881685629215</v>
      </c>
    </row>
    <row r="265" spans="1:10" x14ac:dyDescent="0.25">
      <c r="A265" s="49">
        <f>'A) Base RI'!A267</f>
        <v>5858</v>
      </c>
      <c r="B265" s="285" t="str">
        <f>'A) Base RI'!B267</f>
        <v>Luins</v>
      </c>
      <c r="C265" s="98">
        <f>'B) D RI'!U267</f>
        <v>46698.811277777771</v>
      </c>
      <c r="D265" s="114">
        <f>'E) Fact soc'!G271/C265</f>
        <v>21.553748988297006</v>
      </c>
      <c r="E265" s="141">
        <f>'H) Péréquation directe'!I276/C265</f>
        <v>18.336081617220451</v>
      </c>
      <c r="F265" s="114">
        <f>+'I) Dépenses thématiques'!O265/'J) Plafonnement effort'!C265</f>
        <v>0</v>
      </c>
      <c r="G265" s="141">
        <f t="shared" si="17"/>
        <v>39.88983060551746</v>
      </c>
      <c r="H265" s="332">
        <f t="shared" si="18"/>
        <v>0</v>
      </c>
      <c r="I265" s="57">
        <f t="shared" si="19"/>
        <v>0</v>
      </c>
      <c r="J265" s="33">
        <f t="shared" si="20"/>
        <v>39.88983060551746</v>
      </c>
    </row>
    <row r="266" spans="1:10" x14ac:dyDescent="0.25">
      <c r="A266" s="49">
        <f>'A) Base RI'!A268</f>
        <v>5859</v>
      </c>
      <c r="B266" s="285" t="str">
        <f>'A) Base RI'!B268</f>
        <v>Mont-sur-Rolle</v>
      </c>
      <c r="C266" s="98">
        <f>'B) D RI'!U268</f>
        <v>136402.77030769232</v>
      </c>
      <c r="D266" s="114">
        <f>'E) Fact soc'!G272/C266</f>
        <v>20.639715710986501</v>
      </c>
      <c r="E266" s="141">
        <f>'H) Péréquation directe'!I277/C266</f>
        <v>14.760967259260347</v>
      </c>
      <c r="F266" s="114">
        <f>+'I) Dépenses thématiques'!O266/'J) Plafonnement effort'!C266</f>
        <v>0</v>
      </c>
      <c r="G266" s="141">
        <f t="shared" si="17"/>
        <v>35.400682970246848</v>
      </c>
      <c r="H266" s="332">
        <f t="shared" si="18"/>
        <v>0</v>
      </c>
      <c r="I266" s="57">
        <f t="shared" si="19"/>
        <v>0</v>
      </c>
      <c r="J266" s="33">
        <f t="shared" si="20"/>
        <v>35.400682970246848</v>
      </c>
    </row>
    <row r="267" spans="1:10" x14ac:dyDescent="0.25">
      <c r="A267" s="49">
        <f>'A) Base RI'!A269</f>
        <v>5860</v>
      </c>
      <c r="B267" s="285" t="str">
        <f>'A) Base RI'!B269</f>
        <v>Perroy</v>
      </c>
      <c r="C267" s="98">
        <f>'B) D RI'!U269</f>
        <v>102583.41574358974</v>
      </c>
      <c r="D267" s="114">
        <f>'E) Fact soc'!G273/C267</f>
        <v>21.845321184017553</v>
      </c>
      <c r="E267" s="141">
        <f>'H) Péréquation directe'!I278/C267</f>
        <v>17.077818137892667</v>
      </c>
      <c r="F267" s="114">
        <f>+'I) Dépenses thématiques'!O267/'J) Plafonnement effort'!C267</f>
        <v>-19.702411613653489</v>
      </c>
      <c r="G267" s="141">
        <f t="shared" si="17"/>
        <v>19.220727708256732</v>
      </c>
      <c r="H267" s="332">
        <f t="shared" si="18"/>
        <v>0</v>
      </c>
      <c r="I267" s="57">
        <f t="shared" si="19"/>
        <v>0</v>
      </c>
      <c r="J267" s="33">
        <f t="shared" si="20"/>
        <v>19.220727708256732</v>
      </c>
    </row>
    <row r="268" spans="1:10" x14ac:dyDescent="0.25">
      <c r="A268" s="49">
        <f>'A) Base RI'!A270</f>
        <v>5861</v>
      </c>
      <c r="B268" s="285" t="str">
        <f>'A) Base RI'!B270</f>
        <v>Rolle</v>
      </c>
      <c r="C268" s="98">
        <f>'B) D RI'!U270</f>
        <v>762445.16588235286</v>
      </c>
      <c r="D268" s="114">
        <f>'E) Fact soc'!G274/C268</f>
        <v>31.006662223177969</v>
      </c>
      <c r="E268" s="141">
        <f>'H) Péréquation directe'!I279/C268</f>
        <v>16.616364961428594</v>
      </c>
      <c r="F268" s="114">
        <f>+'I) Dépenses thématiques'!O268/'J) Plafonnement effort'!C268</f>
        <v>0</v>
      </c>
      <c r="G268" s="141">
        <f t="shared" si="17"/>
        <v>47.623027184606563</v>
      </c>
      <c r="H268" s="332">
        <f t="shared" si="18"/>
        <v>-2.6230271846065634</v>
      </c>
      <c r="I268" s="57">
        <f t="shared" si="19"/>
        <v>-1999914.3968812721</v>
      </c>
      <c r="J268" s="33">
        <f t="shared" si="20"/>
        <v>45</v>
      </c>
    </row>
    <row r="269" spans="1:10" x14ac:dyDescent="0.25">
      <c r="A269" s="49">
        <f>'A) Base RI'!A271</f>
        <v>5862</v>
      </c>
      <c r="B269" s="285" t="str">
        <f>'A) Base RI'!B271</f>
        <v>Tartegnin</v>
      </c>
      <c r="C269" s="98">
        <f>'B) D RI'!U271</f>
        <v>10955.91814814815</v>
      </c>
      <c r="D269" s="114">
        <f>'E) Fact soc'!G275/C269</f>
        <v>14.975126623095091</v>
      </c>
      <c r="E269" s="141">
        <f>'H) Péréquation directe'!I280/C269</f>
        <v>17.277692883901132</v>
      </c>
      <c r="F269" s="114">
        <f>+'I) Dépenses thématiques'!O269/'J) Plafonnement effort'!C269</f>
        <v>0</v>
      </c>
      <c r="G269" s="141">
        <f t="shared" si="17"/>
        <v>32.252819506996225</v>
      </c>
      <c r="H269" s="332">
        <f t="shared" si="18"/>
        <v>0</v>
      </c>
      <c r="I269" s="57">
        <f t="shared" si="19"/>
        <v>0</v>
      </c>
      <c r="J269" s="33">
        <f t="shared" si="20"/>
        <v>32.252819506996225</v>
      </c>
    </row>
    <row r="270" spans="1:10" x14ac:dyDescent="0.25">
      <c r="A270" s="49">
        <f>'A) Base RI'!A272</f>
        <v>5863</v>
      </c>
      <c r="B270" s="285" t="str">
        <f>'A) Base RI'!B272</f>
        <v>Vinzel</v>
      </c>
      <c r="C270" s="98">
        <f>'B) D RI'!U272</f>
        <v>17885.432686567161</v>
      </c>
      <c r="D270" s="114">
        <f>'E) Fact soc'!G276/C270</f>
        <v>18.301051975037549</v>
      </c>
      <c r="E270" s="141">
        <f>'H) Péréquation directe'!I281/C270</f>
        <v>17.513141261365952</v>
      </c>
      <c r="F270" s="114">
        <f>+'I) Dépenses thématiques'!O270/'J) Plafonnement effort'!C270</f>
        <v>0</v>
      </c>
      <c r="G270" s="141">
        <f t="shared" si="17"/>
        <v>35.814193236403497</v>
      </c>
      <c r="H270" s="332">
        <f t="shared" si="18"/>
        <v>0</v>
      </c>
      <c r="I270" s="57">
        <f t="shared" si="19"/>
        <v>0</v>
      </c>
      <c r="J270" s="33">
        <f t="shared" si="20"/>
        <v>35.814193236403497</v>
      </c>
    </row>
    <row r="271" spans="1:10" x14ac:dyDescent="0.25">
      <c r="A271" s="49">
        <f>'A) Base RI'!A273</f>
        <v>5871</v>
      </c>
      <c r="B271" s="285" t="str">
        <f>'A) Base RI'!B273</f>
        <v>L'Abbaye</v>
      </c>
      <c r="C271" s="98">
        <f>'B) D RI'!U273</f>
        <v>46763.12603092783</v>
      </c>
      <c r="D271" s="114">
        <f>'E) Fact soc'!G277/C271</f>
        <v>21.747765853468586</v>
      </c>
      <c r="E271" s="141">
        <f>'H) Péréquation directe'!I282/C271</f>
        <v>1.9606733056631427</v>
      </c>
      <c r="F271" s="114">
        <f>+'I) Dépenses thématiques'!O271/'J) Plafonnement effort'!C271</f>
        <v>-8.4215745080584785</v>
      </c>
      <c r="G271" s="141">
        <f t="shared" si="17"/>
        <v>15.28686465107325</v>
      </c>
      <c r="H271" s="332">
        <f t="shared" si="18"/>
        <v>0</v>
      </c>
      <c r="I271" s="57">
        <f t="shared" si="19"/>
        <v>0</v>
      </c>
      <c r="J271" s="33">
        <f t="shared" si="20"/>
        <v>15.28686465107325</v>
      </c>
    </row>
    <row r="272" spans="1:10" x14ac:dyDescent="0.25">
      <c r="A272" s="49">
        <f>'A) Base RI'!A274</f>
        <v>5872</v>
      </c>
      <c r="B272" s="285" t="str">
        <f>'A) Base RI'!B274</f>
        <v>Le Chenit</v>
      </c>
      <c r="C272" s="98">
        <f>'B) D RI'!U274</f>
        <v>269128.75712823507</v>
      </c>
      <c r="D272" s="114">
        <f>'E) Fact soc'!G278/C272</f>
        <v>27.275967038657576</v>
      </c>
      <c r="E272" s="141">
        <f>'H) Péréquation directe'!I283/C272</f>
        <v>13.831886612803022</v>
      </c>
      <c r="F272" s="114">
        <f>+'I) Dépenses thématiques'!O272/'J) Plafonnement effort'!C272</f>
        <v>-4.3615403742879542</v>
      </c>
      <c r="G272" s="141">
        <f t="shared" si="17"/>
        <v>36.746313277172646</v>
      </c>
      <c r="H272" s="332">
        <f t="shared" si="18"/>
        <v>0</v>
      </c>
      <c r="I272" s="57">
        <f t="shared" si="19"/>
        <v>0</v>
      </c>
      <c r="J272" s="33">
        <f t="shared" si="20"/>
        <v>36.746313277172646</v>
      </c>
    </row>
    <row r="273" spans="1:10" x14ac:dyDescent="0.25">
      <c r="A273" s="49">
        <f>'A) Base RI'!A275</f>
        <v>5873</v>
      </c>
      <c r="B273" s="285" t="str">
        <f>'A) Base RI'!B275</f>
        <v>Le Lieu</v>
      </c>
      <c r="C273" s="98">
        <f>'B) D RI'!U275</f>
        <v>28965.792761904762</v>
      </c>
      <c r="D273" s="114">
        <f>'E) Fact soc'!G279/C273</f>
        <v>24.505037459794504</v>
      </c>
      <c r="E273" s="141">
        <f>'H) Péréquation directe'!I284/C273</f>
        <v>7.0968953844370768</v>
      </c>
      <c r="F273" s="114">
        <f>+'I) Dépenses thématiques'!O273/'J) Plafonnement effort'!C273</f>
        <v>-23.68210508958509</v>
      </c>
      <c r="G273" s="141">
        <f t="shared" si="17"/>
        <v>7.9198277546464908</v>
      </c>
      <c r="H273" s="332">
        <f t="shared" si="18"/>
        <v>0</v>
      </c>
      <c r="I273" s="57">
        <f t="shared" si="19"/>
        <v>0</v>
      </c>
      <c r="J273" s="33">
        <f t="shared" si="20"/>
        <v>7.9198277546464908</v>
      </c>
    </row>
    <row r="274" spans="1:10" x14ac:dyDescent="0.25">
      <c r="A274" s="49">
        <f>'A) Base RI'!A276</f>
        <v>5881</v>
      </c>
      <c r="B274" s="285" t="str">
        <f>'A) Base RI'!B276</f>
        <v>Blonay</v>
      </c>
      <c r="C274" s="98">
        <f>'B) D RI'!U276</f>
        <v>355898.72514285718</v>
      </c>
      <c r="D274" s="114">
        <f>'E) Fact soc'!G280/C274</f>
        <v>21.216181275702894</v>
      </c>
      <c r="E274" s="141">
        <f>'H) Péréquation directe'!I285/C274</f>
        <v>12.902833135217033</v>
      </c>
      <c r="F274" s="114">
        <f>+'I) Dépenses thématiques'!O274/'J) Plafonnement effort'!C274</f>
        <v>-1.6368224431483305</v>
      </c>
      <c r="G274" s="141">
        <f t="shared" si="17"/>
        <v>32.482191967771598</v>
      </c>
      <c r="H274" s="332">
        <f t="shared" si="18"/>
        <v>0</v>
      </c>
      <c r="I274" s="57">
        <f t="shared" si="19"/>
        <v>0</v>
      </c>
      <c r="J274" s="33">
        <f t="shared" si="20"/>
        <v>32.482191967771598</v>
      </c>
    </row>
    <row r="275" spans="1:10" x14ac:dyDescent="0.25">
      <c r="A275" s="49">
        <f>'A) Base RI'!A277</f>
        <v>5882</v>
      </c>
      <c r="B275" s="285" t="str">
        <f>'A) Base RI'!B277</f>
        <v>Chardonne</v>
      </c>
      <c r="C275" s="98">
        <f>'B) D RI'!U277</f>
        <v>184082.76117647055</v>
      </c>
      <c r="D275" s="114">
        <f>'E) Fact soc'!G281/C275</f>
        <v>24.55298255945554</v>
      </c>
      <c r="E275" s="141">
        <f>'H) Péréquation directe'!I286/C275</f>
        <v>15.415112763419671</v>
      </c>
      <c r="F275" s="114">
        <f>+'I) Dépenses thématiques'!O275/'J) Plafonnement effort'!C275</f>
        <v>-2.1531316134288843</v>
      </c>
      <c r="G275" s="141">
        <f t="shared" si="17"/>
        <v>37.814963709446332</v>
      </c>
      <c r="H275" s="332">
        <f t="shared" si="18"/>
        <v>0</v>
      </c>
      <c r="I275" s="57">
        <f t="shared" si="19"/>
        <v>0</v>
      </c>
      <c r="J275" s="33">
        <f t="shared" si="20"/>
        <v>37.814963709446332</v>
      </c>
    </row>
    <row r="276" spans="1:10" x14ac:dyDescent="0.25">
      <c r="A276" s="49">
        <f>'A) Base RI'!A278</f>
        <v>5883</v>
      </c>
      <c r="B276" s="285" t="str">
        <f>'A) Base RI'!B278</f>
        <v>Corseaux</v>
      </c>
      <c r="C276" s="98">
        <f>'B) D RI'!U278</f>
        <v>164555.95811594205</v>
      </c>
      <c r="D276" s="114">
        <f>'E) Fact soc'!G282/C276</f>
        <v>23.124239278784277</v>
      </c>
      <c r="E276" s="141">
        <f>'H) Péréquation directe'!I287/C276</f>
        <v>16.49211370903468</v>
      </c>
      <c r="F276" s="114">
        <f>+'I) Dépenses thématiques'!O276/'J) Plafonnement effort'!C276</f>
        <v>0</v>
      </c>
      <c r="G276" s="141">
        <f t="shared" si="17"/>
        <v>39.616352987818956</v>
      </c>
      <c r="H276" s="332">
        <f t="shared" si="18"/>
        <v>0</v>
      </c>
      <c r="I276" s="57">
        <f t="shared" si="19"/>
        <v>0</v>
      </c>
      <c r="J276" s="33">
        <f t="shared" si="20"/>
        <v>39.616352987818956</v>
      </c>
    </row>
    <row r="277" spans="1:10" x14ac:dyDescent="0.25">
      <c r="A277" s="49">
        <f>'A) Base RI'!A279</f>
        <v>5884</v>
      </c>
      <c r="B277" s="285" t="str">
        <f>'A) Base RI'!B279</f>
        <v>Corsier-sur-Vevey</v>
      </c>
      <c r="C277" s="98">
        <f>'B) D RI'!U279</f>
        <v>127106.22217171718</v>
      </c>
      <c r="D277" s="114">
        <f>'E) Fact soc'!G283/C277</f>
        <v>17.663248578100497</v>
      </c>
      <c r="E277" s="141">
        <f>'H) Péréquation directe'!I288/C277</f>
        <v>7.7910745615787587</v>
      </c>
      <c r="F277" s="114">
        <f>+'I) Dépenses thématiques'!O277/'J) Plafonnement effort'!C277</f>
        <v>-11.181433038734399</v>
      </c>
      <c r="G277" s="141">
        <f t="shared" si="17"/>
        <v>14.272890100944855</v>
      </c>
      <c r="H277" s="332">
        <f t="shared" si="18"/>
        <v>0</v>
      </c>
      <c r="I277" s="57">
        <f t="shared" si="19"/>
        <v>0</v>
      </c>
      <c r="J277" s="33">
        <f t="shared" si="20"/>
        <v>14.272890100944855</v>
      </c>
    </row>
    <row r="278" spans="1:10" x14ac:dyDescent="0.25">
      <c r="A278" s="49">
        <f>'A) Base RI'!A280</f>
        <v>5885</v>
      </c>
      <c r="B278" s="285" t="str">
        <f>'A) Base RI'!B280</f>
        <v>Jongny</v>
      </c>
      <c r="C278" s="98">
        <f>'B) D RI'!U280</f>
        <v>79120.74528169015</v>
      </c>
      <c r="D278" s="114">
        <f>'E) Fact soc'!G284/C278</f>
        <v>19.542458129371518</v>
      </c>
      <c r="E278" s="141">
        <f>'H) Péréquation directe'!I289/C278</f>
        <v>16.000326732652681</v>
      </c>
      <c r="F278" s="114">
        <f>+'I) Dépenses thématiques'!O278/'J) Plafonnement effort'!C278</f>
        <v>-1.472028031879542</v>
      </c>
      <c r="G278" s="141">
        <f t="shared" si="17"/>
        <v>34.07075683014466</v>
      </c>
      <c r="H278" s="332">
        <f t="shared" si="18"/>
        <v>0</v>
      </c>
      <c r="I278" s="57">
        <f t="shared" si="19"/>
        <v>0</v>
      </c>
      <c r="J278" s="33">
        <f t="shared" si="20"/>
        <v>34.07075683014466</v>
      </c>
    </row>
    <row r="279" spans="1:10" x14ac:dyDescent="0.25">
      <c r="A279" s="49">
        <f>'A) Base RI'!A281</f>
        <v>5886</v>
      </c>
      <c r="B279" s="285" t="str">
        <f>'A) Base RI'!B281</f>
        <v>Montreux</v>
      </c>
      <c r="C279" s="98">
        <f>'B) D RI'!U281</f>
        <v>1142059.586051282</v>
      </c>
      <c r="D279" s="114">
        <f>'E) Fact soc'!G285/C279</f>
        <v>21.79335501023807</v>
      </c>
      <c r="E279" s="141">
        <f>'H) Péréquation directe'!I290/C279</f>
        <v>-8.30111839949432E-2</v>
      </c>
      <c r="F279" s="114">
        <f>+'I) Dépenses thématiques'!O279/'J) Plafonnement effort'!C279</f>
        <v>-4.6507042828903895</v>
      </c>
      <c r="G279" s="141">
        <f t="shared" si="17"/>
        <v>17.059639543352738</v>
      </c>
      <c r="H279" s="332">
        <f t="shared" si="18"/>
        <v>0</v>
      </c>
      <c r="I279" s="57">
        <f t="shared" si="19"/>
        <v>0</v>
      </c>
      <c r="J279" s="33">
        <f t="shared" si="20"/>
        <v>17.059639543352738</v>
      </c>
    </row>
    <row r="280" spans="1:10" x14ac:dyDescent="0.25">
      <c r="A280" s="49">
        <f>'A) Base RI'!A282</f>
        <v>5888</v>
      </c>
      <c r="B280" s="285" t="str">
        <f>'A) Base RI'!B282</f>
        <v>Saint-Légier-La Chiésaz</v>
      </c>
      <c r="C280" s="98">
        <f>'B) D RI'!U282</f>
        <v>338249.0701666667</v>
      </c>
      <c r="D280" s="114">
        <f>'E) Fact soc'!G286/C280</f>
        <v>22.087358295312278</v>
      </c>
      <c r="E280" s="141">
        <f>'H) Péréquation directe'!I291/C280</f>
        <v>14.150906940201118</v>
      </c>
      <c r="F280" s="114">
        <f>+'I) Dépenses thématiques'!O280/'J) Plafonnement effort'!C280</f>
        <v>-0.61711077070485054</v>
      </c>
      <c r="G280" s="141">
        <f t="shared" si="17"/>
        <v>35.621154464808548</v>
      </c>
      <c r="H280" s="332">
        <f t="shared" si="18"/>
        <v>0</v>
      </c>
      <c r="I280" s="57">
        <f t="shared" si="19"/>
        <v>0</v>
      </c>
      <c r="J280" s="33">
        <f t="shared" si="20"/>
        <v>35.621154464808548</v>
      </c>
    </row>
    <row r="281" spans="1:10" x14ac:dyDescent="0.25">
      <c r="A281" s="49">
        <f>'A) Base RI'!A283</f>
        <v>5889</v>
      </c>
      <c r="B281" s="285" t="str">
        <f>'A) Base RI'!B283</f>
        <v>La Tour-de-Peilz</v>
      </c>
      <c r="C281" s="98">
        <f>'B) D RI'!U283</f>
        <v>693156.74124999996</v>
      </c>
      <c r="D281" s="114">
        <f>'E) Fact soc'!G287/C281</f>
        <v>20.133939768252141</v>
      </c>
      <c r="E281" s="141">
        <f>'H) Péréquation directe'!I292/C281</f>
        <v>10.299250775538603</v>
      </c>
      <c r="F281" s="114">
        <f>+'I) Dépenses thématiques'!O281/'J) Plafonnement effort'!C281</f>
        <v>0</v>
      </c>
      <c r="G281" s="141">
        <f t="shared" si="17"/>
        <v>30.433190543790744</v>
      </c>
      <c r="H281" s="332">
        <f t="shared" si="18"/>
        <v>0</v>
      </c>
      <c r="I281" s="57">
        <f t="shared" si="19"/>
        <v>0</v>
      </c>
      <c r="J281" s="33">
        <f t="shared" si="20"/>
        <v>30.433190543790744</v>
      </c>
    </row>
    <row r="282" spans="1:10" x14ac:dyDescent="0.25">
      <c r="A282" s="49">
        <f>'A) Base RI'!A284</f>
        <v>5890</v>
      </c>
      <c r="B282" s="285" t="str">
        <f>'A) Base RI'!B284</f>
        <v>Vevey</v>
      </c>
      <c r="C282" s="98">
        <f>'B) D RI'!U284</f>
        <v>976839.63723684219</v>
      </c>
      <c r="D282" s="114">
        <f>'E) Fact soc'!G288/C282</f>
        <v>17.082317675176878</v>
      </c>
      <c r="E282" s="141">
        <f>'H) Péréquation directe'!I293/C282</f>
        <v>4.6874444665503088</v>
      </c>
      <c r="F282" s="114">
        <f>+'I) Dépenses thématiques'!O282/'J) Plafonnement effort'!C282</f>
        <v>-2.7927295815254638</v>
      </c>
      <c r="G282" s="141">
        <f t="shared" si="17"/>
        <v>18.977032560201721</v>
      </c>
      <c r="H282" s="332">
        <f t="shared" si="18"/>
        <v>0</v>
      </c>
      <c r="I282" s="57">
        <f t="shared" si="19"/>
        <v>0</v>
      </c>
      <c r="J282" s="33">
        <f t="shared" si="20"/>
        <v>18.977032560201721</v>
      </c>
    </row>
    <row r="283" spans="1:10" x14ac:dyDescent="0.25">
      <c r="A283" s="49">
        <f>'A) Base RI'!A285</f>
        <v>5891</v>
      </c>
      <c r="B283" s="285" t="str">
        <f>'A) Base RI'!B285</f>
        <v>Veytaux</v>
      </c>
      <c r="C283" s="98">
        <f>'B) D RI'!U285</f>
        <v>37197.97126760563</v>
      </c>
      <c r="D283" s="114">
        <f>'E) Fact soc'!G289/C283</f>
        <v>17.665793317464335</v>
      </c>
      <c r="E283" s="141">
        <f>'H) Péréquation directe'!I294/C283</f>
        <v>13.538689969061258</v>
      </c>
      <c r="F283" s="114">
        <f>+'I) Dépenses thématiques'!O283/'J) Plafonnement effort'!C283</f>
        <v>-23.670730783318618</v>
      </c>
      <c r="G283" s="141">
        <f t="shared" si="17"/>
        <v>7.5337525032069763</v>
      </c>
      <c r="H283" s="332">
        <f t="shared" si="18"/>
        <v>0</v>
      </c>
      <c r="I283" s="57">
        <f t="shared" si="19"/>
        <v>0</v>
      </c>
      <c r="J283" s="33">
        <f t="shared" si="20"/>
        <v>7.5337525032069763</v>
      </c>
    </row>
    <row r="284" spans="1:10" x14ac:dyDescent="0.25">
      <c r="A284" s="49">
        <f>'A) Base RI'!A286</f>
        <v>5902</v>
      </c>
      <c r="B284" s="285" t="str">
        <f>'A) Base RI'!B286</f>
        <v>Belmont-sur-Yverdon</v>
      </c>
      <c r="C284" s="98">
        <f>'B) D RI'!U286</f>
        <v>10777.690131578949</v>
      </c>
      <c r="D284" s="114">
        <f>'E) Fact soc'!G290/C284</f>
        <v>35.8029724817847</v>
      </c>
      <c r="E284" s="141">
        <f>'H) Péréquation directe'!I295/C284</f>
        <v>1.1183947873911675</v>
      </c>
      <c r="F284" s="114">
        <f>+'I) Dépenses thématiques'!O284/'J) Plafonnement effort'!C284</f>
        <v>-0.86106580102709862</v>
      </c>
      <c r="G284" s="141">
        <f t="shared" si="17"/>
        <v>36.060301468148772</v>
      </c>
      <c r="H284" s="332">
        <f t="shared" si="18"/>
        <v>0</v>
      </c>
      <c r="I284" s="57">
        <f t="shared" si="19"/>
        <v>0</v>
      </c>
      <c r="J284" s="33">
        <f t="shared" si="20"/>
        <v>36.060301468148772</v>
      </c>
    </row>
    <row r="285" spans="1:10" x14ac:dyDescent="0.25">
      <c r="A285" s="49">
        <f>'A) Base RI'!A287</f>
        <v>5903</v>
      </c>
      <c r="B285" s="285" t="str">
        <f>'A) Base RI'!B287</f>
        <v>Bioley-Magnoux</v>
      </c>
      <c r="C285" s="98">
        <f>'B) D RI'!U287</f>
        <v>6482.7722393822396</v>
      </c>
      <c r="D285" s="114">
        <f>'E) Fact soc'!G291/C285</f>
        <v>15.847464546030368</v>
      </c>
      <c r="E285" s="141">
        <f>'H) Péréquation directe'!I296/C285</f>
        <v>1.3350883984807169</v>
      </c>
      <c r="F285" s="114">
        <f>+'I) Dépenses thématiques'!O285/'J) Plafonnement effort'!C285</f>
        <v>-32.256186188853228</v>
      </c>
      <c r="G285" s="141">
        <f t="shared" si="17"/>
        <v>-15.073633244342144</v>
      </c>
      <c r="H285" s="332">
        <f t="shared" si="18"/>
        <v>0</v>
      </c>
      <c r="I285" s="57">
        <f t="shared" si="19"/>
        <v>0</v>
      </c>
      <c r="J285" s="33">
        <f t="shared" si="20"/>
        <v>-15.073633244342144</v>
      </c>
    </row>
    <row r="286" spans="1:10" x14ac:dyDescent="0.25">
      <c r="A286" s="49">
        <f>'A) Base RI'!A288</f>
        <v>5904</v>
      </c>
      <c r="B286" s="285" t="str">
        <f>'A) Base RI'!B288</f>
        <v>Chamblon</v>
      </c>
      <c r="C286" s="98">
        <f>'B) D RI'!U288</f>
        <v>21977.410303030305</v>
      </c>
      <c r="D286" s="114">
        <f>'E) Fact soc'!G292/C286</f>
        <v>15.894073834841556</v>
      </c>
      <c r="E286" s="141">
        <f>'H) Péréquation directe'!I297/C286</f>
        <v>14.196800301561593</v>
      </c>
      <c r="F286" s="114">
        <f>+'I) Dépenses thématiques'!O286/'J) Plafonnement effort'!C286</f>
        <v>0</v>
      </c>
      <c r="G286" s="141">
        <f t="shared" si="17"/>
        <v>30.090874136403151</v>
      </c>
      <c r="H286" s="332">
        <f t="shared" si="18"/>
        <v>0</v>
      </c>
      <c r="I286" s="57">
        <f t="shared" si="19"/>
        <v>0</v>
      </c>
      <c r="J286" s="33">
        <f t="shared" si="20"/>
        <v>30.090874136403151</v>
      </c>
    </row>
    <row r="287" spans="1:10" x14ac:dyDescent="0.25">
      <c r="A287" s="49">
        <f>'A) Base RI'!A289</f>
        <v>5905</v>
      </c>
      <c r="B287" s="285" t="str">
        <f>'A) Base RI'!B289</f>
        <v>Champvent</v>
      </c>
      <c r="C287" s="98">
        <f>'B) D RI'!U289</f>
        <v>23661.341690140842</v>
      </c>
      <c r="D287" s="114">
        <f>'E) Fact soc'!G293/C287</f>
        <v>22.154939418978497</v>
      </c>
      <c r="E287" s="141">
        <f>'H) Péréquation directe'!I298/C287</f>
        <v>8.9188744456980604</v>
      </c>
      <c r="F287" s="114">
        <f>+'I) Dépenses thématiques'!O287/'J) Plafonnement effort'!C287</f>
        <v>-1.2884974914824314</v>
      </c>
      <c r="G287" s="141">
        <f t="shared" si="17"/>
        <v>29.785316373194128</v>
      </c>
      <c r="H287" s="332">
        <f t="shared" si="18"/>
        <v>0</v>
      </c>
      <c r="I287" s="57">
        <f t="shared" si="19"/>
        <v>0</v>
      </c>
      <c r="J287" s="33">
        <f t="shared" si="20"/>
        <v>29.785316373194128</v>
      </c>
    </row>
    <row r="288" spans="1:10" x14ac:dyDescent="0.25">
      <c r="A288" s="49">
        <f>'A) Base RI'!A290</f>
        <v>5907</v>
      </c>
      <c r="B288" s="285" t="str">
        <f>'A) Base RI'!B290</f>
        <v>Chavannes-le-Chêne</v>
      </c>
      <c r="C288" s="98">
        <f>'B) D RI'!U290</f>
        <v>9481.5466666666634</v>
      </c>
      <c r="D288" s="114">
        <f>'E) Fact soc'!G294/C288</f>
        <v>15.272132012348846</v>
      </c>
      <c r="E288" s="141">
        <f>'H) Péréquation directe'!I299/C288</f>
        <v>2.7401720415810411</v>
      </c>
      <c r="F288" s="114">
        <f>+'I) Dépenses thématiques'!O288/'J) Plafonnement effort'!C288</f>
        <v>-8.5425860548775834</v>
      </c>
      <c r="G288" s="141">
        <f t="shared" si="17"/>
        <v>9.469717999052305</v>
      </c>
      <c r="H288" s="332">
        <f t="shared" si="18"/>
        <v>0</v>
      </c>
      <c r="I288" s="57">
        <f t="shared" si="19"/>
        <v>0</v>
      </c>
      <c r="J288" s="33">
        <f t="shared" si="20"/>
        <v>9.469717999052305</v>
      </c>
    </row>
    <row r="289" spans="1:10" x14ac:dyDescent="0.25">
      <c r="A289" s="49">
        <f>'A) Base RI'!A291</f>
        <v>5908</v>
      </c>
      <c r="B289" s="285" t="str">
        <f>'A) Base RI'!B291</f>
        <v>Chêne-Pâquier</v>
      </c>
      <c r="C289" s="98">
        <f>'B) D RI'!U291</f>
        <v>3375.4056962025325</v>
      </c>
      <c r="D289" s="114">
        <f>'E) Fact soc'!G295/C289</f>
        <v>15.383243780718825</v>
      </c>
      <c r="E289" s="141">
        <f>'H) Péréquation directe'!I300/C289</f>
        <v>-13.760745515901394</v>
      </c>
      <c r="F289" s="114">
        <f>+'I) Dépenses thématiques'!O289/'J) Plafonnement effort'!C289</f>
        <v>-7.0963538765161154</v>
      </c>
      <c r="G289" s="141">
        <f t="shared" si="17"/>
        <v>-5.473855611698685</v>
      </c>
      <c r="H289" s="332">
        <f t="shared" si="18"/>
        <v>0</v>
      </c>
      <c r="I289" s="57">
        <f t="shared" si="19"/>
        <v>0</v>
      </c>
      <c r="J289" s="33">
        <f t="shared" si="20"/>
        <v>-5.473855611698685</v>
      </c>
    </row>
    <row r="290" spans="1:10" x14ac:dyDescent="0.25">
      <c r="A290" s="49">
        <f>'A) Base RI'!A292</f>
        <v>5909</v>
      </c>
      <c r="B290" s="285" t="str">
        <f>'A) Base RI'!B292</f>
        <v>Cheseaux-Noréaz</v>
      </c>
      <c r="C290" s="98">
        <f>'B) D RI'!U292</f>
        <v>32349.342000000001</v>
      </c>
      <c r="D290" s="114">
        <f>'E) Fact soc'!G296/C290</f>
        <v>18.140210658272903</v>
      </c>
      <c r="E290" s="141">
        <f>'H) Péréquation directe'!I301/C290</f>
        <v>16.101976462602341</v>
      </c>
      <c r="F290" s="114">
        <f>+'I) Dépenses thématiques'!O290/'J) Plafonnement effort'!C290</f>
        <v>-3.3758030412015736</v>
      </c>
      <c r="G290" s="141">
        <f t="shared" si="17"/>
        <v>30.866384079673669</v>
      </c>
      <c r="H290" s="332">
        <f t="shared" si="18"/>
        <v>0</v>
      </c>
      <c r="I290" s="57">
        <f t="shared" si="19"/>
        <v>0</v>
      </c>
      <c r="J290" s="33">
        <f t="shared" si="20"/>
        <v>30.866384079673669</v>
      </c>
    </row>
    <row r="291" spans="1:10" x14ac:dyDescent="0.25">
      <c r="A291" s="49">
        <f>'A) Base RI'!A293</f>
        <v>5910</v>
      </c>
      <c r="B291" s="285" t="str">
        <f>'A) Base RI'!B293</f>
        <v>Cronay</v>
      </c>
      <c r="C291" s="98">
        <f>'B) D RI'!U293</f>
        <v>10200.577848101264</v>
      </c>
      <c r="D291" s="114">
        <f>'E) Fact soc'!G297/C291</f>
        <v>22.222899142632162</v>
      </c>
      <c r="E291" s="141">
        <f>'H) Péréquation directe'!I302/C291</f>
        <v>-5.1135981608245737</v>
      </c>
      <c r="F291" s="114">
        <f>+'I) Dépenses thématiques'!O291/'J) Plafonnement effort'!C291</f>
        <v>-9.5104191637927257E-2</v>
      </c>
      <c r="G291" s="141">
        <f t="shared" si="17"/>
        <v>17.014196790169663</v>
      </c>
      <c r="H291" s="332">
        <f t="shared" si="18"/>
        <v>0</v>
      </c>
      <c r="I291" s="57">
        <f t="shared" si="19"/>
        <v>0</v>
      </c>
      <c r="J291" s="33">
        <f t="shared" si="20"/>
        <v>17.014196790169663</v>
      </c>
    </row>
    <row r="292" spans="1:10" x14ac:dyDescent="0.25">
      <c r="A292" s="49">
        <f>'A) Base RI'!A294</f>
        <v>5911</v>
      </c>
      <c r="B292" s="285" t="str">
        <f>'A) Base RI'!B294</f>
        <v>Cuarny</v>
      </c>
      <c r="C292" s="98">
        <f>'B) D RI'!U294</f>
        <v>7836.9853164556971</v>
      </c>
      <c r="D292" s="114">
        <f>'E) Fact soc'!G298/C292</f>
        <v>13.71482915092527</v>
      </c>
      <c r="E292" s="141">
        <f>'H) Péréquation directe'!I303/C292</f>
        <v>5.3735363300824339</v>
      </c>
      <c r="F292" s="114">
        <f>+'I) Dépenses thématiques'!O292/'J) Plafonnement effort'!C292</f>
        <v>-1.8505131389879159</v>
      </c>
      <c r="G292" s="141">
        <f t="shared" si="17"/>
        <v>17.237852342019789</v>
      </c>
      <c r="H292" s="332">
        <f t="shared" si="18"/>
        <v>0</v>
      </c>
      <c r="I292" s="57">
        <f t="shared" si="19"/>
        <v>0</v>
      </c>
      <c r="J292" s="33">
        <f t="shared" si="20"/>
        <v>17.237852342019789</v>
      </c>
    </row>
    <row r="293" spans="1:10" x14ac:dyDescent="0.25">
      <c r="A293" s="49">
        <f>'A) Base RI'!A295</f>
        <v>5912</v>
      </c>
      <c r="B293" s="285" t="str">
        <f>'A) Base RI'!B295</f>
        <v>Démoret</v>
      </c>
      <c r="C293" s="98">
        <f>'B) D RI'!U295</f>
        <v>3965.4814814814822</v>
      </c>
      <c r="D293" s="114">
        <f>'E) Fact soc'!G299/C293</f>
        <v>14.691171416609194</v>
      </c>
      <c r="E293" s="141">
        <f>'H) Péréquation directe'!I304/C293</f>
        <v>-7.1168812266613557</v>
      </c>
      <c r="F293" s="114">
        <f>+'I) Dépenses thématiques'!O293/'J) Plafonnement effort'!C293</f>
        <v>-4.3311223118628437</v>
      </c>
      <c r="G293" s="141">
        <f t="shared" si="17"/>
        <v>3.2431678780849946</v>
      </c>
      <c r="H293" s="332">
        <f t="shared" si="18"/>
        <v>0</v>
      </c>
      <c r="I293" s="57">
        <f t="shared" si="19"/>
        <v>0</v>
      </c>
      <c r="J293" s="33">
        <f t="shared" si="20"/>
        <v>3.2431678780849946</v>
      </c>
    </row>
    <row r="294" spans="1:10" x14ac:dyDescent="0.25">
      <c r="A294" s="49">
        <f>'A) Base RI'!A296</f>
        <v>5913</v>
      </c>
      <c r="B294" s="285" t="str">
        <f>'A) Base RI'!B296</f>
        <v>Donneloye</v>
      </c>
      <c r="C294" s="98">
        <f>'B) D RI'!U296</f>
        <v>21603.148082191776</v>
      </c>
      <c r="D294" s="114">
        <f>'E) Fact soc'!G300/C294</f>
        <v>18.534562883635427</v>
      </c>
      <c r="E294" s="141">
        <f>'H) Péréquation directe'!I305/C294</f>
        <v>-1.5594383009091033</v>
      </c>
      <c r="F294" s="114">
        <f>+'I) Dépenses thématiques'!O294/'J) Plafonnement effort'!C294</f>
        <v>-2.5594740475472286</v>
      </c>
      <c r="G294" s="141">
        <f t="shared" si="17"/>
        <v>14.415650535179095</v>
      </c>
      <c r="H294" s="332">
        <f t="shared" si="18"/>
        <v>0</v>
      </c>
      <c r="I294" s="57">
        <f t="shared" si="19"/>
        <v>0</v>
      </c>
      <c r="J294" s="33">
        <f t="shared" si="20"/>
        <v>14.415650535179095</v>
      </c>
    </row>
    <row r="295" spans="1:10" x14ac:dyDescent="0.25">
      <c r="A295" s="49">
        <f>'A) Base RI'!A297</f>
        <v>5914</v>
      </c>
      <c r="B295" s="285" t="str">
        <f>'A) Base RI'!B297</f>
        <v>Ependes</v>
      </c>
      <c r="C295" s="98">
        <f>'B) D RI'!U297</f>
        <v>10115.447866666666</v>
      </c>
      <c r="D295" s="114">
        <f>'E) Fact soc'!G301/C295</f>
        <v>15.802085648793659</v>
      </c>
      <c r="E295" s="141">
        <f>'H) Péréquation directe'!I306/C295</f>
        <v>0.8034027719993746</v>
      </c>
      <c r="F295" s="114">
        <f>+'I) Dépenses thématiques'!O295/'J) Plafonnement effort'!C295</f>
        <v>-4.6344244499956195</v>
      </c>
      <c r="G295" s="141">
        <f t="shared" si="17"/>
        <v>11.971063970797413</v>
      </c>
      <c r="H295" s="332">
        <f t="shared" si="18"/>
        <v>0</v>
      </c>
      <c r="I295" s="57">
        <f t="shared" si="19"/>
        <v>0</v>
      </c>
      <c r="J295" s="33">
        <f t="shared" si="20"/>
        <v>11.971063970797413</v>
      </c>
    </row>
    <row r="296" spans="1:10" x14ac:dyDescent="0.25">
      <c r="A296" s="49">
        <f>'A) Base RI'!A298</f>
        <v>5919</v>
      </c>
      <c r="B296" s="285" t="str">
        <f>'A) Base RI'!B298</f>
        <v>Mathod</v>
      </c>
      <c r="C296" s="98">
        <f>'B) D RI'!U298</f>
        <v>17475.442962962959</v>
      </c>
      <c r="D296" s="114">
        <f>'E) Fact soc'!G302/C296</f>
        <v>16.445638531690641</v>
      </c>
      <c r="E296" s="141">
        <f>'H) Péréquation directe'!I307/C296</f>
        <v>2.9465086843002122</v>
      </c>
      <c r="F296" s="114">
        <f>+'I) Dépenses thématiques'!O296/'J) Plafonnement effort'!C296</f>
        <v>-5.194526279944033</v>
      </c>
      <c r="G296" s="141">
        <f t="shared" si="17"/>
        <v>14.197620936046821</v>
      </c>
      <c r="H296" s="332">
        <f t="shared" si="18"/>
        <v>0</v>
      </c>
      <c r="I296" s="57">
        <f t="shared" si="19"/>
        <v>0</v>
      </c>
      <c r="J296" s="33">
        <f t="shared" si="20"/>
        <v>14.197620936046821</v>
      </c>
    </row>
    <row r="297" spans="1:10" x14ac:dyDescent="0.25">
      <c r="A297" s="49">
        <f>'A) Base RI'!A299</f>
        <v>5921</v>
      </c>
      <c r="B297" s="285" t="str">
        <f>'A) Base RI'!B299</f>
        <v>Molondin</v>
      </c>
      <c r="C297" s="98">
        <f>'B) D RI'!U299</f>
        <v>5665.6146913580242</v>
      </c>
      <c r="D297" s="114">
        <f>'E) Fact soc'!G303/C297</f>
        <v>18.504552872456372</v>
      </c>
      <c r="E297" s="141">
        <f>'H) Péréquation directe'!I308/C297</f>
        <v>-11.195124751904125</v>
      </c>
      <c r="F297" s="114">
        <f>+'I) Dépenses thématiques'!O297/'J) Plafonnement effort'!C297</f>
        <v>-6.529063831034418</v>
      </c>
      <c r="G297" s="141">
        <f t="shared" si="17"/>
        <v>0.78036428951782977</v>
      </c>
      <c r="H297" s="332">
        <f t="shared" si="18"/>
        <v>0</v>
      </c>
      <c r="I297" s="57">
        <f t="shared" si="19"/>
        <v>0</v>
      </c>
      <c r="J297" s="33">
        <f t="shared" si="20"/>
        <v>0.78036428951782977</v>
      </c>
    </row>
    <row r="298" spans="1:10" x14ac:dyDescent="0.25">
      <c r="A298" s="49">
        <f>'A) Base RI'!A300</f>
        <v>5922</v>
      </c>
      <c r="B298" s="285" t="str">
        <f>'A) Base RI'!B300</f>
        <v>Montagny-près-Yverdon</v>
      </c>
      <c r="C298" s="98">
        <f>'B) D RI'!U300</f>
        <v>37619.371576923077</v>
      </c>
      <c r="D298" s="114">
        <f>'E) Fact soc'!G304/C298</f>
        <v>19.857881198774127</v>
      </c>
      <c r="E298" s="141">
        <f>'H) Péréquation directe'!I309/C298</f>
        <v>17.512106618790956</v>
      </c>
      <c r="F298" s="114">
        <f>+'I) Dépenses thématiques'!O298/'J) Plafonnement effort'!C298</f>
        <v>-5.3506434981837732</v>
      </c>
      <c r="G298" s="141">
        <f t="shared" si="17"/>
        <v>32.019344319381311</v>
      </c>
      <c r="H298" s="332">
        <f t="shared" si="18"/>
        <v>0</v>
      </c>
      <c r="I298" s="57">
        <f t="shared" si="19"/>
        <v>0</v>
      </c>
      <c r="J298" s="33">
        <f t="shared" si="20"/>
        <v>32.019344319381311</v>
      </c>
    </row>
    <row r="299" spans="1:10" x14ac:dyDescent="0.25">
      <c r="A299" s="49">
        <f>'A) Base RI'!A301</f>
        <v>5923</v>
      </c>
      <c r="B299" s="285" t="str">
        <f>'A) Base RI'!B301</f>
        <v>Oppens</v>
      </c>
      <c r="C299" s="98">
        <f>'B) D RI'!U301</f>
        <v>5399.502592592592</v>
      </c>
      <c r="D299" s="114">
        <f>'E) Fact soc'!G305/C299</f>
        <v>17.336070600395466</v>
      </c>
      <c r="E299" s="141">
        <f>'H) Péréquation directe'!I310/C299</f>
        <v>-4.5135720323351647</v>
      </c>
      <c r="F299" s="114">
        <f>+'I) Dépenses thématiques'!O299/'J) Plafonnement effort'!C299</f>
        <v>-5.684358699107813</v>
      </c>
      <c r="G299" s="141">
        <f t="shared" si="17"/>
        <v>7.1381398689524875</v>
      </c>
      <c r="H299" s="332">
        <f t="shared" si="18"/>
        <v>0</v>
      </c>
      <c r="I299" s="57">
        <f t="shared" si="19"/>
        <v>0</v>
      </c>
      <c r="J299" s="33">
        <f t="shared" si="20"/>
        <v>7.1381398689524875</v>
      </c>
    </row>
    <row r="300" spans="1:10" x14ac:dyDescent="0.25">
      <c r="A300" s="49">
        <f>'A) Base RI'!A302</f>
        <v>5924</v>
      </c>
      <c r="B300" s="285" t="str">
        <f>'A) Base RI'!B302</f>
        <v>Orges</v>
      </c>
      <c r="C300" s="98">
        <f>'B) D RI'!U302</f>
        <v>11911.353243243244</v>
      </c>
      <c r="D300" s="114">
        <f>'E) Fact soc'!G306/C300</f>
        <v>18.702736183786691</v>
      </c>
      <c r="E300" s="141">
        <f>'H) Péréquation directe'!I311/C300</f>
        <v>9.7081435195070185</v>
      </c>
      <c r="F300" s="114">
        <f>+'I) Dépenses thématiques'!O300/'J) Plafonnement effort'!C300</f>
        <v>0</v>
      </c>
      <c r="G300" s="141">
        <f t="shared" si="17"/>
        <v>28.410879703293709</v>
      </c>
      <c r="H300" s="332">
        <f t="shared" si="18"/>
        <v>0</v>
      </c>
      <c r="I300" s="57">
        <f t="shared" si="19"/>
        <v>0</v>
      </c>
      <c r="J300" s="33">
        <f t="shared" si="20"/>
        <v>28.410879703293709</v>
      </c>
    </row>
    <row r="301" spans="1:10" x14ac:dyDescent="0.25">
      <c r="A301" s="49">
        <f>'A) Base RI'!A303</f>
        <v>5925</v>
      </c>
      <c r="B301" s="285" t="str">
        <f>'A) Base RI'!B303</f>
        <v>Orzens</v>
      </c>
      <c r="C301" s="98">
        <f>'B) D RI'!U303</f>
        <v>5348.3883544303808</v>
      </c>
      <c r="D301" s="114">
        <f>'E) Fact soc'!G307/C301</f>
        <v>32.520573225288437</v>
      </c>
      <c r="E301" s="141">
        <f>'H) Péréquation directe'!I312/C301</f>
        <v>-5.4554232689020798</v>
      </c>
      <c r="F301" s="114">
        <f>+'I) Dépenses thématiques'!O301/'J) Plafonnement effort'!C301</f>
        <v>-8.06478219229861</v>
      </c>
      <c r="G301" s="141">
        <f t="shared" si="17"/>
        <v>19.000367764087748</v>
      </c>
      <c r="H301" s="332">
        <f t="shared" si="18"/>
        <v>0</v>
      </c>
      <c r="I301" s="57">
        <f t="shared" si="19"/>
        <v>0</v>
      </c>
      <c r="J301" s="33">
        <f t="shared" si="20"/>
        <v>19.000367764087748</v>
      </c>
    </row>
    <row r="302" spans="1:10" x14ac:dyDescent="0.25">
      <c r="A302" s="49">
        <f>'A) Base RI'!A304</f>
        <v>5926</v>
      </c>
      <c r="B302" s="285" t="str">
        <f>'A) Base RI'!B304</f>
        <v>Pomy</v>
      </c>
      <c r="C302" s="98">
        <f>'B) D RI'!U304</f>
        <v>27563.954929577467</v>
      </c>
      <c r="D302" s="114">
        <f>'E) Fact soc'!G308/C302</f>
        <v>16.404802139075482</v>
      </c>
      <c r="E302" s="141">
        <f>'H) Péréquation directe'!I313/C302</f>
        <v>9.2918044407939764</v>
      </c>
      <c r="F302" s="114">
        <f>+'I) Dépenses thématiques'!O302/'J) Plafonnement effort'!C302</f>
        <v>-1.2449064934383363</v>
      </c>
      <c r="G302" s="141">
        <f t="shared" si="17"/>
        <v>24.451700086431124</v>
      </c>
      <c r="H302" s="332">
        <f t="shared" si="18"/>
        <v>0</v>
      </c>
      <c r="I302" s="57">
        <f t="shared" si="19"/>
        <v>0</v>
      </c>
      <c r="J302" s="33">
        <f t="shared" si="20"/>
        <v>24.451700086431124</v>
      </c>
    </row>
    <row r="303" spans="1:10" x14ac:dyDescent="0.25">
      <c r="A303" s="49">
        <f>'A) Base RI'!A305</f>
        <v>5928</v>
      </c>
      <c r="B303" s="285" t="str">
        <f>'A) Base RI'!B305</f>
        <v>Rovray</v>
      </c>
      <c r="C303" s="98">
        <f>'B) D RI'!U305</f>
        <v>6002.0193150684927</v>
      </c>
      <c r="D303" s="114">
        <f>'E) Fact soc'!G309/C303</f>
        <v>19.472787151824885</v>
      </c>
      <c r="E303" s="141">
        <f>'H) Péréquation directe'!I314/C303</f>
        <v>6.5863197153395729</v>
      </c>
      <c r="F303" s="114">
        <f>+'I) Dépenses thématiques'!O303/'J) Plafonnement effort'!C303</f>
        <v>-0.40083203105195192</v>
      </c>
      <c r="G303" s="141">
        <f t="shared" si="17"/>
        <v>25.658274836112508</v>
      </c>
      <c r="H303" s="332">
        <f t="shared" si="18"/>
        <v>0</v>
      </c>
      <c r="I303" s="57">
        <f t="shared" si="19"/>
        <v>0</v>
      </c>
      <c r="J303" s="33">
        <f t="shared" si="20"/>
        <v>25.658274836112508</v>
      </c>
    </row>
    <row r="304" spans="1:10" x14ac:dyDescent="0.25">
      <c r="A304" s="49">
        <f>'A) Base RI'!A306</f>
        <v>5929</v>
      </c>
      <c r="B304" s="285" t="str">
        <f>'A) Base RI'!B306</f>
        <v>Suchy</v>
      </c>
      <c r="C304" s="98">
        <f>'B) D RI'!U306</f>
        <v>17258.460214285715</v>
      </c>
      <c r="D304" s="114">
        <f>'E) Fact soc'!G310/C304</f>
        <v>20.82994154352372</v>
      </c>
      <c r="E304" s="141">
        <f>'H) Péréquation directe'!I315/C304</f>
        <v>0.54359825641213777</v>
      </c>
      <c r="F304" s="114">
        <f>+'I) Dépenses thématiques'!O304/'J) Plafonnement effort'!C304</f>
        <v>-1.5404735539812848</v>
      </c>
      <c r="G304" s="141">
        <f t="shared" si="17"/>
        <v>19.833066245954573</v>
      </c>
      <c r="H304" s="332">
        <f t="shared" si="18"/>
        <v>0</v>
      </c>
      <c r="I304" s="57">
        <f t="shared" si="19"/>
        <v>0</v>
      </c>
      <c r="J304" s="33">
        <f t="shared" si="20"/>
        <v>19.833066245954573</v>
      </c>
    </row>
    <row r="305" spans="1:13" x14ac:dyDescent="0.25">
      <c r="A305" s="49">
        <f>'A) Base RI'!A307</f>
        <v>5930</v>
      </c>
      <c r="B305" s="285" t="str">
        <f>'A) Base RI'!B307</f>
        <v>Suscévaz</v>
      </c>
      <c r="C305" s="98">
        <f>'B) D RI'!U307</f>
        <v>5852.6869444444428</v>
      </c>
      <c r="D305" s="114">
        <f>'E) Fact soc'!G311/C305</f>
        <v>14.921954305361192</v>
      </c>
      <c r="E305" s="141">
        <f>'H) Péréquation directe'!I316/C305</f>
        <v>0.3846080412541823</v>
      </c>
      <c r="F305" s="114">
        <f>+'I) Dépenses thématiques'!O305/'J) Plafonnement effort'!C305</f>
        <v>-5.7943079347266622</v>
      </c>
      <c r="G305" s="141">
        <f t="shared" si="17"/>
        <v>9.512254411888712</v>
      </c>
      <c r="H305" s="332">
        <f t="shared" si="18"/>
        <v>0</v>
      </c>
      <c r="I305" s="57">
        <f t="shared" si="19"/>
        <v>0</v>
      </c>
      <c r="J305" s="33">
        <f t="shared" si="20"/>
        <v>9.512254411888712</v>
      </c>
    </row>
    <row r="306" spans="1:13" x14ac:dyDescent="0.25">
      <c r="A306" s="49">
        <f>'A) Base RI'!A308</f>
        <v>5931</v>
      </c>
      <c r="B306" s="285" t="str">
        <f>'A) Base RI'!B308</f>
        <v>Treycovagnes</v>
      </c>
      <c r="C306" s="98">
        <f>'B) D RI'!U308</f>
        <v>12202.115733333332</v>
      </c>
      <c r="D306" s="114">
        <f>'E) Fact soc'!G312/C306</f>
        <v>16.568407750094007</v>
      </c>
      <c r="E306" s="141">
        <f>'H) Péréquation directe'!I317/C306</f>
        <v>-5.1057647321938084</v>
      </c>
      <c r="F306" s="114">
        <f>+'I) Dépenses thématiques'!O306/'J) Plafonnement effort'!C306</f>
        <v>-0.55105019215961182</v>
      </c>
      <c r="G306" s="141">
        <f t="shared" si="17"/>
        <v>10.911592825740588</v>
      </c>
      <c r="H306" s="332">
        <f t="shared" si="18"/>
        <v>0</v>
      </c>
      <c r="I306" s="57">
        <f t="shared" si="19"/>
        <v>0</v>
      </c>
      <c r="J306" s="33">
        <f t="shared" si="20"/>
        <v>10.911592825740588</v>
      </c>
    </row>
    <row r="307" spans="1:13" x14ac:dyDescent="0.25">
      <c r="A307" s="49">
        <f>'A) Base RI'!A309</f>
        <v>5932</v>
      </c>
      <c r="B307" s="285" t="str">
        <f>'A) Base RI'!B309</f>
        <v>Ursins</v>
      </c>
      <c r="C307" s="98">
        <f>'B) D RI'!U309</f>
        <v>8278.3758441558457</v>
      </c>
      <c r="D307" s="114">
        <f>'E) Fact soc'!G313/C307</f>
        <v>17.501127794274968</v>
      </c>
      <c r="E307" s="141">
        <f>'H) Péréquation directe'!I318/C307</f>
        <v>9.9999728738313909</v>
      </c>
      <c r="F307" s="114">
        <f>+'I) Dépenses thématiques'!O307/'J) Plafonnement effort'!C307</f>
        <v>-1.3654173073142464</v>
      </c>
      <c r="G307" s="141">
        <f t="shared" si="17"/>
        <v>26.135683360792115</v>
      </c>
      <c r="H307" s="332">
        <f t="shared" si="18"/>
        <v>0</v>
      </c>
      <c r="I307" s="57">
        <f t="shared" si="19"/>
        <v>0</v>
      </c>
      <c r="J307" s="33">
        <f t="shared" si="20"/>
        <v>26.135683360792115</v>
      </c>
    </row>
    <row r="308" spans="1:13" x14ac:dyDescent="0.25">
      <c r="A308" s="49">
        <f>'A) Base RI'!A310</f>
        <v>5933</v>
      </c>
      <c r="B308" s="285" t="str">
        <f>'A) Base RI'!B310</f>
        <v>Valeyres-sous-Montagny</v>
      </c>
      <c r="C308" s="98">
        <f>'B) D RI'!U310</f>
        <v>22135.641944444447</v>
      </c>
      <c r="D308" s="114">
        <f>'E) Fact soc'!G314/C308</f>
        <v>17.785405826973342</v>
      </c>
      <c r="E308" s="141">
        <f>'H) Péréquation directe'!I319/C308</f>
        <v>5.5271829481389876</v>
      </c>
      <c r="F308" s="114">
        <f>+'I) Dépenses thématiques'!O308/'J) Plafonnement effort'!C308</f>
        <v>-5.2614845746894439</v>
      </c>
      <c r="G308" s="141">
        <f t="shared" si="17"/>
        <v>18.051104200422888</v>
      </c>
      <c r="H308" s="332">
        <f t="shared" si="18"/>
        <v>0</v>
      </c>
      <c r="I308" s="57">
        <f t="shared" si="19"/>
        <v>0</v>
      </c>
      <c r="J308" s="33">
        <f t="shared" si="20"/>
        <v>18.051104200422888</v>
      </c>
    </row>
    <row r="309" spans="1:13" x14ac:dyDescent="0.25">
      <c r="A309" s="49">
        <f>'A) Base RI'!A311</f>
        <v>5934</v>
      </c>
      <c r="B309" s="285" t="str">
        <f>'A) Base RI'!B311</f>
        <v>Valeyres-sous-Ursins</v>
      </c>
      <c r="C309" s="98">
        <f>'B) D RI'!U311</f>
        <v>7563.0520253164568</v>
      </c>
      <c r="D309" s="114">
        <f>'E) Fact soc'!G315/C309</f>
        <v>17.171542427836645</v>
      </c>
      <c r="E309" s="141">
        <f>'H) Péréquation directe'!I320/C309</f>
        <v>5.9954778110534157</v>
      </c>
      <c r="F309" s="114">
        <f>+'I) Dépenses thématiques'!O309/'J) Plafonnement effort'!C309</f>
        <v>-19.906841504075629</v>
      </c>
      <c r="G309" s="141">
        <f t="shared" si="17"/>
        <v>3.2601787348144313</v>
      </c>
      <c r="H309" s="332">
        <f t="shared" si="18"/>
        <v>0</v>
      </c>
      <c r="I309" s="57">
        <f t="shared" si="19"/>
        <v>0</v>
      </c>
      <c r="J309" s="33">
        <f t="shared" si="20"/>
        <v>3.2601787348144313</v>
      </c>
    </row>
    <row r="310" spans="1:13" x14ac:dyDescent="0.25">
      <c r="A310" s="49">
        <f>'A) Base RI'!A312</f>
        <v>5935</v>
      </c>
      <c r="B310" s="285" t="str">
        <f>'A) Base RI'!B312</f>
        <v>Villars-Epeney</v>
      </c>
      <c r="C310" s="98">
        <f>'B) D RI'!U312</f>
        <v>4858.9101666666666</v>
      </c>
      <c r="D310" s="114">
        <f>'E) Fact soc'!G316/C310</f>
        <v>14.933254197780922</v>
      </c>
      <c r="E310" s="141">
        <f>'H) Péréquation directe'!I321/C310</f>
        <v>17.369446260894517</v>
      </c>
      <c r="F310" s="114">
        <f>+'I) Dépenses thématiques'!O310/'J) Plafonnement effort'!C310</f>
        <v>-0.44266906851198817</v>
      </c>
      <c r="G310" s="141">
        <f t="shared" si="17"/>
        <v>31.860031390163449</v>
      </c>
      <c r="H310" s="332">
        <f t="shared" si="18"/>
        <v>0</v>
      </c>
      <c r="I310" s="57">
        <f t="shared" si="19"/>
        <v>0</v>
      </c>
      <c r="J310" s="33">
        <f t="shared" si="20"/>
        <v>31.860031390163449</v>
      </c>
    </row>
    <row r="311" spans="1:13" x14ac:dyDescent="0.25">
      <c r="A311" s="49">
        <f>'A) Base RI'!A313</f>
        <v>5937</v>
      </c>
      <c r="B311" s="285" t="str">
        <f>'A) Base RI'!B313</f>
        <v>Vugelles-La Mothe</v>
      </c>
      <c r="C311" s="98">
        <f>'B) D RI'!U313</f>
        <v>2984.3882040816329</v>
      </c>
      <c r="D311" s="114">
        <f>'E) Fact soc'!G317/C311</f>
        <v>20.463227135245457</v>
      </c>
      <c r="E311" s="141">
        <f>'H) Péréquation directe'!I322/C311</f>
        <v>-7.6325543633549335</v>
      </c>
      <c r="F311" s="114">
        <f>+'I) Dépenses thématiques'!O311/'J) Plafonnement effort'!C311</f>
        <v>-10.214155092269388</v>
      </c>
      <c r="G311" s="141">
        <f t="shared" si="17"/>
        <v>2.6165176796211345</v>
      </c>
      <c r="H311" s="332">
        <f t="shared" si="18"/>
        <v>0</v>
      </c>
      <c r="I311" s="57">
        <f t="shared" si="19"/>
        <v>0</v>
      </c>
      <c r="J311" s="33">
        <f t="shared" si="20"/>
        <v>2.6165176796211345</v>
      </c>
    </row>
    <row r="312" spans="1:13" x14ac:dyDescent="0.25">
      <c r="A312" s="49">
        <f>'A) Base RI'!A314</f>
        <v>5938</v>
      </c>
      <c r="B312" s="285" t="str">
        <f>'A) Base RI'!B314</f>
        <v>Yverdon-les-Bains</v>
      </c>
      <c r="C312" s="98">
        <f>'B) D RI'!U314</f>
        <v>788422.31346405216</v>
      </c>
      <c r="D312" s="114">
        <f>'E) Fact soc'!G318/C312</f>
        <v>18.735720315776536</v>
      </c>
      <c r="E312" s="141">
        <f>'H) Péréquation directe'!I323/C312</f>
        <v>-31.423618200900915</v>
      </c>
      <c r="F312" s="114">
        <f>+'I) Dépenses thématiques'!O312/'J) Plafonnement effort'!C312</f>
        <v>-12.707251617708414</v>
      </c>
      <c r="G312" s="141">
        <f t="shared" si="17"/>
        <v>-25.395149502832794</v>
      </c>
      <c r="H312" s="332">
        <f t="shared" si="18"/>
        <v>0</v>
      </c>
      <c r="I312" s="57">
        <f t="shared" si="19"/>
        <v>0</v>
      </c>
      <c r="J312" s="33">
        <f t="shared" si="20"/>
        <v>-25.395149502832794</v>
      </c>
    </row>
    <row r="313" spans="1:13" x14ac:dyDescent="0.25">
      <c r="A313" s="49">
        <f>'A) Base RI'!A315</f>
        <v>5939</v>
      </c>
      <c r="B313" s="285" t="str">
        <f>'A) Base RI'!B315</f>
        <v>Yvonand</v>
      </c>
      <c r="C313" s="98">
        <f>'B) D RI'!U315</f>
        <v>95122.764246575331</v>
      </c>
      <c r="D313" s="114">
        <f>'E) Fact soc'!G319/C313</f>
        <v>21.570644591964903</v>
      </c>
      <c r="E313" s="141">
        <f>'H) Péréquation directe'!I324/C313</f>
        <v>-5.7985694134581118</v>
      </c>
      <c r="F313" s="114">
        <f>+'I) Dépenses thématiques'!O313/'J) Plafonnement effort'!C313</f>
        <v>-3.5827681771068862</v>
      </c>
      <c r="G313" s="141">
        <f t="shared" si="17"/>
        <v>12.189307001399907</v>
      </c>
      <c r="H313" s="332">
        <f t="shared" si="18"/>
        <v>0</v>
      </c>
      <c r="I313" s="57">
        <f t="shared" si="19"/>
        <v>0</v>
      </c>
      <c r="J313" s="33">
        <f t="shared" si="20"/>
        <v>12.189307001399907</v>
      </c>
    </row>
    <row r="314" spans="1:13" x14ac:dyDescent="0.25">
      <c r="A314" s="30"/>
      <c r="B314" s="292">
        <f>COUNTA(B5:B313)</f>
        <v>309</v>
      </c>
      <c r="C314" s="100">
        <f>SUM(C5:C313)</f>
        <v>37986675.400474928</v>
      </c>
      <c r="D314" s="300">
        <f>'E) Fact soc'!G320/C314</f>
        <v>21.735409885058729</v>
      </c>
      <c r="E314" s="113">
        <f>'H) Péréquation directe'!I325/C314</f>
        <v>5.0560159228809765</v>
      </c>
      <c r="F314" s="300">
        <f>'I) Dépenses thématiques'!P314</f>
        <v>-4.4999999999999982</v>
      </c>
      <c r="G314" s="113">
        <f>SUM(D314:F314)</f>
        <v>22.29142580793971</v>
      </c>
      <c r="H314" s="301"/>
      <c r="I314" s="37">
        <f>SUM(I5:I313)</f>
        <v>-24713364.310575232</v>
      </c>
      <c r="J314" s="19">
        <f>G314+H314</f>
        <v>22.29142580793971</v>
      </c>
      <c r="L314" s="12"/>
      <c r="M314" s="12"/>
    </row>
    <row r="315" spans="1:13" x14ac:dyDescent="0.25">
      <c r="C315" s="464"/>
      <c r="D315" s="383"/>
      <c r="E315" s="383"/>
      <c r="F315" s="383"/>
      <c r="G315" s="383"/>
      <c r="H315" s="383"/>
      <c r="I315" s="464"/>
      <c r="J315" s="383"/>
    </row>
    <row r="318" spans="1:13" x14ac:dyDescent="0.25">
      <c r="G318" s="28"/>
      <c r="H318" s="28"/>
      <c r="I318" s="28"/>
    </row>
    <row r="320" spans="1:13" x14ac:dyDescent="0.25">
      <c r="I320" s="28"/>
    </row>
  </sheetData>
  <mergeCells count="9">
    <mergeCell ref="C3:C4"/>
    <mergeCell ref="B3:B4"/>
    <mergeCell ref="A3:A4"/>
    <mergeCell ref="J3:J4"/>
    <mergeCell ref="I3:I4"/>
    <mergeCell ref="G3:G4"/>
    <mergeCell ref="F3:F4"/>
    <mergeCell ref="E3:E4"/>
    <mergeCell ref="D3:D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50"/>
  </sheetPr>
  <dimension ref="A1:Y316"/>
  <sheetViews>
    <sheetView workbookViewId="0">
      <pane ySplit="4" topLeftCell="A5" activePane="bottomLeft" state="frozen"/>
      <selection pane="bottomLeft"/>
    </sheetView>
  </sheetViews>
  <sheetFormatPr baseColWidth="10" defaultColWidth="10.75" defaultRowHeight="15" x14ac:dyDescent="0.25"/>
  <cols>
    <col min="1" max="1" width="7.25" style="13" customWidth="1"/>
    <col min="2" max="2" width="20.25" style="13" bestFit="1" customWidth="1"/>
    <col min="3" max="4" width="9.25" style="13" customWidth="1"/>
    <col min="5" max="5" width="11.625" style="13" customWidth="1"/>
    <col min="6" max="6" width="11" style="13" customWidth="1"/>
    <col min="7" max="7" width="10.375" style="13" customWidth="1"/>
    <col min="8" max="8" width="12.25" style="13" customWidth="1"/>
    <col min="9" max="9" width="10" style="13" customWidth="1"/>
    <col min="10" max="10" width="12.875" style="13" customWidth="1"/>
    <col min="11" max="14" width="12.125" style="13" customWidth="1"/>
    <col min="15" max="17" width="8.125" style="13" customWidth="1"/>
    <col min="18" max="16384" width="10.75" style="13"/>
  </cols>
  <sheetData>
    <row r="1" spans="1:25" s="43" customFormat="1" ht="20.25" customHeight="1" x14ac:dyDescent="0.25">
      <c r="A1" s="51" t="s">
        <v>0</v>
      </c>
      <c r="B1" s="42"/>
      <c r="C1" s="71"/>
      <c r="D1" s="71"/>
      <c r="E1" s="71"/>
      <c r="F1" s="71"/>
      <c r="G1" s="71"/>
      <c r="H1" s="71"/>
      <c r="I1" s="71"/>
      <c r="J1" s="71"/>
      <c r="L1" s="59"/>
      <c r="N1" s="13"/>
      <c r="O1" s="13"/>
      <c r="P1" s="13"/>
      <c r="Q1" s="13"/>
      <c r="R1" s="13"/>
      <c r="Y1" s="13"/>
    </row>
    <row r="3" spans="1:25" ht="45" customHeight="1" x14ac:dyDescent="0.25">
      <c r="A3" s="559" t="s">
        <v>46</v>
      </c>
      <c r="B3" s="559" t="s">
        <v>96</v>
      </c>
      <c r="C3" s="559" t="s">
        <v>371</v>
      </c>
      <c r="D3" s="559" t="s">
        <v>93</v>
      </c>
      <c r="E3" s="559" t="s">
        <v>328</v>
      </c>
      <c r="F3" s="559" t="s">
        <v>369</v>
      </c>
      <c r="G3" s="559" t="s">
        <v>370</v>
      </c>
      <c r="H3" s="559" t="s">
        <v>411</v>
      </c>
      <c r="I3" s="116" t="s">
        <v>146</v>
      </c>
      <c r="J3" s="559" t="s">
        <v>455</v>
      </c>
    </row>
    <row r="4" spans="1:25" x14ac:dyDescent="0.25">
      <c r="A4" s="560"/>
      <c r="B4" s="561"/>
      <c r="C4" s="560"/>
      <c r="D4" s="561"/>
      <c r="E4" s="560"/>
      <c r="F4" s="561"/>
      <c r="G4" s="560"/>
      <c r="H4" s="561"/>
      <c r="I4" s="146">
        <f>Paramètres!B48</f>
        <v>-8</v>
      </c>
      <c r="J4" s="560"/>
    </row>
    <row r="5" spans="1:25" x14ac:dyDescent="0.25">
      <c r="A5" s="46">
        <f>'A) Base RI'!A7</f>
        <v>5401</v>
      </c>
      <c r="B5" s="285" t="str">
        <f>'A) Base RI'!B7</f>
        <v>Aigle</v>
      </c>
      <c r="C5" s="97">
        <f>'B) D RI'!U7</f>
        <v>277789.63254320994</v>
      </c>
      <c r="D5" s="114">
        <f>'E) Fact soc'!G11/C5</f>
        <v>18.755857397373308</v>
      </c>
      <c r="E5" s="140">
        <f>'H) Péréquation directe'!I16/C5</f>
        <v>-12.249289447512981</v>
      </c>
      <c r="F5" s="114">
        <f>+'I) Dépenses thématiques'!O5/'K) Plafonnement aide'!C5</f>
        <v>-10.73106421134147</v>
      </c>
      <c r="G5" s="140">
        <f>SUM(D5:F5)</f>
        <v>-4.2244962614811428</v>
      </c>
      <c r="H5" s="114">
        <f>G5-F5</f>
        <v>6.5065679498603277</v>
      </c>
      <c r="I5" s="140">
        <f>IF(H5&lt;I$4,H5-I$4,0)</f>
        <v>0</v>
      </c>
      <c r="J5" s="103">
        <f t="shared" ref="J5" si="0">-I5*C5</f>
        <v>0</v>
      </c>
      <c r="K5" s="36"/>
    </row>
    <row r="6" spans="1:25" x14ac:dyDescent="0.25">
      <c r="A6" s="49">
        <f>'A) Base RI'!A8</f>
        <v>5402</v>
      </c>
      <c r="B6" s="285" t="str">
        <f>'A) Base RI'!B8</f>
        <v>Bex</v>
      </c>
      <c r="C6" s="98">
        <f>'B) D RI'!U8</f>
        <v>185729.53788732394</v>
      </c>
      <c r="D6" s="114">
        <f>'E) Fact soc'!G12/C6</f>
        <v>18.108311480700831</v>
      </c>
      <c r="E6" s="141">
        <f>'H) Péréquation directe'!I17/C6</f>
        <v>-19.07500195848284</v>
      </c>
      <c r="F6" s="114">
        <f>+'I) Dépenses thématiques'!O6/'K) Plafonnement aide'!C6</f>
        <v>-10.436520218009315</v>
      </c>
      <c r="G6" s="141">
        <f t="shared" ref="G6:G69" si="1">SUM(D6:F6)</f>
        <v>-11.403210695791325</v>
      </c>
      <c r="H6" s="114">
        <f t="shared" ref="H6:H69" si="2">G6-F6</f>
        <v>-0.96669047778200934</v>
      </c>
      <c r="I6" s="141">
        <f t="shared" ref="I6:I69" si="3">IF(H6&lt;I$4,H6-I$4,0)</f>
        <v>0</v>
      </c>
      <c r="J6" s="57">
        <f t="shared" ref="J6:J69" si="4">-I6*C6</f>
        <v>0</v>
      </c>
      <c r="K6" s="36"/>
    </row>
    <row r="7" spans="1:25" x14ac:dyDescent="0.25">
      <c r="A7" s="49">
        <f>'A) Base RI'!A9</f>
        <v>5403</v>
      </c>
      <c r="B7" s="285" t="str">
        <f>'A) Base RI'!B9</f>
        <v>Chessel</v>
      </c>
      <c r="C7" s="98">
        <f>'B) D RI'!U9</f>
        <v>10653.993243243245</v>
      </c>
      <c r="D7" s="114">
        <f>'E) Fact soc'!G13/C7</f>
        <v>19.368718497991569</v>
      </c>
      <c r="E7" s="141">
        <f>'H) Péréquation directe'!I18/C7</f>
        <v>-4.5124576802011207</v>
      </c>
      <c r="F7" s="114">
        <f>+'I) Dépenses thématiques'!O7/'K) Plafonnement aide'!C7</f>
        <v>-4.5705636477849358</v>
      </c>
      <c r="G7" s="141">
        <f t="shared" si="1"/>
        <v>10.285697170005513</v>
      </c>
      <c r="H7" s="114">
        <f t="shared" si="2"/>
        <v>14.856260817790449</v>
      </c>
      <c r="I7" s="141">
        <f t="shared" si="3"/>
        <v>0</v>
      </c>
      <c r="J7" s="57">
        <f t="shared" si="4"/>
        <v>0</v>
      </c>
      <c r="K7" s="36"/>
    </row>
    <row r="8" spans="1:25" x14ac:dyDescent="0.25">
      <c r="A8" s="49">
        <f>'A) Base RI'!A10</f>
        <v>5404</v>
      </c>
      <c r="B8" s="285" t="str">
        <f>'A) Base RI'!B10</f>
        <v>Corbeyrier</v>
      </c>
      <c r="C8" s="98">
        <f>'B) D RI'!U10</f>
        <v>14595.552612612611</v>
      </c>
      <c r="D8" s="114">
        <f>'E) Fact soc'!G14/C8</f>
        <v>21.228921821314113</v>
      </c>
      <c r="E8" s="141">
        <f>'H) Péréquation directe'!I19/C8</f>
        <v>7.3353024952666432</v>
      </c>
      <c r="F8" s="114">
        <f>+'I) Dépenses thématiques'!O8/'K) Plafonnement aide'!C8</f>
        <v>-9.6193642160412764</v>
      </c>
      <c r="G8" s="141">
        <f t="shared" si="1"/>
        <v>18.944860100539479</v>
      </c>
      <c r="H8" s="114">
        <f t="shared" si="2"/>
        <v>28.564224316580756</v>
      </c>
      <c r="I8" s="141">
        <f t="shared" si="3"/>
        <v>0</v>
      </c>
      <c r="J8" s="57">
        <f t="shared" si="4"/>
        <v>0</v>
      </c>
      <c r="K8" s="36"/>
    </row>
    <row r="9" spans="1:25" x14ac:dyDescent="0.25">
      <c r="A9" s="49">
        <f>'A) Base RI'!A11</f>
        <v>5405</v>
      </c>
      <c r="B9" s="285" t="str">
        <f>'A) Base RI'!B11</f>
        <v>Gryon</v>
      </c>
      <c r="C9" s="98">
        <f>'B) D RI'!U11</f>
        <v>65705.555822222203</v>
      </c>
      <c r="D9" s="114">
        <f>'E) Fact soc'!G15/C9</f>
        <v>19.969480267308743</v>
      </c>
      <c r="E9" s="141">
        <f>'H) Péréquation directe'!I20/C9</f>
        <v>16.236999208636522</v>
      </c>
      <c r="F9" s="114">
        <f>+'I) Dépenses thématiques'!O9/'K) Plafonnement aide'!C9</f>
        <v>-15.962313411290578</v>
      </c>
      <c r="G9" s="141">
        <f t="shared" si="1"/>
        <v>20.244166064654685</v>
      </c>
      <c r="H9" s="114">
        <f t="shared" si="2"/>
        <v>36.206479475945265</v>
      </c>
      <c r="I9" s="141">
        <f t="shared" si="3"/>
        <v>0</v>
      </c>
      <c r="J9" s="57">
        <f t="shared" si="4"/>
        <v>0</v>
      </c>
      <c r="K9" s="36"/>
    </row>
    <row r="10" spans="1:25" x14ac:dyDescent="0.25">
      <c r="A10" s="49">
        <f>'A) Base RI'!A12</f>
        <v>5406</v>
      </c>
      <c r="B10" s="285" t="str">
        <f>'A) Base RI'!B12</f>
        <v>Lavey-Morcles</v>
      </c>
      <c r="C10" s="98">
        <f>'B) D RI'!U12</f>
        <v>24857.219750812561</v>
      </c>
      <c r="D10" s="114">
        <f>'E) Fact soc'!G16/C10</f>
        <v>15.5518650184872</v>
      </c>
      <c r="E10" s="141">
        <f>'H) Péréquation directe'!I21/C10</f>
        <v>3.2351517148861877E-2</v>
      </c>
      <c r="F10" s="114">
        <f>+'I) Dépenses thématiques'!O10/'K) Plafonnement aide'!C10</f>
        <v>-4.6950882035126122</v>
      </c>
      <c r="G10" s="141">
        <f t="shared" si="1"/>
        <v>10.889128332123452</v>
      </c>
      <c r="H10" s="114">
        <f t="shared" si="2"/>
        <v>15.584216535636063</v>
      </c>
      <c r="I10" s="141">
        <f t="shared" si="3"/>
        <v>0</v>
      </c>
      <c r="J10" s="57">
        <f t="shared" si="4"/>
        <v>0</v>
      </c>
      <c r="K10" s="36"/>
    </row>
    <row r="11" spans="1:25" x14ac:dyDescent="0.25">
      <c r="A11" s="49">
        <f>'A) Base RI'!A13</f>
        <v>5407</v>
      </c>
      <c r="B11" s="285" t="str">
        <f>'A) Base RI'!B13</f>
        <v>Leysin</v>
      </c>
      <c r="C11" s="98">
        <f>'B) D RI'!U13</f>
        <v>90593.766196581171</v>
      </c>
      <c r="D11" s="114">
        <f>'E) Fact soc'!G17/C11</f>
        <v>19.101451193840468</v>
      </c>
      <c r="E11" s="141">
        <f>'H) Péréquation directe'!I22/C11</f>
        <v>-16.676445499303838</v>
      </c>
      <c r="F11" s="114">
        <f>+'I) Dépenses thématiques'!O11/'K) Plafonnement aide'!C11</f>
        <v>-23.832166901216397</v>
      </c>
      <c r="G11" s="141">
        <f t="shared" si="1"/>
        <v>-21.407161206679767</v>
      </c>
      <c r="H11" s="114">
        <f t="shared" si="2"/>
        <v>2.4250056945366296</v>
      </c>
      <c r="I11" s="141">
        <f t="shared" si="3"/>
        <v>0</v>
      </c>
      <c r="J11" s="57">
        <f t="shared" si="4"/>
        <v>0</v>
      </c>
      <c r="K11" s="36"/>
      <c r="L11" s="28"/>
    </row>
    <row r="12" spans="1:25" x14ac:dyDescent="0.25">
      <c r="A12" s="49">
        <f>'A) Base RI'!A14</f>
        <v>5408</v>
      </c>
      <c r="B12" s="285" t="str">
        <f>'A) Base RI'!B14</f>
        <v>Noville</v>
      </c>
      <c r="C12" s="98">
        <f>'B) D RI'!U14</f>
        <v>28671.623864118894</v>
      </c>
      <c r="D12" s="114">
        <f>'E) Fact soc'!G18/C12</f>
        <v>26.986706774869013</v>
      </c>
      <c r="E12" s="141">
        <f>'H) Péréquation directe'!I23/C12</f>
        <v>-8.8240261572810983</v>
      </c>
      <c r="F12" s="114">
        <f>+'I) Dépenses thématiques'!O12/'K) Plafonnement aide'!C12</f>
        <v>-9.7304460025206208</v>
      </c>
      <c r="G12" s="141">
        <f t="shared" si="1"/>
        <v>8.432234615067296</v>
      </c>
      <c r="H12" s="114">
        <f t="shared" si="2"/>
        <v>18.162680617587917</v>
      </c>
      <c r="I12" s="141">
        <f t="shared" si="3"/>
        <v>0</v>
      </c>
      <c r="J12" s="57">
        <f t="shared" si="4"/>
        <v>0</v>
      </c>
      <c r="K12" s="36"/>
    </row>
    <row r="13" spans="1:25" x14ac:dyDescent="0.25">
      <c r="A13" s="49">
        <f>'A) Base RI'!A15</f>
        <v>5409</v>
      </c>
      <c r="B13" s="285" t="str">
        <f>'A) Base RI'!B15</f>
        <v>Ollon</v>
      </c>
      <c r="C13" s="98">
        <f>'B) D RI'!U15</f>
        <v>399776.03154977376</v>
      </c>
      <c r="D13" s="114">
        <f>'E) Fact soc'!G19/C13</f>
        <v>20.087996785524698</v>
      </c>
      <c r="E13" s="141">
        <f>'H) Péréquation directe'!I24/C13</f>
        <v>11.55719375556558</v>
      </c>
      <c r="F13" s="114">
        <f>+'I) Dépenses thématiques'!O13/'K) Plafonnement aide'!C13</f>
        <v>-5.9332960051352686</v>
      </c>
      <c r="G13" s="141">
        <f t="shared" si="1"/>
        <v>25.711894535955011</v>
      </c>
      <c r="H13" s="114">
        <f t="shared" si="2"/>
        <v>31.64519054109028</v>
      </c>
      <c r="I13" s="141">
        <f t="shared" si="3"/>
        <v>0</v>
      </c>
      <c r="J13" s="57">
        <f t="shared" si="4"/>
        <v>0</v>
      </c>
      <c r="K13" s="36"/>
    </row>
    <row r="14" spans="1:25" x14ac:dyDescent="0.25">
      <c r="A14" s="49">
        <f>'A) Base RI'!A16</f>
        <v>5410</v>
      </c>
      <c r="B14" s="285" t="str">
        <f>'A) Base RI'!B16</f>
        <v>Ormont-Dessous</v>
      </c>
      <c r="C14" s="98">
        <f>'B) D RI'!U16</f>
        <v>38431.903864118896</v>
      </c>
      <c r="D14" s="114">
        <f>'E) Fact soc'!G20/C14</f>
        <v>19.496049562976655</v>
      </c>
      <c r="E14" s="141">
        <f>'H) Péréquation directe'!I25/C14</f>
        <v>5.7101582895250189</v>
      </c>
      <c r="F14" s="114">
        <f>+'I) Dépenses thématiques'!O14/'K) Plafonnement aide'!C14</f>
        <v>-25.931030215351026</v>
      </c>
      <c r="G14" s="141">
        <f t="shared" si="1"/>
        <v>-0.72482236284935198</v>
      </c>
      <c r="H14" s="114">
        <f t="shared" si="2"/>
        <v>25.206207852501674</v>
      </c>
      <c r="I14" s="141">
        <f t="shared" si="3"/>
        <v>0</v>
      </c>
      <c r="J14" s="57">
        <f t="shared" si="4"/>
        <v>0</v>
      </c>
      <c r="K14" s="36"/>
    </row>
    <row r="15" spans="1:25" x14ac:dyDescent="0.25">
      <c r="A15" s="49">
        <f>'A) Base RI'!A17</f>
        <v>5411</v>
      </c>
      <c r="B15" s="285" t="str">
        <f>'A) Base RI'!B17</f>
        <v>Ormont-Dessus</v>
      </c>
      <c r="C15" s="98">
        <f>'B) D RI'!U17</f>
        <v>73250.08368421052</v>
      </c>
      <c r="D15" s="114">
        <f>'E) Fact soc'!G21/C15</f>
        <v>20.732976379026869</v>
      </c>
      <c r="E15" s="141">
        <f>'H) Péréquation directe'!I26/C15</f>
        <v>16.207475351764412</v>
      </c>
      <c r="F15" s="114">
        <f>+'I) Dépenses thématiques'!O15/'K) Plafonnement aide'!C15</f>
        <v>-12.729284059532501</v>
      </c>
      <c r="G15" s="141">
        <f t="shared" si="1"/>
        <v>24.211167671258778</v>
      </c>
      <c r="H15" s="114">
        <f t="shared" si="2"/>
        <v>36.940451730791281</v>
      </c>
      <c r="I15" s="141">
        <f t="shared" si="3"/>
        <v>0</v>
      </c>
      <c r="J15" s="57">
        <f t="shared" si="4"/>
        <v>0</v>
      </c>
      <c r="K15" s="36"/>
    </row>
    <row r="16" spans="1:25" x14ac:dyDescent="0.25">
      <c r="A16" s="49">
        <f>'A) Base RI'!A18</f>
        <v>5412</v>
      </c>
      <c r="B16" s="285" t="str">
        <f>'A) Base RI'!B18</f>
        <v>Rennaz</v>
      </c>
      <c r="C16" s="98">
        <f>'B) D RI'!U18</f>
        <v>24302.490518518523</v>
      </c>
      <c r="D16" s="114">
        <f>'E) Fact soc'!G22/C16</f>
        <v>17.116180283708328</v>
      </c>
      <c r="E16" s="141">
        <f>'H) Péréquation directe'!I27/C16</f>
        <v>3.0754871538774413</v>
      </c>
      <c r="F16" s="114">
        <f>+'I) Dépenses thématiques'!O16/'K) Plafonnement aide'!C16</f>
        <v>-3.6099382036904655</v>
      </c>
      <c r="G16" s="141">
        <f t="shared" si="1"/>
        <v>16.581729233895306</v>
      </c>
      <c r="H16" s="114">
        <f t="shared" si="2"/>
        <v>20.191667437585771</v>
      </c>
      <c r="I16" s="141">
        <f t="shared" si="3"/>
        <v>0</v>
      </c>
      <c r="J16" s="57">
        <f t="shared" si="4"/>
        <v>0</v>
      </c>
      <c r="K16" s="36"/>
    </row>
    <row r="17" spans="1:11" x14ac:dyDescent="0.25">
      <c r="A17" s="49">
        <f>'A) Base RI'!A19</f>
        <v>5413</v>
      </c>
      <c r="B17" s="285" t="str">
        <f>'A) Base RI'!B19</f>
        <v>Roche</v>
      </c>
      <c r="C17" s="98">
        <f>'B) D RI'!U19</f>
        <v>45084.327818627447</v>
      </c>
      <c r="D17" s="114">
        <f>'E) Fact soc'!G23/C17</f>
        <v>20.691508076574415</v>
      </c>
      <c r="E17" s="141">
        <f>'H) Péréquation directe'!I28/C17</f>
        <v>-5.8602056684614299</v>
      </c>
      <c r="F17" s="114">
        <f>+'I) Dépenses thématiques'!O17/'K) Plafonnement aide'!C17</f>
        <v>0</v>
      </c>
      <c r="G17" s="141">
        <f t="shared" si="1"/>
        <v>14.831302408112986</v>
      </c>
      <c r="H17" s="114">
        <f t="shared" si="2"/>
        <v>14.831302408112986</v>
      </c>
      <c r="I17" s="141">
        <f t="shared" si="3"/>
        <v>0</v>
      </c>
      <c r="J17" s="57">
        <f t="shared" si="4"/>
        <v>0</v>
      </c>
      <c r="K17" s="36"/>
    </row>
    <row r="18" spans="1:11" x14ac:dyDescent="0.25">
      <c r="A18" s="49">
        <f>'A) Base RI'!A20</f>
        <v>5414</v>
      </c>
      <c r="B18" s="285" t="str">
        <f>'A) Base RI'!B20</f>
        <v>Villeneuve</v>
      </c>
      <c r="C18" s="98">
        <f>'B) D RI'!U20</f>
        <v>167595.35260869566</v>
      </c>
      <c r="D18" s="114">
        <f>'E) Fact soc'!G24/C18</f>
        <v>22.622672942809807</v>
      </c>
      <c r="E18" s="141">
        <f>'H) Péréquation directe'!I29/C18</f>
        <v>-5.4587667614059878</v>
      </c>
      <c r="F18" s="114">
        <f>+'I) Dépenses thématiques'!O18/'K) Plafonnement aide'!C18</f>
        <v>-11.413180322791305</v>
      </c>
      <c r="G18" s="141">
        <f t="shared" si="1"/>
        <v>5.7507258586125118</v>
      </c>
      <c r="H18" s="114">
        <f t="shared" si="2"/>
        <v>17.163906181403817</v>
      </c>
      <c r="I18" s="141">
        <f t="shared" si="3"/>
        <v>0</v>
      </c>
      <c r="J18" s="57">
        <f t="shared" si="4"/>
        <v>0</v>
      </c>
      <c r="K18" s="36"/>
    </row>
    <row r="19" spans="1:11" x14ac:dyDescent="0.25">
      <c r="A19" s="49">
        <f>'A) Base RI'!A21</f>
        <v>5415</v>
      </c>
      <c r="B19" s="285" t="str">
        <f>'A) Base RI'!B21</f>
        <v>Yvorne</v>
      </c>
      <c r="C19" s="98">
        <f>'B) D RI'!U21</f>
        <v>39170.690675990678</v>
      </c>
      <c r="D19" s="114">
        <f>'E) Fact soc'!G25/C19</f>
        <v>19.487134080477865</v>
      </c>
      <c r="E19" s="141">
        <f>'H) Péréquation directe'!I30/C19</f>
        <v>10.322646288792226</v>
      </c>
      <c r="F19" s="114">
        <f>+'I) Dépenses thématiques'!O19/'K) Plafonnement aide'!C19</f>
        <v>-4.5798827701572025</v>
      </c>
      <c r="G19" s="141">
        <f t="shared" si="1"/>
        <v>25.229897599112892</v>
      </c>
      <c r="H19" s="114">
        <f t="shared" si="2"/>
        <v>29.809780369270094</v>
      </c>
      <c r="I19" s="141">
        <f t="shared" si="3"/>
        <v>0</v>
      </c>
      <c r="J19" s="57">
        <f t="shared" si="4"/>
        <v>0</v>
      </c>
      <c r="K19" s="36"/>
    </row>
    <row r="20" spans="1:11" x14ac:dyDescent="0.25">
      <c r="A20" s="49">
        <f>'A) Base RI'!A22</f>
        <v>5421</v>
      </c>
      <c r="B20" s="285" t="str">
        <f>'A) Base RI'!B22</f>
        <v>Apples</v>
      </c>
      <c r="C20" s="98">
        <f>'B) D RI'!U22</f>
        <v>70612.156710526324</v>
      </c>
      <c r="D20" s="114">
        <f>'E) Fact soc'!G26/C20</f>
        <v>17.861690392002401</v>
      </c>
      <c r="E20" s="141">
        <f>'H) Péréquation directe'!I31/C20</f>
        <v>15.936023115702442</v>
      </c>
      <c r="F20" s="114">
        <f>+'I) Dépenses thématiques'!O20/'K) Plafonnement aide'!C20</f>
        <v>-3.6046628573085453</v>
      </c>
      <c r="G20" s="141">
        <f t="shared" si="1"/>
        <v>30.193050650396295</v>
      </c>
      <c r="H20" s="114">
        <f t="shared" si="2"/>
        <v>33.797713507704842</v>
      </c>
      <c r="I20" s="141">
        <f t="shared" si="3"/>
        <v>0</v>
      </c>
      <c r="J20" s="57">
        <f t="shared" si="4"/>
        <v>0</v>
      </c>
      <c r="K20" s="36"/>
    </row>
    <row r="21" spans="1:11" x14ac:dyDescent="0.25">
      <c r="A21" s="49">
        <f>'A) Base RI'!A23</f>
        <v>5422</v>
      </c>
      <c r="B21" s="285" t="str">
        <f>'A) Base RI'!B23</f>
        <v>Aubonne</v>
      </c>
      <c r="C21" s="98">
        <f>'B) D RI'!U23</f>
        <v>231171.83385714272</v>
      </c>
      <c r="D21" s="114">
        <f>'E) Fact soc'!G27/C21</f>
        <v>23.773031301232329</v>
      </c>
      <c r="E21" s="141">
        <f>'H) Péréquation directe'!I32/C21</f>
        <v>15.82000410823081</v>
      </c>
      <c r="F21" s="114">
        <f>+'I) Dépenses thématiques'!O21/'K) Plafonnement aide'!C21</f>
        <v>0</v>
      </c>
      <c r="G21" s="141">
        <f t="shared" si="1"/>
        <v>39.593035409463141</v>
      </c>
      <c r="H21" s="114">
        <f t="shared" si="2"/>
        <v>39.593035409463141</v>
      </c>
      <c r="I21" s="141">
        <f t="shared" si="3"/>
        <v>0</v>
      </c>
      <c r="J21" s="57">
        <f t="shared" si="4"/>
        <v>0</v>
      </c>
      <c r="K21" s="36"/>
    </row>
    <row r="22" spans="1:11" x14ac:dyDescent="0.25">
      <c r="A22" s="49">
        <f>'A) Base RI'!A24</f>
        <v>5423</v>
      </c>
      <c r="B22" s="285" t="str">
        <f>'A) Base RI'!B24</f>
        <v>Ballens</v>
      </c>
      <c r="C22" s="98">
        <f>'B) D RI'!U24</f>
        <v>16262.42684931507</v>
      </c>
      <c r="D22" s="114">
        <f>'E) Fact soc'!G28/C22</f>
        <v>17.768745905567339</v>
      </c>
      <c r="E22" s="141">
        <f>'H) Péréquation directe'!I33/C22</f>
        <v>3.5738028404263193</v>
      </c>
      <c r="F22" s="114">
        <f>+'I) Dépenses thématiques'!O22/'K) Plafonnement aide'!C22</f>
        <v>-4.9732070430337405</v>
      </c>
      <c r="G22" s="141">
        <f t="shared" si="1"/>
        <v>16.369341702959922</v>
      </c>
      <c r="H22" s="114">
        <f t="shared" si="2"/>
        <v>21.34254874599366</v>
      </c>
      <c r="I22" s="141">
        <f t="shared" si="3"/>
        <v>0</v>
      </c>
      <c r="J22" s="57">
        <f t="shared" si="4"/>
        <v>0</v>
      </c>
      <c r="K22" s="36"/>
    </row>
    <row r="23" spans="1:11" x14ac:dyDescent="0.25">
      <c r="A23" s="49">
        <f>'A) Base RI'!A25</f>
        <v>5424</v>
      </c>
      <c r="B23" s="285" t="str">
        <f>'A) Base RI'!B25</f>
        <v>Berolle</v>
      </c>
      <c r="C23" s="98">
        <f>'B) D RI'!U25</f>
        <v>9281.7425974025955</v>
      </c>
      <c r="D23" s="114">
        <f>'E) Fact soc'!G29/C23</f>
        <v>15.257008051797689</v>
      </c>
      <c r="E23" s="141">
        <f>'H) Péréquation directe'!I34/C23</f>
        <v>3.665211375175391</v>
      </c>
      <c r="F23" s="114">
        <f>+'I) Dépenses thématiques'!O23/'K) Plafonnement aide'!C23</f>
        <v>-4.3702907149899168</v>
      </c>
      <c r="G23" s="141">
        <f t="shared" si="1"/>
        <v>14.551928711983162</v>
      </c>
      <c r="H23" s="114">
        <f t="shared" si="2"/>
        <v>18.922219426973079</v>
      </c>
      <c r="I23" s="141">
        <f t="shared" si="3"/>
        <v>0</v>
      </c>
      <c r="J23" s="57">
        <f t="shared" si="4"/>
        <v>0</v>
      </c>
      <c r="K23" s="36"/>
    </row>
    <row r="24" spans="1:11" x14ac:dyDescent="0.25">
      <c r="A24" s="49">
        <f>'A) Base RI'!A26</f>
        <v>5425</v>
      </c>
      <c r="B24" s="285" t="str">
        <f>'A) Base RI'!B26</f>
        <v>Bière</v>
      </c>
      <c r="C24" s="98">
        <f>'B) D RI'!U26</f>
        <v>39522.239817733993</v>
      </c>
      <c r="D24" s="114">
        <f>'E) Fact soc'!G30/C24</f>
        <v>18.998510544783141</v>
      </c>
      <c r="E24" s="141">
        <f>'H) Péréquation directe'!I35/C24</f>
        <v>-5.9959261841092575</v>
      </c>
      <c r="F24" s="114">
        <f>+'I) Dépenses thématiques'!O24/'K) Plafonnement aide'!C24</f>
        <v>-14.698422009663885</v>
      </c>
      <c r="G24" s="141">
        <f t="shared" si="1"/>
        <v>-1.6958376489900022</v>
      </c>
      <c r="H24" s="114">
        <f t="shared" si="2"/>
        <v>13.002584360673882</v>
      </c>
      <c r="I24" s="141">
        <f t="shared" si="3"/>
        <v>0</v>
      </c>
      <c r="J24" s="57">
        <f t="shared" si="4"/>
        <v>0</v>
      </c>
      <c r="K24" s="36"/>
    </row>
    <row r="25" spans="1:11" x14ac:dyDescent="0.25">
      <c r="A25" s="49">
        <f>'A) Base RI'!A27</f>
        <v>5426</v>
      </c>
      <c r="B25" s="285" t="str">
        <f>'A) Base RI'!B27</f>
        <v>Bougy-Villars</v>
      </c>
      <c r="C25" s="98">
        <f>'B) D RI'!U27</f>
        <v>52073.160505050502</v>
      </c>
      <c r="D25" s="114">
        <f>'E) Fact soc'!G31/C25</f>
        <v>31.714374826211376</v>
      </c>
      <c r="E25" s="141">
        <f>'H) Péréquation directe'!I36/C25</f>
        <v>18.860732671042875</v>
      </c>
      <c r="F25" s="114">
        <f>+'I) Dépenses thématiques'!O25/'K) Plafonnement aide'!C25</f>
        <v>0</v>
      </c>
      <c r="G25" s="141">
        <f t="shared" si="1"/>
        <v>50.575107497254251</v>
      </c>
      <c r="H25" s="114">
        <f t="shared" si="2"/>
        <v>50.575107497254251</v>
      </c>
      <c r="I25" s="141">
        <f t="shared" si="3"/>
        <v>0</v>
      </c>
      <c r="J25" s="57">
        <f t="shared" si="4"/>
        <v>0</v>
      </c>
      <c r="K25" s="36"/>
    </row>
    <row r="26" spans="1:11" x14ac:dyDescent="0.25">
      <c r="A26" s="49">
        <f>'A) Base RI'!A28</f>
        <v>5427</v>
      </c>
      <c r="B26" s="285" t="str">
        <f>'A) Base RI'!B28</f>
        <v>Féchy</v>
      </c>
      <c r="C26" s="98">
        <f>'B) D RI'!U28</f>
        <v>86749.440144230772</v>
      </c>
      <c r="D26" s="114">
        <f>'E) Fact soc'!G32/C26</f>
        <v>29.331205254241475</v>
      </c>
      <c r="E26" s="141">
        <f>'H) Péréquation directe'!I37/C26</f>
        <v>18.759808237656383</v>
      </c>
      <c r="F26" s="114">
        <f>+'I) Dépenses thématiques'!O26/'K) Plafonnement aide'!C26</f>
        <v>0</v>
      </c>
      <c r="G26" s="141">
        <f t="shared" si="1"/>
        <v>48.091013491897854</v>
      </c>
      <c r="H26" s="114">
        <f t="shared" si="2"/>
        <v>48.091013491897854</v>
      </c>
      <c r="I26" s="141">
        <f t="shared" si="3"/>
        <v>0</v>
      </c>
      <c r="J26" s="57">
        <f t="shared" si="4"/>
        <v>0</v>
      </c>
      <c r="K26" s="36"/>
    </row>
    <row r="27" spans="1:11" x14ac:dyDescent="0.25">
      <c r="A27" s="49">
        <f>'A) Base RI'!A29</f>
        <v>5428</v>
      </c>
      <c r="B27" s="285" t="str">
        <f>'A) Base RI'!B29</f>
        <v>Gimel</v>
      </c>
      <c r="C27" s="98">
        <f>'B) D RI'!U29</f>
        <v>66171.009865771834</v>
      </c>
      <c r="D27" s="114">
        <f>'E) Fact soc'!G33/C27</f>
        <v>18.456109876901106</v>
      </c>
      <c r="E27" s="141">
        <f>'H) Péréquation directe'!I38/C27</f>
        <v>-1.5227667969563423</v>
      </c>
      <c r="F27" s="114">
        <f>+'I) Dépenses thématiques'!O27/'K) Plafonnement aide'!C27</f>
        <v>-3.9704097747104954</v>
      </c>
      <c r="G27" s="141">
        <f t="shared" si="1"/>
        <v>12.962933305234268</v>
      </c>
      <c r="H27" s="114">
        <f t="shared" si="2"/>
        <v>16.933343079944763</v>
      </c>
      <c r="I27" s="141">
        <f t="shared" si="3"/>
        <v>0</v>
      </c>
      <c r="J27" s="57">
        <f t="shared" si="4"/>
        <v>0</v>
      </c>
      <c r="K27" s="36"/>
    </row>
    <row r="28" spans="1:11" x14ac:dyDescent="0.25">
      <c r="A28" s="49">
        <f>'A) Base RI'!A30</f>
        <v>5429</v>
      </c>
      <c r="B28" s="285" t="str">
        <f>'A) Base RI'!B30</f>
        <v>Longirod</v>
      </c>
      <c r="C28" s="98">
        <f>'B) D RI'!U30</f>
        <v>15311.416666666666</v>
      </c>
      <c r="D28" s="114">
        <f>'E) Fact soc'!G34/C28</f>
        <v>17.20380795688143</v>
      </c>
      <c r="E28" s="141">
        <f>'H) Péréquation directe'!I39/C28</f>
        <v>3.4923225890309451</v>
      </c>
      <c r="F28" s="114">
        <f>+'I) Dépenses thématiques'!O28/'K) Plafonnement aide'!C28</f>
        <v>-4.7380902202904718</v>
      </c>
      <c r="G28" s="141">
        <f t="shared" si="1"/>
        <v>15.958040325621903</v>
      </c>
      <c r="H28" s="114">
        <f t="shared" si="2"/>
        <v>20.696130545912375</v>
      </c>
      <c r="I28" s="141">
        <f t="shared" si="3"/>
        <v>0</v>
      </c>
      <c r="J28" s="57">
        <f t="shared" si="4"/>
        <v>0</v>
      </c>
      <c r="K28" s="36"/>
    </row>
    <row r="29" spans="1:11" x14ac:dyDescent="0.25">
      <c r="A29" s="49">
        <f>'A) Base RI'!A31</f>
        <v>5430</v>
      </c>
      <c r="B29" s="285" t="str">
        <f>'A) Base RI'!B31</f>
        <v>Marchissy</v>
      </c>
      <c r="C29" s="98">
        <f>'B) D RI'!U31</f>
        <v>14827.393037974683</v>
      </c>
      <c r="D29" s="114">
        <f>'E) Fact soc'!G35/C29</f>
        <v>16.705975025273808</v>
      </c>
      <c r="E29" s="141">
        <f>'H) Péréquation directe'!I40/C29</f>
        <v>3.6492312740282657</v>
      </c>
      <c r="F29" s="114">
        <f>+'I) Dépenses thématiques'!O29/'K) Plafonnement aide'!C29</f>
        <v>-4.8607684503278827</v>
      </c>
      <c r="G29" s="141">
        <f t="shared" si="1"/>
        <v>15.494437848974194</v>
      </c>
      <c r="H29" s="114">
        <f t="shared" si="2"/>
        <v>20.355206299302075</v>
      </c>
      <c r="I29" s="141">
        <f t="shared" si="3"/>
        <v>0</v>
      </c>
      <c r="J29" s="57">
        <f t="shared" si="4"/>
        <v>0</v>
      </c>
      <c r="K29" s="36"/>
    </row>
    <row r="30" spans="1:11" x14ac:dyDescent="0.25">
      <c r="A30" s="49">
        <f>'A) Base RI'!A32</f>
        <v>5431</v>
      </c>
      <c r="B30" s="285" t="str">
        <f>'A) Base RI'!B32</f>
        <v>Mollens</v>
      </c>
      <c r="C30" s="98">
        <f>'B) D RI'!U32</f>
        <v>10626.755405405405</v>
      </c>
      <c r="D30" s="114">
        <f>'E) Fact soc'!G36/C30</f>
        <v>20.173196529407726</v>
      </c>
      <c r="E30" s="141">
        <f>'H) Péréquation directe'!I41/C30</f>
        <v>8.4335479658719414</v>
      </c>
      <c r="F30" s="114">
        <f>+'I) Dépenses thématiques'!O30/'K) Plafonnement aide'!C30</f>
        <v>-2.5741888957595203</v>
      </c>
      <c r="G30" s="141">
        <f t="shared" si="1"/>
        <v>26.032555599520148</v>
      </c>
      <c r="H30" s="114">
        <f t="shared" si="2"/>
        <v>28.606744495279667</v>
      </c>
      <c r="I30" s="141">
        <f t="shared" si="3"/>
        <v>0</v>
      </c>
      <c r="J30" s="57">
        <f t="shared" si="4"/>
        <v>0</v>
      </c>
      <c r="K30" s="36"/>
    </row>
    <row r="31" spans="1:11" x14ac:dyDescent="0.25">
      <c r="A31" s="49">
        <f>'A) Base RI'!A33</f>
        <v>5432</v>
      </c>
      <c r="B31" s="285" t="str">
        <f>'A) Base RI'!B33</f>
        <v>Montherod</v>
      </c>
      <c r="C31" s="98">
        <f>'B) D RI'!U33</f>
        <v>16078.014230769231</v>
      </c>
      <c r="D31" s="114">
        <f>'E) Fact soc'!G37/C31</f>
        <v>16.227631992239502</v>
      </c>
      <c r="E31" s="141">
        <f>'H) Péréquation directe'!I42/C31</f>
        <v>1.6711501479650201</v>
      </c>
      <c r="F31" s="114">
        <f>+'I) Dépenses thématiques'!O31/'K) Plafonnement aide'!C31</f>
        <v>-2.6141873937076467</v>
      </c>
      <c r="G31" s="141">
        <f t="shared" si="1"/>
        <v>15.284594746496873</v>
      </c>
      <c r="H31" s="114">
        <f t="shared" si="2"/>
        <v>17.898782140204521</v>
      </c>
      <c r="I31" s="141">
        <f t="shared" si="3"/>
        <v>0</v>
      </c>
      <c r="J31" s="57">
        <f t="shared" si="4"/>
        <v>0</v>
      </c>
      <c r="K31" s="36"/>
    </row>
    <row r="32" spans="1:11" x14ac:dyDescent="0.25">
      <c r="A32" s="49">
        <f>'A) Base RI'!A34</f>
        <v>5434</v>
      </c>
      <c r="B32" s="285" t="str">
        <f>'A) Base RI'!B34</f>
        <v>Saint-George</v>
      </c>
      <c r="C32" s="98">
        <f>'B) D RI'!U34</f>
        <v>39905.96180751174</v>
      </c>
      <c r="D32" s="114">
        <f>'E) Fact soc'!G38/C32</f>
        <v>17.580993883644492</v>
      </c>
      <c r="E32" s="141">
        <f>'H) Péréquation directe'!I43/C32</f>
        <v>11.207789948348323</v>
      </c>
      <c r="F32" s="114">
        <f>+'I) Dépenses thématiques'!O32/'K) Plafonnement aide'!C32</f>
        <v>-1.5379795627939725</v>
      </c>
      <c r="G32" s="141">
        <f t="shared" si="1"/>
        <v>27.250804269198845</v>
      </c>
      <c r="H32" s="114">
        <f t="shared" si="2"/>
        <v>28.788783831992816</v>
      </c>
      <c r="I32" s="141">
        <f t="shared" si="3"/>
        <v>0</v>
      </c>
      <c r="J32" s="57">
        <f t="shared" si="4"/>
        <v>0</v>
      </c>
      <c r="K32" s="36"/>
    </row>
    <row r="33" spans="1:11" x14ac:dyDescent="0.25">
      <c r="A33" s="49">
        <f>'A) Base RI'!A35</f>
        <v>5435</v>
      </c>
      <c r="B33" s="285" t="str">
        <f>'A) Base RI'!B35</f>
        <v>Saint-Livres</v>
      </c>
      <c r="C33" s="98">
        <f>'B) D RI'!U35</f>
        <v>24331.716956521734</v>
      </c>
      <c r="D33" s="114">
        <f>'E) Fact soc'!G39/C33</f>
        <v>16.073051292167573</v>
      </c>
      <c r="E33" s="141">
        <f>'H) Péréquation directe'!I44/C33</f>
        <v>10.061686364873452</v>
      </c>
      <c r="F33" s="114">
        <f>+'I) Dépenses thématiques'!O33/'K) Plafonnement aide'!C33</f>
        <v>-2.8229676629679052</v>
      </c>
      <c r="G33" s="141">
        <f t="shared" si="1"/>
        <v>23.311769994073121</v>
      </c>
      <c r="H33" s="114">
        <f t="shared" si="2"/>
        <v>26.134737657041025</v>
      </c>
      <c r="I33" s="141">
        <f t="shared" si="3"/>
        <v>0</v>
      </c>
      <c r="J33" s="57">
        <f t="shared" si="4"/>
        <v>0</v>
      </c>
      <c r="K33" s="36"/>
    </row>
    <row r="34" spans="1:11" x14ac:dyDescent="0.25">
      <c r="A34" s="49">
        <f>'A) Base RI'!A36</f>
        <v>5436</v>
      </c>
      <c r="B34" s="285" t="str">
        <f>'A) Base RI'!B36</f>
        <v>Saint-Oyens</v>
      </c>
      <c r="C34" s="98">
        <f>'B) D RI'!U36</f>
        <v>16564.840617283953</v>
      </c>
      <c r="D34" s="114">
        <f>'E) Fact soc'!G40/C34</f>
        <v>16.148013384338121</v>
      </c>
      <c r="E34" s="141">
        <f>'H) Péréquation directe'!I45/C34</f>
        <v>9.5596533296052328</v>
      </c>
      <c r="F34" s="114">
        <f>+'I) Dépenses thématiques'!O34/'K) Plafonnement aide'!C34</f>
        <v>0</v>
      </c>
      <c r="G34" s="141">
        <f t="shared" si="1"/>
        <v>25.707666713943354</v>
      </c>
      <c r="H34" s="114">
        <f t="shared" si="2"/>
        <v>25.707666713943354</v>
      </c>
      <c r="I34" s="141">
        <f t="shared" si="3"/>
        <v>0</v>
      </c>
      <c r="J34" s="57">
        <f t="shared" si="4"/>
        <v>0</v>
      </c>
      <c r="K34" s="36"/>
    </row>
    <row r="35" spans="1:11" x14ac:dyDescent="0.25">
      <c r="A35" s="49">
        <f>'A) Base RI'!A37</f>
        <v>5437</v>
      </c>
      <c r="B35" s="285" t="str">
        <f>'A) Base RI'!B37</f>
        <v>Saubraz</v>
      </c>
      <c r="C35" s="98">
        <f>'B) D RI'!U37</f>
        <v>13155.785124999999</v>
      </c>
      <c r="D35" s="114">
        <f>'E) Fact soc'!G41/C35</f>
        <v>16.459167380286051</v>
      </c>
      <c r="E35" s="141">
        <f>'H) Péréquation directe'!I46/C35</f>
        <v>2.9118115539374072</v>
      </c>
      <c r="F35" s="114">
        <f>+'I) Dépenses thématiques'!O35/'K) Plafonnement aide'!C35</f>
        <v>-1.2697917060550743</v>
      </c>
      <c r="G35" s="141">
        <f t="shared" si="1"/>
        <v>18.101187228168385</v>
      </c>
      <c r="H35" s="114">
        <f t="shared" si="2"/>
        <v>19.370978934223459</v>
      </c>
      <c r="I35" s="141">
        <f t="shared" si="3"/>
        <v>0</v>
      </c>
      <c r="J35" s="57">
        <f t="shared" si="4"/>
        <v>0</v>
      </c>
      <c r="K35" s="36"/>
    </row>
    <row r="36" spans="1:11" x14ac:dyDescent="0.25">
      <c r="A36" s="49">
        <f>'A) Base RI'!A38</f>
        <v>5451</v>
      </c>
      <c r="B36" s="285" t="str">
        <f>'A) Base RI'!B38</f>
        <v>Avenches</v>
      </c>
      <c r="C36" s="98">
        <f>'B) D RI'!U38</f>
        <v>129378.19823529426</v>
      </c>
      <c r="D36" s="114">
        <f>'E) Fact soc'!G42/C36</f>
        <v>18.54676414246244</v>
      </c>
      <c r="E36" s="141">
        <f>'H) Péréquation directe'!I47/C36</f>
        <v>-1.8708759669714803</v>
      </c>
      <c r="F36" s="114">
        <f>+'I) Dépenses thématiques'!O36/'K) Plafonnement aide'!C36</f>
        <v>-10.652266247034914</v>
      </c>
      <c r="G36" s="141">
        <f t="shared" si="1"/>
        <v>6.0236219284560466</v>
      </c>
      <c r="H36" s="114">
        <f t="shared" si="2"/>
        <v>16.675888175490961</v>
      </c>
      <c r="I36" s="141">
        <f t="shared" si="3"/>
        <v>0</v>
      </c>
      <c r="J36" s="57">
        <f t="shared" si="4"/>
        <v>0</v>
      </c>
      <c r="K36" s="36"/>
    </row>
    <row r="37" spans="1:11" x14ac:dyDescent="0.25">
      <c r="A37" s="49">
        <f>'A) Base RI'!A39</f>
        <v>5456</v>
      </c>
      <c r="B37" s="285" t="str">
        <f>'A) Base RI'!B39</f>
        <v>Cudrefin</v>
      </c>
      <c r="C37" s="98">
        <f>'B) D RI'!U39</f>
        <v>57755.250790960446</v>
      </c>
      <c r="D37" s="114">
        <f>'E) Fact soc'!G43/C37</f>
        <v>24.691250493235703</v>
      </c>
      <c r="E37" s="141">
        <f>'H) Péréquation directe'!I48/C37</f>
        <v>7.6261216099304265</v>
      </c>
      <c r="F37" s="114">
        <f>+'I) Dépenses thématiques'!O37/'K) Plafonnement aide'!C37</f>
        <v>-5.869646890531067</v>
      </c>
      <c r="G37" s="141">
        <f t="shared" si="1"/>
        <v>26.447725212635063</v>
      </c>
      <c r="H37" s="114">
        <f t="shared" si="2"/>
        <v>32.317372103166129</v>
      </c>
      <c r="I37" s="141">
        <f t="shared" si="3"/>
        <v>0</v>
      </c>
      <c r="J37" s="57">
        <f t="shared" si="4"/>
        <v>0</v>
      </c>
      <c r="K37" s="36"/>
    </row>
    <row r="38" spans="1:11" x14ac:dyDescent="0.25">
      <c r="A38" s="49">
        <f>'A) Base RI'!A40</f>
        <v>5458</v>
      </c>
      <c r="B38" s="285" t="str">
        <f>'A) Base RI'!B40</f>
        <v>Faoug</v>
      </c>
      <c r="C38" s="98">
        <f>'B) D RI'!U40</f>
        <v>33143.605656565654</v>
      </c>
      <c r="D38" s="114">
        <f>'E) Fact soc'!G44/C38</f>
        <v>21.469340856828108</v>
      </c>
      <c r="E38" s="141">
        <f>'H) Péréquation directe'!I49/C38</f>
        <v>12.225104485321094</v>
      </c>
      <c r="F38" s="114">
        <f>+'I) Dépenses thématiques'!O38/'K) Plafonnement aide'!C38</f>
        <v>-1.9214235080688913</v>
      </c>
      <c r="G38" s="141">
        <f t="shared" si="1"/>
        <v>31.773021834080311</v>
      </c>
      <c r="H38" s="114">
        <f t="shared" si="2"/>
        <v>33.694445342149201</v>
      </c>
      <c r="I38" s="141">
        <f t="shared" si="3"/>
        <v>0</v>
      </c>
      <c r="J38" s="57">
        <f t="shared" si="4"/>
        <v>0</v>
      </c>
      <c r="K38" s="36"/>
    </row>
    <row r="39" spans="1:11" x14ac:dyDescent="0.25">
      <c r="A39" s="49">
        <f>'A) Base RI'!A41</f>
        <v>5464</v>
      </c>
      <c r="B39" s="285" t="str">
        <f>'A) Base RI'!B41</f>
        <v>Vully-les-Lacs</v>
      </c>
      <c r="C39" s="98">
        <f>'B) D RI'!U41</f>
        <v>112741.2284079602</v>
      </c>
      <c r="D39" s="114">
        <f>'E) Fact soc'!G45/C39</f>
        <v>18.069888372057097</v>
      </c>
      <c r="E39" s="141">
        <f>'H) Péréquation directe'!I50/C39</f>
        <v>4.833761398543813</v>
      </c>
      <c r="F39" s="114">
        <f>+'I) Dépenses thématiques'!O39/'K) Plafonnement aide'!C39</f>
        <v>-4.5008960869805534</v>
      </c>
      <c r="G39" s="141">
        <f t="shared" si="1"/>
        <v>18.402753683620357</v>
      </c>
      <c r="H39" s="114">
        <f t="shared" si="2"/>
        <v>22.903649770600911</v>
      </c>
      <c r="I39" s="141">
        <f t="shared" si="3"/>
        <v>0</v>
      </c>
      <c r="J39" s="57">
        <f t="shared" si="4"/>
        <v>0</v>
      </c>
      <c r="K39" s="36"/>
    </row>
    <row r="40" spans="1:11" x14ac:dyDescent="0.25">
      <c r="A40" s="49">
        <f>'A) Base RI'!A42</f>
        <v>5471</v>
      </c>
      <c r="B40" s="285" t="str">
        <f>'A) Base RI'!B42</f>
        <v>Bettens</v>
      </c>
      <c r="C40" s="98">
        <f>'B) D RI'!U42</f>
        <v>21708.019984126982</v>
      </c>
      <c r="D40" s="114">
        <f>'E) Fact soc'!G46/C40</f>
        <v>16.100364425569392</v>
      </c>
      <c r="E40" s="141">
        <f>'H) Péréquation directe'!I51/C40</f>
        <v>8.2701983470447527</v>
      </c>
      <c r="F40" s="114">
        <f>+'I) Dépenses thématiques'!O40/'K) Plafonnement aide'!C40</f>
        <v>-3.3862525857171117E-3</v>
      </c>
      <c r="G40" s="141">
        <f t="shared" si="1"/>
        <v>24.367176520028426</v>
      </c>
      <c r="H40" s="114">
        <f t="shared" si="2"/>
        <v>24.370562772614143</v>
      </c>
      <c r="I40" s="141">
        <f t="shared" si="3"/>
        <v>0</v>
      </c>
      <c r="J40" s="57">
        <f t="shared" si="4"/>
        <v>0</v>
      </c>
      <c r="K40" s="36"/>
    </row>
    <row r="41" spans="1:11" x14ac:dyDescent="0.25">
      <c r="A41" s="49">
        <f>'A) Base RI'!A43</f>
        <v>5472</v>
      </c>
      <c r="B41" s="285" t="str">
        <f>'A) Base RI'!B43</f>
        <v>Bournens</v>
      </c>
      <c r="C41" s="98">
        <f>'B) D RI'!U43</f>
        <v>15065.660131578947</v>
      </c>
      <c r="D41" s="114">
        <f>'E) Fact soc'!G47/C41</f>
        <v>16.69066229433437</v>
      </c>
      <c r="E41" s="141">
        <f>'H) Péréquation directe'!I52/C41</f>
        <v>9.1695291264879213</v>
      </c>
      <c r="F41" s="114">
        <f>+'I) Dépenses thématiques'!O41/'K) Plafonnement aide'!C41</f>
        <v>-0.30642459912778885</v>
      </c>
      <c r="G41" s="141">
        <f t="shared" si="1"/>
        <v>25.553766821694502</v>
      </c>
      <c r="H41" s="114">
        <f t="shared" si="2"/>
        <v>25.860191420822289</v>
      </c>
      <c r="I41" s="141">
        <f t="shared" si="3"/>
        <v>0</v>
      </c>
      <c r="J41" s="57">
        <f t="shared" si="4"/>
        <v>0</v>
      </c>
      <c r="K41" s="36"/>
    </row>
    <row r="42" spans="1:11" x14ac:dyDescent="0.25">
      <c r="A42" s="49">
        <f>'A) Base RI'!A44</f>
        <v>5473</v>
      </c>
      <c r="B42" s="285" t="str">
        <f>'A) Base RI'!B44</f>
        <v>Boussens</v>
      </c>
      <c r="C42" s="98">
        <f>'B) D RI'!U44</f>
        <v>34350.684492753629</v>
      </c>
      <c r="D42" s="114">
        <f>'E) Fact soc'!G48/C42</f>
        <v>16.012469250123242</v>
      </c>
      <c r="E42" s="141">
        <f>'H) Péréquation directe'!I53/C42</f>
        <v>9.5460092604910347</v>
      </c>
      <c r="F42" s="114">
        <f>+'I) Dépenses thématiques'!O42/'K) Plafonnement aide'!C42</f>
        <v>0</v>
      </c>
      <c r="G42" s="141">
        <f t="shared" si="1"/>
        <v>25.558478510614279</v>
      </c>
      <c r="H42" s="114">
        <f t="shared" si="2"/>
        <v>25.558478510614279</v>
      </c>
      <c r="I42" s="141">
        <f t="shared" si="3"/>
        <v>0</v>
      </c>
      <c r="J42" s="57">
        <f t="shared" si="4"/>
        <v>0</v>
      </c>
      <c r="K42" s="36"/>
    </row>
    <row r="43" spans="1:11" x14ac:dyDescent="0.25">
      <c r="A43" s="49">
        <f>'A) Base RI'!A45</f>
        <v>5474</v>
      </c>
      <c r="B43" s="285" t="str">
        <f>'A) Base RI'!B45</f>
        <v>La Chaux (Cossonay)</v>
      </c>
      <c r="C43" s="98">
        <f>'B) D RI'!U45</f>
        <v>15323.423073593074</v>
      </c>
      <c r="D43" s="114">
        <f>'E) Fact soc'!G49/C43</f>
        <v>18.047167968621228</v>
      </c>
      <c r="E43" s="141">
        <f>'H) Péréquation directe'!I54/C43</f>
        <v>11.726743542873185</v>
      </c>
      <c r="F43" s="114">
        <f>+'I) Dépenses thématiques'!O43/'K) Plafonnement aide'!C43</f>
        <v>-9.7653149686431</v>
      </c>
      <c r="G43" s="141">
        <f t="shared" si="1"/>
        <v>20.008596542851311</v>
      </c>
      <c r="H43" s="114">
        <f t="shared" si="2"/>
        <v>29.773911511494411</v>
      </c>
      <c r="I43" s="141">
        <f t="shared" si="3"/>
        <v>0</v>
      </c>
      <c r="J43" s="57">
        <f t="shared" si="4"/>
        <v>0</v>
      </c>
      <c r="K43" s="36"/>
    </row>
    <row r="44" spans="1:11" x14ac:dyDescent="0.25">
      <c r="A44" s="49">
        <f>'A) Base RI'!A46</f>
        <v>5475</v>
      </c>
      <c r="B44" s="285" t="str">
        <f>'A) Base RI'!B46</f>
        <v>Chavannes-le-Veyron</v>
      </c>
      <c r="C44" s="98">
        <f>'B) D RI'!U46</f>
        <v>3045.9346753246755</v>
      </c>
      <c r="D44" s="114">
        <f>'E) Fact soc'!G50/C44</f>
        <v>18.900207842721464</v>
      </c>
      <c r="E44" s="141">
        <f>'H) Péréquation directe'!I55/C44</f>
        <v>-17.992887060087064</v>
      </c>
      <c r="F44" s="114">
        <f>+'I) Dépenses thématiques'!O44/'K) Plafonnement aide'!C44</f>
        <v>-5.9333681519880237</v>
      </c>
      <c r="G44" s="141">
        <f t="shared" si="1"/>
        <v>-5.0260473693536234</v>
      </c>
      <c r="H44" s="114">
        <f t="shared" si="2"/>
        <v>0.9073207826344003</v>
      </c>
      <c r="I44" s="141">
        <f t="shared" si="3"/>
        <v>0</v>
      </c>
      <c r="J44" s="57">
        <f t="shared" si="4"/>
        <v>0</v>
      </c>
      <c r="K44" s="36"/>
    </row>
    <row r="45" spans="1:11" x14ac:dyDescent="0.25">
      <c r="A45" s="49">
        <f>'A) Base RI'!A47</f>
        <v>5476</v>
      </c>
      <c r="B45" s="285" t="str">
        <f>'A) Base RI'!B47</f>
        <v>Chevilly</v>
      </c>
      <c r="C45" s="98">
        <f>'B) D RI'!U47</f>
        <v>12632.544999999996</v>
      </c>
      <c r="D45" s="114">
        <f>'E) Fact soc'!G51/C45</f>
        <v>14.691171416609194</v>
      </c>
      <c r="E45" s="141">
        <f>'H) Péréquation directe'!I56/C45</f>
        <v>12.896302825347172</v>
      </c>
      <c r="F45" s="114">
        <f>+'I) Dépenses thématiques'!O45/'K) Plafonnement aide'!C45</f>
        <v>-0.83261820097171524</v>
      </c>
      <c r="G45" s="141">
        <f t="shared" si="1"/>
        <v>26.754856040984649</v>
      </c>
      <c r="H45" s="114">
        <f t="shared" si="2"/>
        <v>27.587474241956365</v>
      </c>
      <c r="I45" s="141">
        <f t="shared" si="3"/>
        <v>0</v>
      </c>
      <c r="J45" s="57">
        <f t="shared" si="4"/>
        <v>0</v>
      </c>
      <c r="K45" s="36"/>
    </row>
    <row r="46" spans="1:11" x14ac:dyDescent="0.25">
      <c r="A46" s="49">
        <f>'A) Base RI'!A48</f>
        <v>5477</v>
      </c>
      <c r="B46" s="285" t="str">
        <f>'A) Base RI'!B48</f>
        <v>Cossonay</v>
      </c>
      <c r="C46" s="98">
        <f>'B) D RI'!U48</f>
        <v>144389.2549295775</v>
      </c>
      <c r="D46" s="114">
        <f>'E) Fact soc'!G52/C46</f>
        <v>16.456927394256901</v>
      </c>
      <c r="E46" s="141">
        <f>'H) Péréquation directe'!I57/C46</f>
        <v>4.2367715499520147</v>
      </c>
      <c r="F46" s="114">
        <f>+'I) Dépenses thématiques'!O46/'K) Plafonnement aide'!C46</f>
        <v>-3.7826774136630115</v>
      </c>
      <c r="G46" s="141">
        <f t="shared" si="1"/>
        <v>16.911021530545902</v>
      </c>
      <c r="H46" s="114">
        <f t="shared" si="2"/>
        <v>20.693698944208915</v>
      </c>
      <c r="I46" s="141">
        <f t="shared" si="3"/>
        <v>0</v>
      </c>
      <c r="J46" s="57">
        <f t="shared" si="4"/>
        <v>0</v>
      </c>
      <c r="K46" s="36"/>
    </row>
    <row r="47" spans="1:11" x14ac:dyDescent="0.25">
      <c r="A47" s="49">
        <f>'A) Base RI'!A49</f>
        <v>5478</v>
      </c>
      <c r="B47" s="285" t="str">
        <f>'A) Base RI'!B49</f>
        <v>Cottens</v>
      </c>
      <c r="C47" s="98">
        <f>'B) D RI'!U49</f>
        <v>17566.345945945945</v>
      </c>
      <c r="D47" s="114">
        <f>'E) Fact soc'!G53/C47</f>
        <v>17.682234564385009</v>
      </c>
      <c r="E47" s="141">
        <f>'H) Péréquation directe'!I58/C47</f>
        <v>9.8792188502710552</v>
      </c>
      <c r="F47" s="114">
        <f>+'I) Dépenses thématiques'!O47/'K) Plafonnement aide'!C47</f>
        <v>-31.184557747069992</v>
      </c>
      <c r="G47" s="141">
        <f t="shared" si="1"/>
        <v>-3.6231043324139272</v>
      </c>
      <c r="H47" s="114">
        <f t="shared" si="2"/>
        <v>27.561453414656064</v>
      </c>
      <c r="I47" s="141">
        <f t="shared" si="3"/>
        <v>0</v>
      </c>
      <c r="J47" s="57">
        <f t="shared" si="4"/>
        <v>0</v>
      </c>
      <c r="K47" s="36"/>
    </row>
    <row r="48" spans="1:11" x14ac:dyDescent="0.25">
      <c r="A48" s="49">
        <f>'A) Base RI'!A50</f>
        <v>5479</v>
      </c>
      <c r="B48" s="285" t="str">
        <f>'A) Base RI'!B50</f>
        <v>Cuarnens</v>
      </c>
      <c r="C48" s="98">
        <f>'B) D RI'!U50</f>
        <v>17277.023636363636</v>
      </c>
      <c r="D48" s="114">
        <f>'E) Fact soc'!G54/C48</f>
        <v>16.134087773309101</v>
      </c>
      <c r="E48" s="141">
        <f>'H) Péréquation directe'!I59/C48</f>
        <v>8.8289284734466573</v>
      </c>
      <c r="F48" s="114">
        <f>+'I) Dépenses thématiques'!O48/'K) Plafonnement aide'!C48</f>
        <v>-17.523640988824365</v>
      </c>
      <c r="G48" s="141">
        <f t="shared" si="1"/>
        <v>7.4393752579313919</v>
      </c>
      <c r="H48" s="114">
        <f t="shared" si="2"/>
        <v>24.963016246755757</v>
      </c>
      <c r="I48" s="141">
        <f t="shared" si="3"/>
        <v>0</v>
      </c>
      <c r="J48" s="57">
        <f t="shared" si="4"/>
        <v>0</v>
      </c>
      <c r="K48" s="36"/>
    </row>
    <row r="49" spans="1:11" x14ac:dyDescent="0.25">
      <c r="A49" s="49">
        <f>'A) Base RI'!A51</f>
        <v>5480</v>
      </c>
      <c r="B49" s="285" t="str">
        <f>'A) Base RI'!B51</f>
        <v>Daillens</v>
      </c>
      <c r="C49" s="98">
        <f>'B) D RI'!U51</f>
        <v>40568.804343434349</v>
      </c>
      <c r="D49" s="114">
        <f>'E) Fact soc'!G55/C49</f>
        <v>17.274006101924684</v>
      </c>
      <c r="E49" s="141">
        <f>'H) Péréquation directe'!I60/C49</f>
        <v>13.146883826997314</v>
      </c>
      <c r="F49" s="114">
        <f>+'I) Dépenses thématiques'!O49/'K) Plafonnement aide'!C49</f>
        <v>-10.426033147827884</v>
      </c>
      <c r="G49" s="141">
        <f t="shared" si="1"/>
        <v>19.994856781094114</v>
      </c>
      <c r="H49" s="114">
        <f t="shared" si="2"/>
        <v>30.420889928921998</v>
      </c>
      <c r="I49" s="141">
        <f t="shared" si="3"/>
        <v>0</v>
      </c>
      <c r="J49" s="57">
        <f t="shared" si="4"/>
        <v>0</v>
      </c>
      <c r="K49" s="36"/>
    </row>
    <row r="50" spans="1:11" x14ac:dyDescent="0.25">
      <c r="A50" s="49">
        <f>'A) Base RI'!A52</f>
        <v>5481</v>
      </c>
      <c r="B50" s="285" t="str">
        <f>'A) Base RI'!B52</f>
        <v>Dizy</v>
      </c>
      <c r="C50" s="98">
        <f>'B) D RI'!U52</f>
        <v>9658.8267088607608</v>
      </c>
      <c r="D50" s="114">
        <f>'E) Fact soc'!G56/C50</f>
        <v>14.698193491033386</v>
      </c>
      <c r="E50" s="141">
        <f>'H) Péréquation directe'!I61/C50</f>
        <v>13.462391539566728</v>
      </c>
      <c r="F50" s="114">
        <f>+'I) Dépenses thématiques'!O50/'K) Plafonnement aide'!C50</f>
        <v>-1.4776296978487446</v>
      </c>
      <c r="G50" s="141">
        <f t="shared" si="1"/>
        <v>26.682955332751369</v>
      </c>
      <c r="H50" s="114">
        <f t="shared" si="2"/>
        <v>28.160585030600114</v>
      </c>
      <c r="I50" s="141">
        <f t="shared" si="3"/>
        <v>0</v>
      </c>
      <c r="J50" s="57">
        <f t="shared" si="4"/>
        <v>0</v>
      </c>
      <c r="K50" s="36"/>
    </row>
    <row r="51" spans="1:11" x14ac:dyDescent="0.25">
      <c r="A51" s="49">
        <f>'A) Base RI'!A53</f>
        <v>5482</v>
      </c>
      <c r="B51" s="285" t="str">
        <f>'A) Base RI'!B53</f>
        <v>Eclépens</v>
      </c>
      <c r="C51" s="98">
        <f>'B) D RI'!U53</f>
        <v>60116.695217391316</v>
      </c>
      <c r="D51" s="114">
        <f>'E) Fact soc'!G57/C51</f>
        <v>17.656267484746888</v>
      </c>
      <c r="E51" s="141">
        <f>'H) Péréquation directe'!I62/C51</f>
        <v>16.617954764004143</v>
      </c>
      <c r="F51" s="114">
        <f>+'I) Dépenses thématiques'!O51/'K) Plafonnement aide'!C51</f>
        <v>-1.0117986213701544</v>
      </c>
      <c r="G51" s="141">
        <f t="shared" si="1"/>
        <v>33.262423627380876</v>
      </c>
      <c r="H51" s="114">
        <f t="shared" si="2"/>
        <v>34.27422224875103</v>
      </c>
      <c r="I51" s="141">
        <f t="shared" si="3"/>
        <v>0</v>
      </c>
      <c r="J51" s="57">
        <f t="shared" si="4"/>
        <v>0</v>
      </c>
      <c r="K51" s="36"/>
    </row>
    <row r="52" spans="1:11" x14ac:dyDescent="0.25">
      <c r="A52" s="49">
        <f>'A) Base RI'!A54</f>
        <v>5483</v>
      </c>
      <c r="B52" s="285" t="str">
        <f>'A) Base RI'!B54</f>
        <v>Ferreyres</v>
      </c>
      <c r="C52" s="98">
        <f>'B) D RI'!U54</f>
        <v>11167.980394736842</v>
      </c>
      <c r="D52" s="114">
        <f>'E) Fact soc'!G58/C52</f>
        <v>17.370586041486419</v>
      </c>
      <c r="E52" s="141">
        <f>'H) Péréquation directe'!I63/C52</f>
        <v>8.396225839595413</v>
      </c>
      <c r="F52" s="114">
        <f>+'I) Dépenses thématiques'!O52/'K) Plafonnement aide'!C52</f>
        <v>-0.17228774339957742</v>
      </c>
      <c r="G52" s="141">
        <f t="shared" si="1"/>
        <v>25.594524137682253</v>
      </c>
      <c r="H52" s="114">
        <f t="shared" si="2"/>
        <v>25.766811881081832</v>
      </c>
      <c r="I52" s="141">
        <f t="shared" si="3"/>
        <v>0</v>
      </c>
      <c r="J52" s="57">
        <f t="shared" si="4"/>
        <v>0</v>
      </c>
      <c r="K52" s="36"/>
    </row>
    <row r="53" spans="1:11" x14ac:dyDescent="0.25">
      <c r="A53" s="49">
        <f>'A) Base RI'!A55</f>
        <v>5484</v>
      </c>
      <c r="B53" s="285" t="str">
        <f>'A) Base RI'!B55</f>
        <v>Gollion</v>
      </c>
      <c r="C53" s="98">
        <f>'B) D RI'!U55</f>
        <v>33995.543783783789</v>
      </c>
      <c r="D53" s="114">
        <f>'E) Fact soc'!G59/C53</f>
        <v>18.822844405673134</v>
      </c>
      <c r="E53" s="141">
        <f>'H) Péréquation directe'!I64/C53</f>
        <v>9.996479562586428</v>
      </c>
      <c r="F53" s="114">
        <f>+'I) Dépenses thématiques'!O53/'K) Plafonnement aide'!C53</f>
        <v>-3.4798174694573833</v>
      </c>
      <c r="G53" s="141">
        <f t="shared" si="1"/>
        <v>25.339506498802177</v>
      </c>
      <c r="H53" s="114">
        <f t="shared" si="2"/>
        <v>28.81932396825956</v>
      </c>
      <c r="I53" s="141">
        <f t="shared" si="3"/>
        <v>0</v>
      </c>
      <c r="J53" s="57">
        <f t="shared" si="4"/>
        <v>0</v>
      </c>
      <c r="K53" s="36"/>
    </row>
    <row r="54" spans="1:11" x14ac:dyDescent="0.25">
      <c r="A54" s="49">
        <f>'A) Base RI'!A56</f>
        <v>5485</v>
      </c>
      <c r="B54" s="285" t="str">
        <f>'A) Base RI'!B56</f>
        <v>Grancy</v>
      </c>
      <c r="C54" s="98">
        <f>'B) D RI'!U56</f>
        <v>16957.048857142858</v>
      </c>
      <c r="D54" s="114">
        <f>'E) Fact soc'!G60/C54</f>
        <v>17.3190437766767</v>
      </c>
      <c r="E54" s="141">
        <f>'H) Péréquation directe'!I65/C54</f>
        <v>15.061545722221727</v>
      </c>
      <c r="F54" s="114">
        <f>+'I) Dépenses thématiques'!O54/'K) Plafonnement aide'!C54</f>
        <v>-1.7040408756864118</v>
      </c>
      <c r="G54" s="141">
        <f t="shared" si="1"/>
        <v>30.676548623212017</v>
      </c>
      <c r="H54" s="114">
        <f t="shared" si="2"/>
        <v>32.380589498898431</v>
      </c>
      <c r="I54" s="141">
        <f t="shared" si="3"/>
        <v>0</v>
      </c>
      <c r="J54" s="57">
        <f t="shared" si="4"/>
        <v>0</v>
      </c>
      <c r="K54" s="36"/>
    </row>
    <row r="55" spans="1:11" x14ac:dyDescent="0.25">
      <c r="A55" s="49">
        <f>'A) Base RI'!A57</f>
        <v>5486</v>
      </c>
      <c r="B55" s="285" t="str">
        <f>'A) Base RI'!B57</f>
        <v>L'Isle</v>
      </c>
      <c r="C55" s="98">
        <f>'B) D RI'!U57</f>
        <v>35667.648026315794</v>
      </c>
      <c r="D55" s="114">
        <f>'E) Fact soc'!G61/C55</f>
        <v>23.655332994185066</v>
      </c>
      <c r="E55" s="141">
        <f>'H) Péréquation directe'!I66/C55</f>
        <v>8.6975166839061835</v>
      </c>
      <c r="F55" s="114">
        <f>+'I) Dépenses thématiques'!O55/'K) Plafonnement aide'!C55</f>
        <v>-8.0537306937777231</v>
      </c>
      <c r="G55" s="141">
        <f t="shared" si="1"/>
        <v>24.299118984313523</v>
      </c>
      <c r="H55" s="114">
        <f t="shared" si="2"/>
        <v>32.352849678091246</v>
      </c>
      <c r="I55" s="141">
        <f t="shared" si="3"/>
        <v>0</v>
      </c>
      <c r="J55" s="57">
        <f t="shared" si="4"/>
        <v>0</v>
      </c>
      <c r="K55" s="36"/>
    </row>
    <row r="56" spans="1:11" x14ac:dyDescent="0.25">
      <c r="A56" s="49">
        <f>'A) Base RI'!A58</f>
        <v>5487</v>
      </c>
      <c r="B56" s="285" t="str">
        <f>'A) Base RI'!B58</f>
        <v>Lussery-Villars</v>
      </c>
      <c r="C56" s="98">
        <f>'B) D RI'!U58</f>
        <v>15504.095066666665</v>
      </c>
      <c r="D56" s="114">
        <f>'E) Fact soc'!G62/C56</f>
        <v>16.955529629651799</v>
      </c>
      <c r="E56" s="141">
        <f>'H) Péréquation directe'!I67/C56</f>
        <v>7.4871904817043697</v>
      </c>
      <c r="F56" s="114">
        <f>+'I) Dépenses thématiques'!O56/'K) Plafonnement aide'!C56</f>
        <v>-2.6255417762167816</v>
      </c>
      <c r="G56" s="141">
        <f t="shared" si="1"/>
        <v>21.817178335139388</v>
      </c>
      <c r="H56" s="114">
        <f t="shared" si="2"/>
        <v>24.44272011135617</v>
      </c>
      <c r="I56" s="141">
        <f t="shared" si="3"/>
        <v>0</v>
      </c>
      <c r="J56" s="57">
        <f t="shared" si="4"/>
        <v>0</v>
      </c>
      <c r="K56" s="36"/>
    </row>
    <row r="57" spans="1:11" x14ac:dyDescent="0.25">
      <c r="A57" s="49">
        <f>'A) Base RI'!A59</f>
        <v>5488</v>
      </c>
      <c r="B57" s="285" t="str">
        <f>'A) Base RI'!B59</f>
        <v>Mauraz</v>
      </c>
      <c r="C57" s="98">
        <f>'B) D RI'!U59</f>
        <v>1751.8621794871794</v>
      </c>
      <c r="D57" s="114">
        <f>'E) Fact soc'!G63/C57</f>
        <v>14.691171416609194</v>
      </c>
      <c r="E57" s="141">
        <f>'H) Péréquation directe'!I68/C57</f>
        <v>3.0727129323674758</v>
      </c>
      <c r="F57" s="114">
        <f>+'I) Dépenses thématiques'!O57/'K) Plafonnement aide'!C57</f>
        <v>0</v>
      </c>
      <c r="G57" s="141">
        <f t="shared" si="1"/>
        <v>17.763884348976671</v>
      </c>
      <c r="H57" s="114">
        <f t="shared" si="2"/>
        <v>17.763884348976671</v>
      </c>
      <c r="I57" s="141">
        <f t="shared" si="3"/>
        <v>0</v>
      </c>
      <c r="J57" s="57">
        <f t="shared" si="4"/>
        <v>0</v>
      </c>
      <c r="K57" s="36"/>
    </row>
    <row r="58" spans="1:11" x14ac:dyDescent="0.25">
      <c r="A58" s="49">
        <f>'A) Base RI'!A60</f>
        <v>5489</v>
      </c>
      <c r="B58" s="285" t="str">
        <f>'A) Base RI'!B60</f>
        <v>Mex</v>
      </c>
      <c r="C58" s="98">
        <f>'B) D RI'!U60</f>
        <v>62953.268196721314</v>
      </c>
      <c r="D58" s="114">
        <f>'E) Fact soc'!G64/C58</f>
        <v>24.944878554853467</v>
      </c>
      <c r="E58" s="141">
        <f>'H) Péréquation directe'!I69/C58</f>
        <v>18.573858879069721</v>
      </c>
      <c r="F58" s="114">
        <f>+'I) Dépenses thématiques'!O58/'K) Plafonnement aide'!C58</f>
        <v>0</v>
      </c>
      <c r="G58" s="141">
        <f t="shared" si="1"/>
        <v>43.518737433923192</v>
      </c>
      <c r="H58" s="114">
        <f t="shared" si="2"/>
        <v>43.518737433923192</v>
      </c>
      <c r="I58" s="141">
        <f t="shared" si="3"/>
        <v>0</v>
      </c>
      <c r="J58" s="57">
        <f t="shared" si="4"/>
        <v>0</v>
      </c>
      <c r="K58" s="36"/>
    </row>
    <row r="59" spans="1:11" x14ac:dyDescent="0.25">
      <c r="A59" s="49">
        <f>'A) Base RI'!A61</f>
        <v>5490</v>
      </c>
      <c r="B59" s="285" t="str">
        <f>'A) Base RI'!B61</f>
        <v>Moiry</v>
      </c>
      <c r="C59" s="98">
        <f>'B) D RI'!U61</f>
        <v>8346.3239490445867</v>
      </c>
      <c r="D59" s="114">
        <f>'E) Fact soc'!G65/C59</f>
        <v>15.80078267259934</v>
      </c>
      <c r="E59" s="141">
        <f>'H) Péréquation directe'!I70/C59</f>
        <v>-2.9661990320817666</v>
      </c>
      <c r="F59" s="114">
        <f>+'I) Dépenses thématiques'!O59/'K) Plafonnement aide'!C59</f>
        <v>-7.596216078632744</v>
      </c>
      <c r="G59" s="141">
        <f t="shared" si="1"/>
        <v>5.2383675618848295</v>
      </c>
      <c r="H59" s="114">
        <f t="shared" si="2"/>
        <v>12.834583640517573</v>
      </c>
      <c r="I59" s="141">
        <f t="shared" si="3"/>
        <v>0</v>
      </c>
      <c r="J59" s="57">
        <f t="shared" si="4"/>
        <v>0</v>
      </c>
      <c r="K59" s="36"/>
    </row>
    <row r="60" spans="1:11" x14ac:dyDescent="0.25">
      <c r="A60" s="49">
        <f>'A) Base RI'!A62</f>
        <v>5491</v>
      </c>
      <c r="B60" s="285" t="str">
        <f>'A) Base RI'!B62</f>
        <v>Mont-la-Ville</v>
      </c>
      <c r="C60" s="98">
        <f>'B) D RI'!U62</f>
        <v>14105.600657894736</v>
      </c>
      <c r="D60" s="114">
        <f>'E) Fact soc'!G66/C60</f>
        <v>15.635769617221278</v>
      </c>
      <c r="E60" s="141">
        <f>'H) Péréquation directe'!I71/C60</f>
        <v>2.0980002311965213</v>
      </c>
      <c r="F60" s="114">
        <f>+'I) Dépenses thématiques'!O60/'K) Plafonnement aide'!C60</f>
        <v>-6.8655343553987649</v>
      </c>
      <c r="G60" s="141">
        <f t="shared" si="1"/>
        <v>10.868235493019036</v>
      </c>
      <c r="H60" s="114">
        <f t="shared" si="2"/>
        <v>17.733769848417801</v>
      </c>
      <c r="I60" s="141">
        <f t="shared" si="3"/>
        <v>0</v>
      </c>
      <c r="J60" s="57">
        <f t="shared" si="4"/>
        <v>0</v>
      </c>
      <c r="K60" s="36"/>
    </row>
    <row r="61" spans="1:11" x14ac:dyDescent="0.25">
      <c r="A61" s="49">
        <f>'A) Base RI'!A63</f>
        <v>5492</v>
      </c>
      <c r="B61" s="285" t="str">
        <f>'A) Base RI'!B63</f>
        <v>Montricher</v>
      </c>
      <c r="C61" s="98">
        <f>'B) D RI'!U63</f>
        <v>190092.85661458335</v>
      </c>
      <c r="D61" s="114">
        <f>'E) Fact soc'!G67/C61</f>
        <v>38.61291548868585</v>
      </c>
      <c r="E61" s="141">
        <f>'H) Péréquation directe'!I72/C61</f>
        <v>19.369601541680275</v>
      </c>
      <c r="F61" s="114">
        <f>+'I) Dépenses thématiques'!O61/'K) Plafonnement aide'!C61</f>
        <v>-0.7522485439360761</v>
      </c>
      <c r="G61" s="141">
        <f t="shared" si="1"/>
        <v>57.230268486430049</v>
      </c>
      <c r="H61" s="114">
        <f t="shared" si="2"/>
        <v>57.982517030366125</v>
      </c>
      <c r="I61" s="141">
        <f t="shared" si="3"/>
        <v>0</v>
      </c>
      <c r="J61" s="57">
        <f t="shared" si="4"/>
        <v>0</v>
      </c>
      <c r="K61" s="36"/>
    </row>
    <row r="62" spans="1:11" x14ac:dyDescent="0.25">
      <c r="A62" s="49">
        <f>'A) Base RI'!A64</f>
        <v>5493</v>
      </c>
      <c r="B62" s="285" t="str">
        <f>'A) Base RI'!B64</f>
        <v>Orny</v>
      </c>
      <c r="C62" s="98">
        <f>'B) D RI'!U64</f>
        <v>10669.457639620656</v>
      </c>
      <c r="D62" s="114">
        <f>'E) Fact soc'!G68/C62</f>
        <v>22.694477478100431</v>
      </c>
      <c r="E62" s="141">
        <f>'H) Péréquation directe'!I73/C62</f>
        <v>-2.5601098025677236</v>
      </c>
      <c r="F62" s="114">
        <f>+'I) Dépenses thématiques'!O62/'K) Plafonnement aide'!C62</f>
        <v>0</v>
      </c>
      <c r="G62" s="141">
        <f t="shared" si="1"/>
        <v>20.134367675532708</v>
      </c>
      <c r="H62" s="114">
        <f t="shared" si="2"/>
        <v>20.134367675532708</v>
      </c>
      <c r="I62" s="141">
        <f t="shared" si="3"/>
        <v>0</v>
      </c>
      <c r="J62" s="57">
        <f t="shared" si="4"/>
        <v>0</v>
      </c>
      <c r="K62" s="36"/>
    </row>
    <row r="63" spans="1:11" x14ac:dyDescent="0.25">
      <c r="A63" s="49">
        <f>'A) Base RI'!A65</f>
        <v>5494</v>
      </c>
      <c r="B63" s="285" t="str">
        <f>'A) Base RI'!B65</f>
        <v>Pampigny</v>
      </c>
      <c r="C63" s="98">
        <f>'B) D RI'!U65</f>
        <v>37008.943269841264</v>
      </c>
      <c r="D63" s="114">
        <f>'E) Fact soc'!G69/C63</f>
        <v>17.361891552532274</v>
      </c>
      <c r="E63" s="141">
        <f>'H) Péréquation directe'!I74/C63</f>
        <v>6.6245381653959434</v>
      </c>
      <c r="F63" s="114">
        <f>+'I) Dépenses thématiques'!O63/'K) Plafonnement aide'!C63</f>
        <v>-6.3398502680283864</v>
      </c>
      <c r="G63" s="141">
        <f t="shared" si="1"/>
        <v>17.646579449899832</v>
      </c>
      <c r="H63" s="114">
        <f t="shared" si="2"/>
        <v>23.986429717928218</v>
      </c>
      <c r="I63" s="141">
        <f t="shared" si="3"/>
        <v>0</v>
      </c>
      <c r="J63" s="57">
        <f t="shared" si="4"/>
        <v>0</v>
      </c>
      <c r="K63" s="36"/>
    </row>
    <row r="64" spans="1:11" x14ac:dyDescent="0.25">
      <c r="A64" s="49">
        <f>'A) Base RI'!A66</f>
        <v>5495</v>
      </c>
      <c r="B64" s="285" t="str">
        <f>'A) Base RI'!B66</f>
        <v>Penthalaz</v>
      </c>
      <c r="C64" s="98">
        <f>'B) D RI'!U66</f>
        <v>95334.294459459459</v>
      </c>
      <c r="D64" s="114">
        <f>'E) Fact soc'!G70/C64</f>
        <v>16.979893132515802</v>
      </c>
      <c r="E64" s="141">
        <f>'H) Péréquation directe'!I75/C64</f>
        <v>-3.2704595607548024</v>
      </c>
      <c r="F64" s="114">
        <f>+'I) Dépenses thématiques'!O64/'K) Plafonnement aide'!C64</f>
        <v>-6.0296800174008363</v>
      </c>
      <c r="G64" s="141">
        <f t="shared" si="1"/>
        <v>7.6797535543601638</v>
      </c>
      <c r="H64" s="114">
        <f t="shared" si="2"/>
        <v>13.709433571761</v>
      </c>
      <c r="I64" s="141">
        <f t="shared" si="3"/>
        <v>0</v>
      </c>
      <c r="J64" s="57">
        <f t="shared" si="4"/>
        <v>0</v>
      </c>
      <c r="K64" s="36"/>
    </row>
    <row r="65" spans="1:11" x14ac:dyDescent="0.25">
      <c r="A65" s="49">
        <f>'A) Base RI'!A67</f>
        <v>5496</v>
      </c>
      <c r="B65" s="285" t="str">
        <f>'A) Base RI'!B67</f>
        <v>Penthaz</v>
      </c>
      <c r="C65" s="98">
        <f>'B) D RI'!U67</f>
        <v>59470.759859154932</v>
      </c>
      <c r="D65" s="114">
        <f>'E) Fact soc'!G71/C65</f>
        <v>18.346338098770513</v>
      </c>
      <c r="E65" s="141">
        <f>'H) Péréquation directe'!I76/C65</f>
        <v>5.5224407721530948</v>
      </c>
      <c r="F65" s="114">
        <f>+'I) Dépenses thématiques'!O65/'K) Plafonnement aide'!C65</f>
        <v>-4.3483816723719002</v>
      </c>
      <c r="G65" s="141">
        <f t="shared" si="1"/>
        <v>19.520397198551706</v>
      </c>
      <c r="H65" s="114">
        <f t="shared" si="2"/>
        <v>23.868778870923606</v>
      </c>
      <c r="I65" s="141">
        <f t="shared" si="3"/>
        <v>0</v>
      </c>
      <c r="J65" s="57">
        <f t="shared" si="4"/>
        <v>0</v>
      </c>
      <c r="K65" s="36"/>
    </row>
    <row r="66" spans="1:11" x14ac:dyDescent="0.25">
      <c r="A66" s="49">
        <f>'A) Base RI'!A68</f>
        <v>5497</v>
      </c>
      <c r="B66" s="285" t="str">
        <f>'A) Base RI'!B68</f>
        <v>Pompaples</v>
      </c>
      <c r="C66" s="98">
        <f>'B) D RI'!U68</f>
        <v>22300.858484848486</v>
      </c>
      <c r="D66" s="114">
        <f>'E) Fact soc'!G72/C66</f>
        <v>20.086395779014158</v>
      </c>
      <c r="E66" s="141">
        <f>'H) Péréquation directe'!I77/C66</f>
        <v>1.4446329635283075</v>
      </c>
      <c r="F66" s="114">
        <f>+'I) Dépenses thématiques'!O66/'K) Plafonnement aide'!C66</f>
        <v>-7.8391541500727184</v>
      </c>
      <c r="G66" s="141">
        <f t="shared" si="1"/>
        <v>13.691874592469745</v>
      </c>
      <c r="H66" s="114">
        <f t="shared" si="2"/>
        <v>21.531028742542464</v>
      </c>
      <c r="I66" s="141">
        <f t="shared" si="3"/>
        <v>0</v>
      </c>
      <c r="J66" s="57">
        <f t="shared" si="4"/>
        <v>0</v>
      </c>
      <c r="K66" s="36"/>
    </row>
    <row r="67" spans="1:11" x14ac:dyDescent="0.25">
      <c r="A67" s="49">
        <f>'A) Base RI'!A69</f>
        <v>5498</v>
      </c>
      <c r="B67" s="285" t="str">
        <f>'A) Base RI'!B69</f>
        <v>La Sarraz</v>
      </c>
      <c r="C67" s="98">
        <f>'B) D RI'!U69</f>
        <v>77649.398333333345</v>
      </c>
      <c r="D67" s="114">
        <f>'E) Fact soc'!G73/C67</f>
        <v>18.323738520209204</v>
      </c>
      <c r="E67" s="141">
        <f>'H) Péréquation directe'!I78/C67</f>
        <v>0.40829786538527318</v>
      </c>
      <c r="F67" s="114">
        <f>+'I) Dépenses thématiques'!O67/'K) Plafonnement aide'!C67</f>
        <v>-7.2951903325983798</v>
      </c>
      <c r="G67" s="141">
        <f t="shared" si="1"/>
        <v>11.436846052996096</v>
      </c>
      <c r="H67" s="114">
        <f t="shared" si="2"/>
        <v>18.732036385594476</v>
      </c>
      <c r="I67" s="141">
        <f t="shared" si="3"/>
        <v>0</v>
      </c>
      <c r="J67" s="57">
        <f t="shared" si="4"/>
        <v>0</v>
      </c>
      <c r="K67" s="36"/>
    </row>
    <row r="68" spans="1:11" x14ac:dyDescent="0.25">
      <c r="A68" s="49">
        <f>'A) Base RI'!A70</f>
        <v>5499</v>
      </c>
      <c r="B68" s="285" t="str">
        <f>'A) Base RI'!B70</f>
        <v>Senarclens</v>
      </c>
      <c r="C68" s="98">
        <f>'B) D RI'!U70</f>
        <v>19517.373430656935</v>
      </c>
      <c r="D68" s="114">
        <f>'E) Fact soc'!G74/C68</f>
        <v>17.771851571324877</v>
      </c>
      <c r="E68" s="141">
        <f>'H) Péréquation directe'!I79/C68</f>
        <v>14.117666211772894</v>
      </c>
      <c r="F68" s="114">
        <f>+'I) Dépenses thématiques'!O68/'K) Plafonnement aide'!C68</f>
        <v>0</v>
      </c>
      <c r="G68" s="141">
        <f t="shared" si="1"/>
        <v>31.889517783097773</v>
      </c>
      <c r="H68" s="114">
        <f t="shared" si="2"/>
        <v>31.889517783097773</v>
      </c>
      <c r="I68" s="141">
        <f t="shared" si="3"/>
        <v>0</v>
      </c>
      <c r="J68" s="57">
        <f t="shared" si="4"/>
        <v>0</v>
      </c>
      <c r="K68" s="36"/>
    </row>
    <row r="69" spans="1:11" x14ac:dyDescent="0.25">
      <c r="A69" s="49">
        <f>'A) Base RI'!A71</f>
        <v>5500</v>
      </c>
      <c r="B69" s="285" t="str">
        <f>'A) Base RI'!B71</f>
        <v>Sévery</v>
      </c>
      <c r="C69" s="98">
        <f>'B) D RI'!U71</f>
        <v>6999.0248888888891</v>
      </c>
      <c r="D69" s="114">
        <f>'E) Fact soc'!G75/C69</f>
        <v>16.962577112742355</v>
      </c>
      <c r="E69" s="141">
        <f>'H) Péréquation directe'!I80/C69</f>
        <v>4.1637808619796743</v>
      </c>
      <c r="F69" s="114">
        <f>+'I) Dépenses thématiques'!O69/'K) Plafonnement aide'!C69</f>
        <v>-2.5425591445665132</v>
      </c>
      <c r="G69" s="141">
        <f t="shared" si="1"/>
        <v>18.583798830155516</v>
      </c>
      <c r="H69" s="114">
        <f t="shared" si="2"/>
        <v>21.12635797472203</v>
      </c>
      <c r="I69" s="141">
        <f t="shared" si="3"/>
        <v>0</v>
      </c>
      <c r="J69" s="57">
        <f t="shared" si="4"/>
        <v>0</v>
      </c>
      <c r="K69" s="36"/>
    </row>
    <row r="70" spans="1:11" x14ac:dyDescent="0.25">
      <c r="A70" s="49">
        <f>'A) Base RI'!A72</f>
        <v>5501</v>
      </c>
      <c r="B70" s="285" t="str">
        <f>'A) Base RI'!B72</f>
        <v>Sullens</v>
      </c>
      <c r="C70" s="98">
        <f>'B) D RI'!U72</f>
        <v>40473.718571428566</v>
      </c>
      <c r="D70" s="114">
        <f>'E) Fact soc'!G76/C70</f>
        <v>16.924402589585888</v>
      </c>
      <c r="E70" s="141">
        <f>'H) Péréquation directe'!I81/C70</f>
        <v>12.619748740402034</v>
      </c>
      <c r="F70" s="114">
        <f>+'I) Dépenses thématiques'!O70/'K) Plafonnement aide'!C70</f>
        <v>-0.15443073806152902</v>
      </c>
      <c r="G70" s="141">
        <f t="shared" ref="G70:G133" si="5">SUM(D70:F70)</f>
        <v>29.389720591926395</v>
      </c>
      <c r="H70" s="114">
        <f t="shared" ref="H70:H133" si="6">G70-F70</f>
        <v>29.544151329987923</v>
      </c>
      <c r="I70" s="141">
        <f t="shared" ref="I70:I133" si="7">IF(H70&lt;I$4,H70-I$4,0)</f>
        <v>0</v>
      </c>
      <c r="J70" s="57">
        <f t="shared" ref="J70:J133" si="8">-I70*C70</f>
        <v>0</v>
      </c>
      <c r="K70" s="36"/>
    </row>
    <row r="71" spans="1:11" x14ac:dyDescent="0.25">
      <c r="A71" s="49">
        <f>'A) Base RI'!A73</f>
        <v>5503</v>
      </c>
      <c r="B71" s="285" t="str">
        <f>'A) Base RI'!B73</f>
        <v>Vufflens-la-Ville</v>
      </c>
      <c r="C71" s="98">
        <f>'B) D RI'!U73</f>
        <v>87926.416417910455</v>
      </c>
      <c r="D71" s="114">
        <f>'E) Fact soc'!G77/C71</f>
        <v>22.261779487158432</v>
      </c>
      <c r="E71" s="141">
        <f>'H) Péréquation directe'!I82/C71</f>
        <v>17.397712303826189</v>
      </c>
      <c r="F71" s="114">
        <f>+'I) Dépenses thématiques'!O71/'K) Plafonnement aide'!C71</f>
        <v>0</v>
      </c>
      <c r="G71" s="141">
        <f t="shared" si="5"/>
        <v>39.659491790984617</v>
      </c>
      <c r="H71" s="114">
        <f t="shared" si="6"/>
        <v>39.659491790984617</v>
      </c>
      <c r="I71" s="141">
        <f t="shared" si="7"/>
        <v>0</v>
      </c>
      <c r="J71" s="57">
        <f t="shared" si="8"/>
        <v>0</v>
      </c>
      <c r="K71" s="36"/>
    </row>
    <row r="72" spans="1:11" x14ac:dyDescent="0.25">
      <c r="A72" s="49">
        <f>'A) Base RI'!A74</f>
        <v>5511</v>
      </c>
      <c r="B72" s="285" t="str">
        <f>'A) Base RI'!B74</f>
        <v>Assens</v>
      </c>
      <c r="C72" s="98">
        <f>'B) D RI'!U74</f>
        <v>50067.904428571426</v>
      </c>
      <c r="D72" s="114">
        <f>'E) Fact soc'!G78/C72</f>
        <v>17.154846327868498</v>
      </c>
      <c r="E72" s="141">
        <f>'H) Péréquation directe'!I83/C72</f>
        <v>16.76680600673463</v>
      </c>
      <c r="F72" s="114">
        <f>+'I) Dépenses thématiques'!O72/'K) Plafonnement aide'!C72</f>
        <v>-4.2606772778891342</v>
      </c>
      <c r="G72" s="141">
        <f t="shared" si="5"/>
        <v>29.66097505671399</v>
      </c>
      <c r="H72" s="114">
        <f t="shared" si="6"/>
        <v>33.921652334603124</v>
      </c>
      <c r="I72" s="141">
        <f t="shared" si="7"/>
        <v>0</v>
      </c>
      <c r="J72" s="57">
        <f t="shared" si="8"/>
        <v>0</v>
      </c>
      <c r="K72" s="36"/>
    </row>
    <row r="73" spans="1:11" x14ac:dyDescent="0.25">
      <c r="A73" s="49">
        <f>'A) Base RI'!A75</f>
        <v>5512</v>
      </c>
      <c r="B73" s="285" t="str">
        <f>'A) Base RI'!B75</f>
        <v>Bercher</v>
      </c>
      <c r="C73" s="98">
        <f>'B) D RI'!U75</f>
        <v>40005.59860759494</v>
      </c>
      <c r="D73" s="114">
        <f>'E) Fact soc'!G79/C73</f>
        <v>16.887245917624686</v>
      </c>
      <c r="E73" s="141">
        <f>'H) Péréquation directe'!I84/C73</f>
        <v>1.8568236349647971</v>
      </c>
      <c r="F73" s="114">
        <f>+'I) Dépenses thématiques'!O73/'K) Plafonnement aide'!C73</f>
        <v>-5.8878185376424348</v>
      </c>
      <c r="G73" s="141">
        <f t="shared" si="5"/>
        <v>12.856251014947048</v>
      </c>
      <c r="H73" s="114">
        <f t="shared" si="6"/>
        <v>18.744069552589483</v>
      </c>
      <c r="I73" s="141">
        <f t="shared" si="7"/>
        <v>0</v>
      </c>
      <c r="J73" s="57">
        <f t="shared" si="8"/>
        <v>0</v>
      </c>
      <c r="K73" s="36"/>
    </row>
    <row r="74" spans="1:11" x14ac:dyDescent="0.25">
      <c r="A74" s="49">
        <f>'A) Base RI'!A76</f>
        <v>5513</v>
      </c>
      <c r="B74" s="285" t="str">
        <f>'A) Base RI'!B76</f>
        <v>Bioley-Orjulaz</v>
      </c>
      <c r="C74" s="98">
        <f>'B) D RI'!U76</f>
        <v>22037.146176470589</v>
      </c>
      <c r="D74" s="114">
        <f>'E) Fact soc'!G80/C74</f>
        <v>17.571237169758586</v>
      </c>
      <c r="E74" s="141">
        <f>'H) Péréquation directe'!I85/C74</f>
        <v>14.947277000940911</v>
      </c>
      <c r="F74" s="114">
        <f>+'I) Dépenses thématiques'!O74/'K) Plafonnement aide'!C74</f>
        <v>0</v>
      </c>
      <c r="G74" s="141">
        <f t="shared" si="5"/>
        <v>32.518514170699497</v>
      </c>
      <c r="H74" s="114">
        <f t="shared" si="6"/>
        <v>32.518514170699497</v>
      </c>
      <c r="I74" s="141">
        <f t="shared" si="7"/>
        <v>0</v>
      </c>
      <c r="J74" s="57">
        <f t="shared" si="8"/>
        <v>0</v>
      </c>
      <c r="K74" s="36"/>
    </row>
    <row r="75" spans="1:11" x14ac:dyDescent="0.25">
      <c r="A75" s="49">
        <f>'A) Base RI'!A77</f>
        <v>5514</v>
      </c>
      <c r="B75" s="285" t="str">
        <f>'A) Base RI'!B77</f>
        <v>Bottens</v>
      </c>
      <c r="C75" s="98">
        <f>'B) D RI'!U77</f>
        <v>40784.156621621616</v>
      </c>
      <c r="D75" s="114">
        <f>'E) Fact soc'!G81/C75</f>
        <v>16.242942257113672</v>
      </c>
      <c r="E75" s="141">
        <f>'H) Péréquation directe'!I86/C75</f>
        <v>3.4860072860980962</v>
      </c>
      <c r="F75" s="114">
        <f>+'I) Dépenses thématiques'!O75/'K) Plafonnement aide'!C75</f>
        <v>0</v>
      </c>
      <c r="G75" s="141">
        <f t="shared" si="5"/>
        <v>19.728949543211769</v>
      </c>
      <c r="H75" s="114">
        <f t="shared" si="6"/>
        <v>19.728949543211769</v>
      </c>
      <c r="I75" s="141">
        <f t="shared" si="7"/>
        <v>0</v>
      </c>
      <c r="J75" s="57">
        <f t="shared" si="8"/>
        <v>0</v>
      </c>
      <c r="K75" s="36"/>
    </row>
    <row r="76" spans="1:11" x14ac:dyDescent="0.25">
      <c r="A76" s="49">
        <f>'A) Base RI'!A78</f>
        <v>5515</v>
      </c>
      <c r="B76" s="285" t="str">
        <f>'A) Base RI'!B78</f>
        <v>Bretigny-sur-Morrens</v>
      </c>
      <c r="C76" s="98">
        <f>'B) D RI'!U78</f>
        <v>28825.846790123462</v>
      </c>
      <c r="D76" s="114">
        <f>'E) Fact soc'!G82/C76</f>
        <v>18.027862640297894</v>
      </c>
      <c r="E76" s="141">
        <f>'H) Péréquation directe'!I87/C76</f>
        <v>5.6665494226151436</v>
      </c>
      <c r="F76" s="114">
        <f>+'I) Dépenses thématiques'!O76/'K) Plafonnement aide'!C76</f>
        <v>-2.047080328384085</v>
      </c>
      <c r="G76" s="141">
        <f t="shared" si="5"/>
        <v>21.647331734528954</v>
      </c>
      <c r="H76" s="114">
        <f t="shared" si="6"/>
        <v>23.694412062913038</v>
      </c>
      <c r="I76" s="141">
        <f t="shared" si="7"/>
        <v>0</v>
      </c>
      <c r="J76" s="57">
        <f t="shared" si="8"/>
        <v>0</v>
      </c>
      <c r="K76" s="36"/>
    </row>
    <row r="77" spans="1:11" x14ac:dyDescent="0.25">
      <c r="A77" s="49">
        <f>'A) Base RI'!A79</f>
        <v>5516</v>
      </c>
      <c r="B77" s="285" t="str">
        <f>'A) Base RI'!B79</f>
        <v>Cugy</v>
      </c>
      <c r="C77" s="98">
        <f>'B) D RI'!U79</f>
        <v>111163.080491453</v>
      </c>
      <c r="D77" s="114">
        <f>'E) Fact soc'!G83/C77</f>
        <v>16.019395673684837</v>
      </c>
      <c r="E77" s="141">
        <f>'H) Péréquation directe'!I88/C77</f>
        <v>9.1043789923974821</v>
      </c>
      <c r="F77" s="114">
        <f>+'I) Dépenses thématiques'!O77/'K) Plafonnement aide'!C77</f>
        <v>-1.800014639630799</v>
      </c>
      <c r="G77" s="141">
        <f t="shared" si="5"/>
        <v>23.32376002645152</v>
      </c>
      <c r="H77" s="114">
        <f t="shared" si="6"/>
        <v>25.123774666082319</v>
      </c>
      <c r="I77" s="141">
        <f t="shared" si="7"/>
        <v>0</v>
      </c>
      <c r="J77" s="57">
        <f t="shared" si="8"/>
        <v>0</v>
      </c>
      <c r="K77" s="36"/>
    </row>
    <row r="78" spans="1:11" x14ac:dyDescent="0.25">
      <c r="A78" s="49">
        <f>'A) Base RI'!A80</f>
        <v>5518</v>
      </c>
      <c r="B78" s="285" t="str">
        <f>'A) Base RI'!B80</f>
        <v>Echallens</v>
      </c>
      <c r="C78" s="98">
        <f>'B) D RI'!U80</f>
        <v>187816.41499999998</v>
      </c>
      <c r="D78" s="114">
        <f>'E) Fact soc'!G84/C78</f>
        <v>18.76167031309809</v>
      </c>
      <c r="E78" s="141">
        <f>'H) Péréquation directe'!I89/C78</f>
        <v>-1.5498859137056598</v>
      </c>
      <c r="F78" s="114">
        <f>+'I) Dépenses thématiques'!O78/'K) Plafonnement aide'!C78</f>
        <v>-5.3687088177740865</v>
      </c>
      <c r="G78" s="141">
        <f t="shared" si="5"/>
        <v>11.843075581618345</v>
      </c>
      <c r="H78" s="114">
        <f t="shared" si="6"/>
        <v>17.211784399392432</v>
      </c>
      <c r="I78" s="141">
        <f t="shared" si="7"/>
        <v>0</v>
      </c>
      <c r="J78" s="57">
        <f t="shared" si="8"/>
        <v>0</v>
      </c>
      <c r="K78" s="36"/>
    </row>
    <row r="79" spans="1:11" x14ac:dyDescent="0.25">
      <c r="A79" s="49">
        <f>'A) Base RI'!A81</f>
        <v>5520</v>
      </c>
      <c r="B79" s="285" t="str">
        <f>'A) Base RI'!B81</f>
        <v>Essertines-sur-Yverdon</v>
      </c>
      <c r="C79" s="98">
        <f>'B) D RI'!U81</f>
        <v>29858.34041095891</v>
      </c>
      <c r="D79" s="114">
        <f>'E) Fact soc'!G85/C79</f>
        <v>16.800860003885134</v>
      </c>
      <c r="E79" s="141">
        <f>'H) Péréquation directe'!I90/C79</f>
        <v>2.2452522844692733</v>
      </c>
      <c r="F79" s="114">
        <f>+'I) Dépenses thématiques'!O79/'K) Plafonnement aide'!C79</f>
        <v>-2.5596793216046323</v>
      </c>
      <c r="G79" s="141">
        <f t="shared" si="5"/>
        <v>16.486432966749774</v>
      </c>
      <c r="H79" s="114">
        <f t="shared" si="6"/>
        <v>19.046112288354408</v>
      </c>
      <c r="I79" s="141">
        <f t="shared" si="7"/>
        <v>0</v>
      </c>
      <c r="J79" s="57">
        <f t="shared" si="8"/>
        <v>0</v>
      </c>
      <c r="K79" s="36"/>
    </row>
    <row r="80" spans="1:11" x14ac:dyDescent="0.25">
      <c r="A80" s="49">
        <f>'A) Base RI'!A82</f>
        <v>5521</v>
      </c>
      <c r="B80" s="285" t="str">
        <f>'A) Base RI'!B82</f>
        <v>Etagnières</v>
      </c>
      <c r="C80" s="98">
        <f>'B) D RI'!U82</f>
        <v>48278.723150684935</v>
      </c>
      <c r="D80" s="114">
        <f>'E) Fact soc'!G86/C80</f>
        <v>17.422515192798709</v>
      </c>
      <c r="E80" s="141">
        <f>'H) Péréquation directe'!I91/C80</f>
        <v>13.92183529271102</v>
      </c>
      <c r="F80" s="114">
        <f>+'I) Dépenses thématiques'!O80/'K) Plafonnement aide'!C80</f>
        <v>-0.14261911739819244</v>
      </c>
      <c r="G80" s="141">
        <f t="shared" si="5"/>
        <v>31.201731368111535</v>
      </c>
      <c r="H80" s="114">
        <f t="shared" si="6"/>
        <v>31.344350485509729</v>
      </c>
      <c r="I80" s="141">
        <f t="shared" si="7"/>
        <v>0</v>
      </c>
      <c r="J80" s="57">
        <f t="shared" si="8"/>
        <v>0</v>
      </c>
      <c r="K80" s="36"/>
    </row>
    <row r="81" spans="1:11" x14ac:dyDescent="0.25">
      <c r="A81" s="49">
        <f>'A) Base RI'!A83</f>
        <v>5522</v>
      </c>
      <c r="B81" s="285" t="str">
        <f>'A) Base RI'!B83</f>
        <v>Fey</v>
      </c>
      <c r="C81" s="98">
        <f>'B) D RI'!U83</f>
        <v>22727.539066666664</v>
      </c>
      <c r="D81" s="114">
        <f>'E) Fact soc'!G87/C81</f>
        <v>16.985313991705297</v>
      </c>
      <c r="E81" s="141">
        <f>'H) Péréquation directe'!I92/C81</f>
        <v>3.4463078752981029</v>
      </c>
      <c r="F81" s="114">
        <f>+'I) Dépenses thématiques'!O81/'K) Plafonnement aide'!C81</f>
        <v>-0.69499475800537414</v>
      </c>
      <c r="G81" s="141">
        <f t="shared" si="5"/>
        <v>19.736627108998025</v>
      </c>
      <c r="H81" s="114">
        <f t="shared" si="6"/>
        <v>20.4316218670034</v>
      </c>
      <c r="I81" s="141">
        <f t="shared" si="7"/>
        <v>0</v>
      </c>
      <c r="J81" s="57">
        <f t="shared" si="8"/>
        <v>0</v>
      </c>
      <c r="K81" s="36"/>
    </row>
    <row r="82" spans="1:11" x14ac:dyDescent="0.25">
      <c r="A82" s="49">
        <f>'A) Base RI'!A84</f>
        <v>5523</v>
      </c>
      <c r="B82" s="285" t="str">
        <f>'A) Base RI'!B84</f>
        <v>Froideville</v>
      </c>
      <c r="C82" s="98">
        <f>'B) D RI'!U84</f>
        <v>89231.727236842082</v>
      </c>
      <c r="D82" s="114">
        <f>'E) Fact soc'!G88/C82</f>
        <v>16.090548508891278</v>
      </c>
      <c r="E82" s="141">
        <f>'H) Péréquation directe'!I93/C82</f>
        <v>3.1499858795859947</v>
      </c>
      <c r="F82" s="114">
        <f>+'I) Dépenses thématiques'!O82/'K) Plafonnement aide'!C82</f>
        <v>-0.612997792847637</v>
      </c>
      <c r="G82" s="141">
        <f t="shared" si="5"/>
        <v>18.627536595629635</v>
      </c>
      <c r="H82" s="114">
        <f t="shared" si="6"/>
        <v>19.240534388477272</v>
      </c>
      <c r="I82" s="141">
        <f t="shared" si="7"/>
        <v>0</v>
      </c>
      <c r="J82" s="57">
        <f t="shared" si="8"/>
        <v>0</v>
      </c>
      <c r="K82" s="36"/>
    </row>
    <row r="83" spans="1:11" x14ac:dyDescent="0.25">
      <c r="A83" s="49">
        <f>'A) Base RI'!A85</f>
        <v>5527</v>
      </c>
      <c r="B83" s="285" t="str">
        <f>'A) Base RI'!B85</f>
        <v>Morrens</v>
      </c>
      <c r="C83" s="98">
        <f>'B) D RI'!U85</f>
        <v>40137.160945945958</v>
      </c>
      <c r="D83" s="114">
        <f>'E) Fact soc'!G89/C83</f>
        <v>17.648801757227254</v>
      </c>
      <c r="E83" s="141">
        <f>'H) Péréquation directe'!I94/C83</f>
        <v>8.7903178228522716</v>
      </c>
      <c r="F83" s="114">
        <f>+'I) Dépenses thématiques'!O83/'K) Plafonnement aide'!C83</f>
        <v>0</v>
      </c>
      <c r="G83" s="141">
        <f t="shared" si="5"/>
        <v>26.439119580079527</v>
      </c>
      <c r="H83" s="114">
        <f t="shared" si="6"/>
        <v>26.439119580079527</v>
      </c>
      <c r="I83" s="141">
        <f t="shared" si="7"/>
        <v>0</v>
      </c>
      <c r="J83" s="57">
        <f t="shared" si="8"/>
        <v>0</v>
      </c>
      <c r="K83" s="36"/>
    </row>
    <row r="84" spans="1:11" x14ac:dyDescent="0.25">
      <c r="A84" s="49">
        <f>'A) Base RI'!A86</f>
        <v>5529</v>
      </c>
      <c r="B84" s="285" t="str">
        <f>'A) Base RI'!B86</f>
        <v>Oulens-sous-Echallens</v>
      </c>
      <c r="C84" s="98">
        <f>'B) D RI'!U86</f>
        <v>21602.609436619721</v>
      </c>
      <c r="D84" s="114">
        <f>'E) Fact soc'!G90/C84</f>
        <v>16.515785017833828</v>
      </c>
      <c r="E84" s="141">
        <f>'H) Péréquation directe'!I95/C84</f>
        <v>9.6123856215381611</v>
      </c>
      <c r="F84" s="114">
        <f>+'I) Dépenses thématiques'!O84/'K) Plafonnement aide'!C84</f>
        <v>-2.4965520710390199</v>
      </c>
      <c r="G84" s="141">
        <f t="shared" si="5"/>
        <v>23.631618568332968</v>
      </c>
      <c r="H84" s="114">
        <f t="shared" si="6"/>
        <v>26.128170639371987</v>
      </c>
      <c r="I84" s="141">
        <f t="shared" si="7"/>
        <v>0</v>
      </c>
      <c r="J84" s="57">
        <f t="shared" si="8"/>
        <v>0</v>
      </c>
      <c r="K84" s="36"/>
    </row>
    <row r="85" spans="1:11" x14ac:dyDescent="0.25">
      <c r="A85" s="49">
        <f>'A) Base RI'!A87</f>
        <v>5530</v>
      </c>
      <c r="B85" s="285" t="str">
        <f>'A) Base RI'!B87</f>
        <v>Pailly</v>
      </c>
      <c r="C85" s="98">
        <f>'B) D RI'!U87</f>
        <v>17625.052150537631</v>
      </c>
      <c r="D85" s="114">
        <f>'E) Fact soc'!G91/C85</f>
        <v>17.691962537581094</v>
      </c>
      <c r="E85" s="141">
        <f>'H) Péréquation directe'!I96/C85</f>
        <v>3.9767417216816154</v>
      </c>
      <c r="F85" s="114">
        <f>+'I) Dépenses thématiques'!O85/'K) Plafonnement aide'!C85</f>
        <v>-20.991867328959032</v>
      </c>
      <c r="G85" s="141">
        <f t="shared" si="5"/>
        <v>0.6768369303036792</v>
      </c>
      <c r="H85" s="114">
        <f t="shared" si="6"/>
        <v>21.668704259262711</v>
      </c>
      <c r="I85" s="141">
        <f t="shared" si="7"/>
        <v>0</v>
      </c>
      <c r="J85" s="57">
        <f t="shared" si="8"/>
        <v>0</v>
      </c>
      <c r="K85" s="36"/>
    </row>
    <row r="86" spans="1:11" x14ac:dyDescent="0.25">
      <c r="A86" s="49">
        <f>'A) Base RI'!A88</f>
        <v>5531</v>
      </c>
      <c r="B86" s="285" t="str">
        <f>'A) Base RI'!B88</f>
        <v>Penthéréaz</v>
      </c>
      <c r="C86" s="98">
        <f>'B) D RI'!U88</f>
        <v>14653.782435897439</v>
      </c>
      <c r="D86" s="114">
        <f>'E) Fact soc'!G92/C86</f>
        <v>15.177282086749202</v>
      </c>
      <c r="E86" s="141">
        <f>'H) Péréquation directe'!I97/C86</f>
        <v>7.8726832562562326</v>
      </c>
      <c r="F86" s="114">
        <f>+'I) Dépenses thématiques'!O86/'K) Plafonnement aide'!C86</f>
        <v>-4.4549414674152654</v>
      </c>
      <c r="G86" s="141">
        <f t="shared" si="5"/>
        <v>18.595023875590165</v>
      </c>
      <c r="H86" s="114">
        <f t="shared" si="6"/>
        <v>23.049965343005432</v>
      </c>
      <c r="I86" s="141">
        <f t="shared" si="7"/>
        <v>0</v>
      </c>
      <c r="J86" s="57">
        <f t="shared" si="8"/>
        <v>0</v>
      </c>
      <c r="K86" s="36"/>
    </row>
    <row r="87" spans="1:11" x14ac:dyDescent="0.25">
      <c r="A87" s="49">
        <f>'A) Base RI'!A89</f>
        <v>5533</v>
      </c>
      <c r="B87" s="285" t="str">
        <f>'A) Base RI'!B89</f>
        <v>Poliez-Pittet</v>
      </c>
      <c r="C87" s="98">
        <f>'B) D RI'!U89</f>
        <v>22836.129452054793</v>
      </c>
      <c r="D87" s="114">
        <f>'E) Fact soc'!G93/C87</f>
        <v>17.81792436088168</v>
      </c>
      <c r="E87" s="141">
        <f>'H) Péréquation directe'!I98/C87</f>
        <v>0.44994408415286835</v>
      </c>
      <c r="F87" s="114">
        <f>+'I) Dépenses thématiques'!O87/'K) Plafonnement aide'!C87</f>
        <v>-3.3834271323457479</v>
      </c>
      <c r="G87" s="141">
        <f t="shared" si="5"/>
        <v>14.8844413126888</v>
      </c>
      <c r="H87" s="114">
        <f t="shared" si="6"/>
        <v>18.267868445034548</v>
      </c>
      <c r="I87" s="141">
        <f t="shared" si="7"/>
        <v>0</v>
      </c>
      <c r="J87" s="57">
        <f t="shared" si="8"/>
        <v>0</v>
      </c>
      <c r="K87" s="36"/>
    </row>
    <row r="88" spans="1:11" x14ac:dyDescent="0.25">
      <c r="A88" s="49">
        <f>'A) Base RI'!A90</f>
        <v>5534</v>
      </c>
      <c r="B88" s="285" t="str">
        <f>'A) Base RI'!B90</f>
        <v>Rueyres</v>
      </c>
      <c r="C88" s="98">
        <f>'B) D RI'!U90</f>
        <v>10463.952465753426</v>
      </c>
      <c r="D88" s="114">
        <f>'E) Fact soc'!G94/C88</f>
        <v>17.094426790933881</v>
      </c>
      <c r="E88" s="141">
        <f>'H) Péréquation directe'!I99/C88</f>
        <v>12.743702335686363</v>
      </c>
      <c r="F88" s="114">
        <f>+'I) Dépenses thématiques'!O88/'K) Plafonnement aide'!C88</f>
        <v>-0.19367991767667578</v>
      </c>
      <c r="G88" s="141">
        <f t="shared" si="5"/>
        <v>29.64444920894357</v>
      </c>
      <c r="H88" s="114">
        <f t="shared" si="6"/>
        <v>29.838129126620245</v>
      </c>
      <c r="I88" s="141">
        <f t="shared" si="7"/>
        <v>0</v>
      </c>
      <c r="J88" s="57">
        <f t="shared" si="8"/>
        <v>0</v>
      </c>
      <c r="K88" s="36"/>
    </row>
    <row r="89" spans="1:11" x14ac:dyDescent="0.25">
      <c r="A89" s="49">
        <f>'A) Base RI'!A91</f>
        <v>5535</v>
      </c>
      <c r="B89" s="285" t="str">
        <f>'A) Base RI'!B91</f>
        <v>Saint-Barthélemy</v>
      </c>
      <c r="C89" s="98">
        <f>'B) D RI'!U91</f>
        <v>22478.945584415589</v>
      </c>
      <c r="D89" s="114">
        <f>'E) Fact soc'!G95/C89</f>
        <v>16.84318828138322</v>
      </c>
      <c r="E89" s="141">
        <f>'H) Péréquation directe'!I100/C89</f>
        <v>0.13339774400547164</v>
      </c>
      <c r="F89" s="114">
        <f>+'I) Dépenses thématiques'!O89/'K) Plafonnement aide'!C89</f>
        <v>-0.82568212788411044</v>
      </c>
      <c r="G89" s="141">
        <f t="shared" si="5"/>
        <v>16.15090389750458</v>
      </c>
      <c r="H89" s="114">
        <f t="shared" si="6"/>
        <v>16.976586025388691</v>
      </c>
      <c r="I89" s="141">
        <f t="shared" si="7"/>
        <v>0</v>
      </c>
      <c r="J89" s="57">
        <f t="shared" si="8"/>
        <v>0</v>
      </c>
      <c r="K89" s="36"/>
    </row>
    <row r="90" spans="1:11" x14ac:dyDescent="0.25">
      <c r="A90" s="49">
        <f>'A) Base RI'!A92</f>
        <v>5537</v>
      </c>
      <c r="B90" s="285" t="str">
        <f>'A) Base RI'!B92</f>
        <v>Villars-le-Terroir</v>
      </c>
      <c r="C90" s="98">
        <f>'B) D RI'!U92</f>
        <v>36268.70386986302</v>
      </c>
      <c r="D90" s="114">
        <f>'E) Fact soc'!G96/C90</f>
        <v>15.989514615444268</v>
      </c>
      <c r="E90" s="141">
        <f>'H) Péréquation directe'!I101/C90</f>
        <v>1.7652375393499193</v>
      </c>
      <c r="F90" s="114">
        <f>+'I) Dépenses thématiques'!O90/'K) Plafonnement aide'!C90</f>
        <v>-0.89795141130150835</v>
      </c>
      <c r="G90" s="141">
        <f t="shared" si="5"/>
        <v>16.856800743492677</v>
      </c>
      <c r="H90" s="114">
        <f t="shared" si="6"/>
        <v>17.754752154794186</v>
      </c>
      <c r="I90" s="141">
        <f t="shared" si="7"/>
        <v>0</v>
      </c>
      <c r="J90" s="57">
        <f t="shared" si="8"/>
        <v>0</v>
      </c>
      <c r="K90" s="36"/>
    </row>
    <row r="91" spans="1:11" x14ac:dyDescent="0.25">
      <c r="A91" s="49">
        <f>'A) Base RI'!A93</f>
        <v>5539</v>
      </c>
      <c r="B91" s="285" t="str">
        <f>'A) Base RI'!B93</f>
        <v>Vuarrens</v>
      </c>
      <c r="C91" s="98">
        <f>'B) D RI'!U93</f>
        <v>30000.607399999997</v>
      </c>
      <c r="D91" s="114">
        <f>'E) Fact soc'!G97/C91</f>
        <v>18.135847340070665</v>
      </c>
      <c r="E91" s="141">
        <f>'H) Péréquation directe'!I102/C91</f>
        <v>0.58432332931848718</v>
      </c>
      <c r="F91" s="114">
        <f>+'I) Dépenses thématiques'!O91/'K) Plafonnement aide'!C91</f>
        <v>-0.74799787427729991</v>
      </c>
      <c r="G91" s="141">
        <f t="shared" si="5"/>
        <v>17.972172795111852</v>
      </c>
      <c r="H91" s="114">
        <f t="shared" si="6"/>
        <v>18.720170669389152</v>
      </c>
      <c r="I91" s="141">
        <f t="shared" si="7"/>
        <v>0</v>
      </c>
      <c r="J91" s="57">
        <f t="shared" si="8"/>
        <v>0</v>
      </c>
      <c r="K91" s="36"/>
    </row>
    <row r="92" spans="1:11" x14ac:dyDescent="0.25">
      <c r="A92" s="49">
        <f>'A) Base RI'!A94</f>
        <v>5540</v>
      </c>
      <c r="B92" s="285" t="str">
        <f>'A) Base RI'!B94</f>
        <v>Montilliez</v>
      </c>
      <c r="C92" s="98">
        <f>'B) D RI'!U94</f>
        <v>64761.783243243241</v>
      </c>
      <c r="D92" s="114">
        <f>'E) Fact soc'!G98/C92</f>
        <v>15.909732519282867</v>
      </c>
      <c r="E92" s="141">
        <f>'H) Péréquation directe'!I103/C92</f>
        <v>6.6017338509447985</v>
      </c>
      <c r="F92" s="114">
        <f>+'I) Dépenses thématiques'!O92/'K) Plafonnement aide'!C92</f>
        <v>-4.522281706215157</v>
      </c>
      <c r="G92" s="141">
        <f t="shared" si="5"/>
        <v>17.989184664012509</v>
      </c>
      <c r="H92" s="114">
        <f t="shared" si="6"/>
        <v>22.511466370227666</v>
      </c>
      <c r="I92" s="141">
        <f t="shared" si="7"/>
        <v>0</v>
      </c>
      <c r="J92" s="57">
        <f t="shared" si="8"/>
        <v>0</v>
      </c>
      <c r="K92" s="36"/>
    </row>
    <row r="93" spans="1:11" x14ac:dyDescent="0.25">
      <c r="A93" s="49">
        <f>'A) Base RI'!A95</f>
        <v>5541</v>
      </c>
      <c r="B93" s="285" t="str">
        <f>'A) Base RI'!B95</f>
        <v>Goumoëns</v>
      </c>
      <c r="C93" s="98">
        <f>'B) D RI'!U95</f>
        <v>37389.402987012982</v>
      </c>
      <c r="D93" s="114">
        <f>'E) Fact soc'!G99/C93</f>
        <v>17.595030834683147</v>
      </c>
      <c r="E93" s="141">
        <f>'H) Péréquation directe'!I104/C93</f>
        <v>5.0748284870972222</v>
      </c>
      <c r="F93" s="114">
        <f>+'I) Dépenses thématiques'!O93/'K) Plafonnement aide'!C93</f>
        <v>-6.3746365827902676E-2</v>
      </c>
      <c r="G93" s="141">
        <f t="shared" si="5"/>
        <v>22.606112955952465</v>
      </c>
      <c r="H93" s="114">
        <f t="shared" si="6"/>
        <v>22.669859321780368</v>
      </c>
      <c r="I93" s="141">
        <f t="shared" si="7"/>
        <v>0</v>
      </c>
      <c r="J93" s="57">
        <f t="shared" si="8"/>
        <v>0</v>
      </c>
      <c r="K93" s="36"/>
    </row>
    <row r="94" spans="1:11" x14ac:dyDescent="0.25">
      <c r="A94" s="49">
        <f>'A) Base RI'!A96</f>
        <v>5551</v>
      </c>
      <c r="B94" s="285" t="str">
        <f>'A) Base RI'!B96</f>
        <v>Bonvillars</v>
      </c>
      <c r="C94" s="98">
        <f>'B) D RI'!U96</f>
        <v>18282.205818181821</v>
      </c>
      <c r="D94" s="114">
        <f>'E) Fact soc'!G100/C94</f>
        <v>15.361481669205331</v>
      </c>
      <c r="E94" s="141">
        <f>'H) Péréquation directe'!I105/C94</f>
        <v>13.489123092319343</v>
      </c>
      <c r="F94" s="114">
        <f>+'I) Dépenses thématiques'!O94/'K) Plafonnement aide'!C94</f>
        <v>-5.078418283180822</v>
      </c>
      <c r="G94" s="141">
        <f t="shared" si="5"/>
        <v>23.772186478343848</v>
      </c>
      <c r="H94" s="114">
        <f t="shared" si="6"/>
        <v>28.850604761524671</v>
      </c>
      <c r="I94" s="141">
        <f t="shared" si="7"/>
        <v>0</v>
      </c>
      <c r="J94" s="57">
        <f t="shared" si="8"/>
        <v>0</v>
      </c>
      <c r="K94" s="36"/>
    </row>
    <row r="95" spans="1:11" x14ac:dyDescent="0.25">
      <c r="A95" s="49">
        <f>'A) Base RI'!A97</f>
        <v>5552</v>
      </c>
      <c r="B95" s="285" t="str">
        <f>'A) Base RI'!B97</f>
        <v>Bullet</v>
      </c>
      <c r="C95" s="98">
        <f>'B) D RI'!U97</f>
        <v>18372.474931506851</v>
      </c>
      <c r="D95" s="114">
        <f>'E) Fact soc'!G101/C95</f>
        <v>18.314574101776994</v>
      </c>
      <c r="E95" s="141">
        <f>'H) Péréquation directe'!I106/C95</f>
        <v>1.0570762347425109</v>
      </c>
      <c r="F95" s="114">
        <f>+'I) Dépenses thématiques'!O95/'K) Plafonnement aide'!C95</f>
        <v>-11.501278105967019</v>
      </c>
      <c r="G95" s="141">
        <f t="shared" si="5"/>
        <v>7.8703722305524852</v>
      </c>
      <c r="H95" s="114">
        <f t="shared" si="6"/>
        <v>19.371650336519505</v>
      </c>
      <c r="I95" s="141">
        <f t="shared" si="7"/>
        <v>0</v>
      </c>
      <c r="J95" s="57">
        <f t="shared" si="8"/>
        <v>0</v>
      </c>
      <c r="K95" s="36"/>
    </row>
    <row r="96" spans="1:11" x14ac:dyDescent="0.25">
      <c r="A96" s="49">
        <f>'A) Base RI'!A98</f>
        <v>5553</v>
      </c>
      <c r="B96" s="285" t="str">
        <f>'A) Base RI'!B98</f>
        <v>Champagne</v>
      </c>
      <c r="C96" s="98">
        <f>'B) D RI'!U98</f>
        <v>37695.100615384617</v>
      </c>
      <c r="D96" s="114">
        <f>'E) Fact soc'!G102/C96</f>
        <v>17.595068029510784</v>
      </c>
      <c r="E96" s="141">
        <f>'H) Péréquation directe'!I107/C96</f>
        <v>10.704747288472714</v>
      </c>
      <c r="F96" s="114">
        <f>+'I) Dépenses thématiques'!O96/'K) Plafonnement aide'!C96</f>
        <v>-4.7499781991121424</v>
      </c>
      <c r="G96" s="141">
        <f t="shared" si="5"/>
        <v>23.549837118871356</v>
      </c>
      <c r="H96" s="114">
        <f t="shared" si="6"/>
        <v>28.299815317983498</v>
      </c>
      <c r="I96" s="141">
        <f t="shared" si="7"/>
        <v>0</v>
      </c>
      <c r="J96" s="57">
        <f t="shared" si="8"/>
        <v>0</v>
      </c>
      <c r="K96" s="36"/>
    </row>
    <row r="97" spans="1:11" x14ac:dyDescent="0.25">
      <c r="A97" s="49">
        <f>'A) Base RI'!A99</f>
        <v>5554</v>
      </c>
      <c r="B97" s="285" t="str">
        <f>'A) Base RI'!B99</f>
        <v>Concise</v>
      </c>
      <c r="C97" s="98">
        <f>'B) D RI'!U99</f>
        <v>33287.826000000008</v>
      </c>
      <c r="D97" s="114">
        <f>'E) Fact soc'!G103/C97</f>
        <v>20.256879282301593</v>
      </c>
      <c r="E97" s="141">
        <f>'H) Péréquation directe'!I108/C97</f>
        <v>5.9224760976496995</v>
      </c>
      <c r="F97" s="114">
        <f>+'I) Dépenses thématiques'!O97/'K) Plafonnement aide'!C97</f>
        <v>-4.5635505955720364</v>
      </c>
      <c r="G97" s="141">
        <f t="shared" si="5"/>
        <v>21.615804784379257</v>
      </c>
      <c r="H97" s="114">
        <f t="shared" si="6"/>
        <v>26.179355379951293</v>
      </c>
      <c r="I97" s="141">
        <f t="shared" si="7"/>
        <v>0</v>
      </c>
      <c r="J97" s="57">
        <f t="shared" si="8"/>
        <v>0</v>
      </c>
      <c r="K97" s="36"/>
    </row>
    <row r="98" spans="1:11" x14ac:dyDescent="0.25">
      <c r="A98" s="49">
        <f>'A) Base RI'!A100</f>
        <v>5555</v>
      </c>
      <c r="B98" s="285" t="str">
        <f>'A) Base RI'!B100</f>
        <v>Corcelles-près-Concise</v>
      </c>
      <c r="C98" s="98">
        <f>'B) D RI'!U100</f>
        <v>13538.992394366198</v>
      </c>
      <c r="D98" s="114">
        <f>'E) Fact soc'!G104/C98</f>
        <v>18.096423717303633</v>
      </c>
      <c r="E98" s="141">
        <f>'H) Péréquation directe'!I109/C98</f>
        <v>8.3869111145895676</v>
      </c>
      <c r="F98" s="114">
        <f>+'I) Dépenses thématiques'!O98/'K) Plafonnement aide'!C98</f>
        <v>-8.2362934797077614</v>
      </c>
      <c r="G98" s="141">
        <f t="shared" si="5"/>
        <v>18.247041352185441</v>
      </c>
      <c r="H98" s="114">
        <f t="shared" si="6"/>
        <v>26.483334831893202</v>
      </c>
      <c r="I98" s="141">
        <f t="shared" si="7"/>
        <v>0</v>
      </c>
      <c r="J98" s="57">
        <f t="shared" si="8"/>
        <v>0</v>
      </c>
      <c r="K98" s="36"/>
    </row>
    <row r="99" spans="1:11" x14ac:dyDescent="0.25">
      <c r="A99" s="49">
        <f>'A) Base RI'!A101</f>
        <v>5556</v>
      </c>
      <c r="B99" s="285" t="str">
        <f>'A) Base RI'!B101</f>
        <v>Fiez</v>
      </c>
      <c r="C99" s="98">
        <f>'B) D RI'!U101</f>
        <v>13049.601497584543</v>
      </c>
      <c r="D99" s="114">
        <f>'E) Fact soc'!G105/C99</f>
        <v>15.808029276421825</v>
      </c>
      <c r="E99" s="141">
        <f>'H) Péréquation directe'!I110/C99</f>
        <v>4.280545511982031</v>
      </c>
      <c r="F99" s="114">
        <f>+'I) Dépenses thématiques'!O99/'K) Plafonnement aide'!C99</f>
        <v>-10.257281344517525</v>
      </c>
      <c r="G99" s="141">
        <f t="shared" si="5"/>
        <v>9.8312934438863326</v>
      </c>
      <c r="H99" s="114">
        <f t="shared" si="6"/>
        <v>20.088574788403857</v>
      </c>
      <c r="I99" s="141">
        <f t="shared" si="7"/>
        <v>0</v>
      </c>
      <c r="J99" s="57">
        <f t="shared" si="8"/>
        <v>0</v>
      </c>
      <c r="K99" s="36"/>
    </row>
    <row r="100" spans="1:11" x14ac:dyDescent="0.25">
      <c r="A100" s="49">
        <f>'A) Base RI'!A102</f>
        <v>5557</v>
      </c>
      <c r="B100" s="285" t="str">
        <f>'A) Base RI'!B102</f>
        <v>Fontaines-sur-Grandson</v>
      </c>
      <c r="C100" s="98">
        <f>'B) D RI'!U102</f>
        <v>6546.22</v>
      </c>
      <c r="D100" s="114">
        <f>'E) Fact soc'!G106/C100</f>
        <v>15.024768515392921</v>
      </c>
      <c r="E100" s="141">
        <f>'H) Péréquation directe'!I111/C100</f>
        <v>5.5553819067470878</v>
      </c>
      <c r="F100" s="114">
        <f>+'I) Dépenses thématiques'!O100/'K) Plafonnement aide'!C100</f>
        <v>-5.4712214553910394</v>
      </c>
      <c r="G100" s="141">
        <f t="shared" si="5"/>
        <v>15.108928966748969</v>
      </c>
      <c r="H100" s="114">
        <f t="shared" si="6"/>
        <v>20.580150422140008</v>
      </c>
      <c r="I100" s="141">
        <f t="shared" si="7"/>
        <v>0</v>
      </c>
      <c r="J100" s="57">
        <f t="shared" si="8"/>
        <v>0</v>
      </c>
      <c r="K100" s="36"/>
    </row>
    <row r="101" spans="1:11" x14ac:dyDescent="0.25">
      <c r="A101" s="49">
        <f>'A) Base RI'!A103</f>
        <v>5559</v>
      </c>
      <c r="B101" s="285" t="str">
        <f>'A) Base RI'!B103</f>
        <v>Giez</v>
      </c>
      <c r="C101" s="98">
        <f>'B) D RI'!U103</f>
        <v>20822.479090909092</v>
      </c>
      <c r="D101" s="114">
        <f>'E) Fact soc'!G107/C101</f>
        <v>17.495293157292807</v>
      </c>
      <c r="E101" s="141">
        <f>'H) Péréquation directe'!I112/C101</f>
        <v>17.50889457330878</v>
      </c>
      <c r="F101" s="114">
        <f>+'I) Dépenses thématiques'!O101/'K) Plafonnement aide'!C101</f>
        <v>0</v>
      </c>
      <c r="G101" s="141">
        <f t="shared" si="5"/>
        <v>35.004187730601586</v>
      </c>
      <c r="H101" s="114">
        <f t="shared" si="6"/>
        <v>35.004187730601586</v>
      </c>
      <c r="I101" s="141">
        <f t="shared" si="7"/>
        <v>0</v>
      </c>
      <c r="J101" s="57">
        <f t="shared" si="8"/>
        <v>0</v>
      </c>
      <c r="K101" s="36"/>
    </row>
    <row r="102" spans="1:11" x14ac:dyDescent="0.25">
      <c r="A102" s="49">
        <f>'A) Base RI'!A104</f>
        <v>5560</v>
      </c>
      <c r="B102" s="285" t="str">
        <f>'A) Base RI'!B104</f>
        <v>Grandevent</v>
      </c>
      <c r="C102" s="98">
        <f>'B) D RI'!U104</f>
        <v>7406.141029411765</v>
      </c>
      <c r="D102" s="114">
        <f>'E) Fact soc'!G108/C102</f>
        <v>16.604748938792248</v>
      </c>
      <c r="E102" s="141">
        <f>'H) Péréquation directe'!I113/C102</f>
        <v>8.6874919751063846</v>
      </c>
      <c r="F102" s="114">
        <f>+'I) Dépenses thématiques'!O102/'K) Plafonnement aide'!C102</f>
        <v>-1.3805282794279039</v>
      </c>
      <c r="G102" s="141">
        <f t="shared" si="5"/>
        <v>23.911712634470728</v>
      </c>
      <c r="H102" s="114">
        <f t="shared" si="6"/>
        <v>25.292240913898631</v>
      </c>
      <c r="I102" s="141">
        <f t="shared" si="7"/>
        <v>0</v>
      </c>
      <c r="J102" s="57">
        <f t="shared" si="8"/>
        <v>0</v>
      </c>
      <c r="K102" s="36"/>
    </row>
    <row r="103" spans="1:11" x14ac:dyDescent="0.25">
      <c r="A103" s="49">
        <f>'A) Base RI'!A105</f>
        <v>5561</v>
      </c>
      <c r="B103" s="285" t="str">
        <f>'A) Base RI'!B105</f>
        <v>Grandson</v>
      </c>
      <c r="C103" s="98">
        <f>'B) D RI'!U105</f>
        <v>113542.57695652173</v>
      </c>
      <c r="D103" s="114">
        <f>'E) Fact soc'!G109/C103</f>
        <v>26.301306093266991</v>
      </c>
      <c r="E103" s="141">
        <f>'H) Péréquation directe'!I114/C103</f>
        <v>3.9185672899102051</v>
      </c>
      <c r="F103" s="114">
        <f>+'I) Dépenses thématiques'!O103/'K) Plafonnement aide'!C103</f>
        <v>-9.3622415742690794</v>
      </c>
      <c r="G103" s="141">
        <f t="shared" si="5"/>
        <v>20.857631808908117</v>
      </c>
      <c r="H103" s="114">
        <f t="shared" si="6"/>
        <v>30.219873383177195</v>
      </c>
      <c r="I103" s="141">
        <f t="shared" si="7"/>
        <v>0</v>
      </c>
      <c r="J103" s="57">
        <f t="shared" si="8"/>
        <v>0</v>
      </c>
      <c r="K103" s="36"/>
    </row>
    <row r="104" spans="1:11" x14ac:dyDescent="0.25">
      <c r="A104" s="49">
        <f>'A) Base RI'!A106</f>
        <v>5562</v>
      </c>
      <c r="B104" s="285" t="str">
        <f>'A) Base RI'!B106</f>
        <v>Mauborget</v>
      </c>
      <c r="C104" s="98">
        <f>'B) D RI'!U106</f>
        <v>5487.2855</v>
      </c>
      <c r="D104" s="114">
        <f>'E) Fact soc'!G110/C104</f>
        <v>22.273650039235996</v>
      </c>
      <c r="E104" s="141">
        <f>'H) Péréquation directe'!I115/C104</f>
        <v>16.66648486767037</v>
      </c>
      <c r="F104" s="114">
        <f>+'I) Dépenses thématiques'!O104/'K) Plafonnement aide'!C104</f>
        <v>-0.15609683989667361</v>
      </c>
      <c r="G104" s="141">
        <f t="shared" si="5"/>
        <v>38.784038067009689</v>
      </c>
      <c r="H104" s="114">
        <f t="shared" si="6"/>
        <v>38.940134906906366</v>
      </c>
      <c r="I104" s="141">
        <f t="shared" si="7"/>
        <v>0</v>
      </c>
      <c r="J104" s="57">
        <f t="shared" si="8"/>
        <v>0</v>
      </c>
      <c r="K104" s="36"/>
    </row>
    <row r="105" spans="1:11" x14ac:dyDescent="0.25">
      <c r="A105" s="49">
        <f>'A) Base RI'!A107</f>
        <v>5563</v>
      </c>
      <c r="B105" s="285" t="str">
        <f>'A) Base RI'!B107</f>
        <v>Mutrux</v>
      </c>
      <c r="C105" s="98">
        <f>'B) D RI'!U107</f>
        <v>4022.9622499999991</v>
      </c>
      <c r="D105" s="114">
        <f>'E) Fact soc'!G111/C105</f>
        <v>15.281029051987204</v>
      </c>
      <c r="E105" s="141">
        <f>'H) Péréquation directe'!I116/C105</f>
        <v>-4.8465519183114907</v>
      </c>
      <c r="F105" s="114">
        <f>+'I) Dépenses thématiques'!O105/'K) Plafonnement aide'!C105</f>
        <v>-7.2978879058384365</v>
      </c>
      <c r="G105" s="141">
        <f t="shared" si="5"/>
        <v>3.1365892278372769</v>
      </c>
      <c r="H105" s="114">
        <f t="shared" si="6"/>
        <v>10.434477133675713</v>
      </c>
      <c r="I105" s="141">
        <f t="shared" si="7"/>
        <v>0</v>
      </c>
      <c r="J105" s="57">
        <f t="shared" si="8"/>
        <v>0</v>
      </c>
      <c r="K105" s="36"/>
    </row>
    <row r="106" spans="1:11" x14ac:dyDescent="0.25">
      <c r="A106" s="49">
        <f>'A) Base RI'!A108</f>
        <v>5564</v>
      </c>
      <c r="B106" s="285" t="str">
        <f>'A) Base RI'!B108</f>
        <v>Novalles</v>
      </c>
      <c r="C106" s="98">
        <f>'B) D RI'!U108</f>
        <v>2263.2775657894736</v>
      </c>
      <c r="D106" s="114">
        <f>'E) Fact soc'!G112/C106</f>
        <v>14.695545603915974</v>
      </c>
      <c r="E106" s="141">
        <f>'H) Péréquation directe'!I117/C106</f>
        <v>-10.292262009911033</v>
      </c>
      <c r="F106" s="114">
        <f>+'I) Dépenses thématiques'!O106/'K) Plafonnement aide'!C106</f>
        <v>-4.5075803642084438</v>
      </c>
      <c r="G106" s="141">
        <f t="shared" si="5"/>
        <v>-0.10429677020350248</v>
      </c>
      <c r="H106" s="114">
        <f t="shared" si="6"/>
        <v>4.4032835940049413</v>
      </c>
      <c r="I106" s="141">
        <f t="shared" si="7"/>
        <v>0</v>
      </c>
      <c r="J106" s="57">
        <f t="shared" si="8"/>
        <v>0</v>
      </c>
      <c r="K106" s="36"/>
    </row>
    <row r="107" spans="1:11" x14ac:dyDescent="0.25">
      <c r="A107" s="49">
        <f>'A) Base RI'!A109</f>
        <v>5565</v>
      </c>
      <c r="B107" s="285" t="str">
        <f>'A) Base RI'!B109</f>
        <v>Onnens</v>
      </c>
      <c r="C107" s="98">
        <f>'B) D RI'!U109</f>
        <v>18486.800307692305</v>
      </c>
      <c r="D107" s="114">
        <f>'E) Fact soc'!G113/C107</f>
        <v>19.555101815780823</v>
      </c>
      <c r="E107" s="141">
        <f>'H) Péréquation directe'!I118/C107</f>
        <v>12.164381584724499</v>
      </c>
      <c r="F107" s="114">
        <f>+'I) Dépenses thématiques'!O107/'K) Plafonnement aide'!C107</f>
        <v>-3.4482222747635181</v>
      </c>
      <c r="G107" s="141">
        <f t="shared" si="5"/>
        <v>28.271261125741802</v>
      </c>
      <c r="H107" s="114">
        <f t="shared" si="6"/>
        <v>31.719483400505318</v>
      </c>
      <c r="I107" s="141">
        <f t="shared" si="7"/>
        <v>0</v>
      </c>
      <c r="J107" s="57">
        <f t="shared" si="8"/>
        <v>0</v>
      </c>
      <c r="K107" s="36"/>
    </row>
    <row r="108" spans="1:11" x14ac:dyDescent="0.25">
      <c r="A108" s="49">
        <f>'A) Base RI'!A110</f>
        <v>5566</v>
      </c>
      <c r="B108" s="285" t="str">
        <f>'A) Base RI'!B110</f>
        <v>Provence</v>
      </c>
      <c r="C108" s="98">
        <f>'B) D RI'!U110</f>
        <v>8488.3012345678999</v>
      </c>
      <c r="D108" s="114">
        <f>'E) Fact soc'!G114/C108</f>
        <v>19.851066640595032</v>
      </c>
      <c r="E108" s="141">
        <f>'H) Péréquation directe'!I119/C108</f>
        <v>-14.284708417212924</v>
      </c>
      <c r="F108" s="114">
        <f>+'I) Dépenses thématiques'!O108/'K) Plafonnement aide'!C108</f>
        <v>-25.757937372397446</v>
      </c>
      <c r="G108" s="141">
        <f t="shared" si="5"/>
        <v>-20.19157914901534</v>
      </c>
      <c r="H108" s="114">
        <f t="shared" si="6"/>
        <v>5.5663582233821067</v>
      </c>
      <c r="I108" s="141">
        <f t="shared" si="7"/>
        <v>0</v>
      </c>
      <c r="J108" s="57">
        <f t="shared" si="8"/>
        <v>0</v>
      </c>
      <c r="K108" s="36"/>
    </row>
    <row r="109" spans="1:11" x14ac:dyDescent="0.25">
      <c r="A109" s="49">
        <f>'A) Base RI'!A111</f>
        <v>5568</v>
      </c>
      <c r="B109" s="285" t="str">
        <f>'A) Base RI'!B111</f>
        <v>Sainte-Croix</v>
      </c>
      <c r="C109" s="98">
        <f>'B) D RI'!U111</f>
        <v>109300.43271428571</v>
      </c>
      <c r="D109" s="114">
        <f>'E) Fact soc'!G115/C109</f>
        <v>24.38741944309557</v>
      </c>
      <c r="E109" s="141">
        <f>'H) Péréquation directe'!I120/C109</f>
        <v>-17.745336847669421</v>
      </c>
      <c r="F109" s="114">
        <f>+'I) Dépenses thématiques'!O109/'K) Plafonnement aide'!C109</f>
        <v>-12.364457168492498</v>
      </c>
      <c r="G109" s="141">
        <f t="shared" si="5"/>
        <v>-5.7223745730663484</v>
      </c>
      <c r="H109" s="114">
        <f t="shared" si="6"/>
        <v>6.6420825954261495</v>
      </c>
      <c r="I109" s="141">
        <f t="shared" si="7"/>
        <v>0</v>
      </c>
      <c r="J109" s="57">
        <f t="shared" si="8"/>
        <v>0</v>
      </c>
      <c r="K109" s="36"/>
    </row>
    <row r="110" spans="1:11" x14ac:dyDescent="0.25">
      <c r="A110" s="49">
        <f>'A) Base RI'!A112</f>
        <v>5571</v>
      </c>
      <c r="B110" s="285" t="str">
        <f>'A) Base RI'!B112</f>
        <v>Tévenon</v>
      </c>
      <c r="C110" s="98">
        <f>'B) D RI'!U112</f>
        <v>24815.960251141551</v>
      </c>
      <c r="D110" s="114">
        <f>'E) Fact soc'!G116/C110</f>
        <v>17.497253240374071</v>
      </c>
      <c r="E110" s="141">
        <f>'H) Péréquation directe'!I121/C110</f>
        <v>0.6698208967548408</v>
      </c>
      <c r="F110" s="114">
        <f>+'I) Dépenses thématiques'!O110/'K) Plafonnement aide'!C110</f>
        <v>-4.9196051191689607</v>
      </c>
      <c r="G110" s="141">
        <f t="shared" si="5"/>
        <v>13.247469017959954</v>
      </c>
      <c r="H110" s="114">
        <f t="shared" si="6"/>
        <v>18.167074137128914</v>
      </c>
      <c r="I110" s="141">
        <f t="shared" si="7"/>
        <v>0</v>
      </c>
      <c r="J110" s="57">
        <f t="shared" si="8"/>
        <v>0</v>
      </c>
      <c r="K110" s="36"/>
    </row>
    <row r="111" spans="1:11" x14ac:dyDescent="0.25">
      <c r="A111" s="49">
        <f>'A) Base RI'!A113</f>
        <v>5581</v>
      </c>
      <c r="B111" s="285" t="str">
        <f>'A) Base RI'!B113</f>
        <v>Belmont-sur-Lausanne</v>
      </c>
      <c r="C111" s="98">
        <f>'B) D RI'!U113</f>
        <v>187774.68592592591</v>
      </c>
      <c r="D111" s="114">
        <f>'E) Fact soc'!G117/C111</f>
        <v>17.42734874448843</v>
      </c>
      <c r="E111" s="141">
        <f>'H) Péréquation directe'!I122/C111</f>
        <v>13.522355391128672</v>
      </c>
      <c r="F111" s="114">
        <f>+'I) Dépenses thématiques'!O111/'K) Plafonnement aide'!C111</f>
        <v>-5.4515149123141642</v>
      </c>
      <c r="G111" s="141">
        <f t="shared" si="5"/>
        <v>25.498189223302941</v>
      </c>
      <c r="H111" s="114">
        <f t="shared" si="6"/>
        <v>30.949704135617104</v>
      </c>
      <c r="I111" s="141">
        <f t="shared" si="7"/>
        <v>0</v>
      </c>
      <c r="J111" s="57">
        <f t="shared" si="8"/>
        <v>0</v>
      </c>
      <c r="K111" s="36"/>
    </row>
    <row r="112" spans="1:11" x14ac:dyDescent="0.25">
      <c r="A112" s="49">
        <f>'A) Base RI'!A114</f>
        <v>5582</v>
      </c>
      <c r="B112" s="285" t="str">
        <f>'A) Base RI'!B114</f>
        <v>Cheseaux-sur-Lausanne</v>
      </c>
      <c r="C112" s="98">
        <f>'B) D RI'!U114</f>
        <v>167195.61731543625</v>
      </c>
      <c r="D112" s="114">
        <f>'E) Fact soc'!G118/C112</f>
        <v>18.319550166845676</v>
      </c>
      <c r="E112" s="141">
        <f>'H) Péréquation directe'!I123/C112</f>
        <v>6.12330196956517</v>
      </c>
      <c r="F112" s="114">
        <f>+'I) Dépenses thématiques'!O112/'K) Plafonnement aide'!C112</f>
        <v>-2.1309717397889472</v>
      </c>
      <c r="G112" s="141">
        <f t="shared" si="5"/>
        <v>22.311880396621898</v>
      </c>
      <c r="H112" s="114">
        <f t="shared" si="6"/>
        <v>24.442852136410846</v>
      </c>
      <c r="I112" s="141">
        <f t="shared" si="7"/>
        <v>0</v>
      </c>
      <c r="J112" s="57">
        <f t="shared" si="8"/>
        <v>0</v>
      </c>
      <c r="K112" s="36"/>
    </row>
    <row r="113" spans="1:11" x14ac:dyDescent="0.25">
      <c r="A113" s="49">
        <f>'A) Base RI'!A115</f>
        <v>5583</v>
      </c>
      <c r="B113" s="285" t="str">
        <f>'A) Base RI'!B115</f>
        <v>Crissier</v>
      </c>
      <c r="C113" s="98">
        <f>'B) D RI'!U115</f>
        <v>313349.85476923082</v>
      </c>
      <c r="D113" s="114">
        <f>'E) Fact soc'!G119/C113</f>
        <v>19.289211588228504</v>
      </c>
      <c r="E113" s="141">
        <f>'H) Péréquation directe'!I124/C113</f>
        <v>5.2306969807830761</v>
      </c>
      <c r="F113" s="114">
        <f>+'I) Dépenses thématiques'!O113/'K) Plafonnement aide'!C113</f>
        <v>-7.6341392514873672</v>
      </c>
      <c r="G113" s="141">
        <f t="shared" si="5"/>
        <v>16.885769317524215</v>
      </c>
      <c r="H113" s="114">
        <f t="shared" si="6"/>
        <v>24.519908569011584</v>
      </c>
      <c r="I113" s="141">
        <f t="shared" si="7"/>
        <v>0</v>
      </c>
      <c r="J113" s="57">
        <f t="shared" si="8"/>
        <v>0</v>
      </c>
      <c r="K113" s="36"/>
    </row>
    <row r="114" spans="1:11" x14ac:dyDescent="0.25">
      <c r="A114" s="49">
        <f>'A) Base RI'!A116</f>
        <v>5584</v>
      </c>
      <c r="B114" s="285" t="str">
        <f>'A) Base RI'!B116</f>
        <v>Epalinges</v>
      </c>
      <c r="C114" s="98">
        <f>'B) D RI'!U116</f>
        <v>475091.38424242428</v>
      </c>
      <c r="D114" s="114">
        <f>'E) Fact soc'!G120/C114</f>
        <v>17.753928094648288</v>
      </c>
      <c r="E114" s="141">
        <f>'H) Péréquation directe'!I125/C114</f>
        <v>9.8084429265716313</v>
      </c>
      <c r="F114" s="114">
        <f>+'I) Dépenses thématiques'!O114/'K) Plafonnement aide'!C114</f>
        <v>-7.627786221947634</v>
      </c>
      <c r="G114" s="141">
        <f t="shared" si="5"/>
        <v>19.934584799272283</v>
      </c>
      <c r="H114" s="114">
        <f t="shared" si="6"/>
        <v>27.562371021219917</v>
      </c>
      <c r="I114" s="141">
        <f t="shared" si="7"/>
        <v>0</v>
      </c>
      <c r="J114" s="57">
        <f t="shared" si="8"/>
        <v>0</v>
      </c>
      <c r="K114" s="36"/>
    </row>
    <row r="115" spans="1:11" x14ac:dyDescent="0.25">
      <c r="A115" s="49">
        <f>'A) Base RI'!A117</f>
        <v>5585</v>
      </c>
      <c r="B115" s="285" t="str">
        <f>'A) Base RI'!B117</f>
        <v>Jouxtens-Mézery</v>
      </c>
      <c r="C115" s="98">
        <f>'B) D RI'!U117</f>
        <v>229695.06966101698</v>
      </c>
      <c r="D115" s="114">
        <f>'E) Fact soc'!G121/C115</f>
        <v>34.339393402374185</v>
      </c>
      <c r="E115" s="141">
        <f>'H) Péréquation directe'!I126/C115</f>
        <v>18.811961337849784</v>
      </c>
      <c r="F115" s="114">
        <f>+'I) Dépenses thématiques'!O115/'K) Plafonnement aide'!C115</f>
        <v>0</v>
      </c>
      <c r="G115" s="141">
        <f t="shared" si="5"/>
        <v>53.151354740223965</v>
      </c>
      <c r="H115" s="114">
        <f t="shared" si="6"/>
        <v>53.151354740223965</v>
      </c>
      <c r="I115" s="141">
        <f t="shared" si="7"/>
        <v>0</v>
      </c>
      <c r="J115" s="57">
        <f t="shared" si="8"/>
        <v>0</v>
      </c>
      <c r="K115" s="36"/>
    </row>
    <row r="116" spans="1:11" x14ac:dyDescent="0.25">
      <c r="A116" s="49">
        <f>'A) Base RI'!A118</f>
        <v>5586</v>
      </c>
      <c r="B116" s="285" t="str">
        <f>'A) Base RI'!B118</f>
        <v>Lausanne</v>
      </c>
      <c r="C116" s="98">
        <f>'B) D RI'!U118</f>
        <v>6038274.9810970454</v>
      </c>
      <c r="D116" s="114">
        <f>'E) Fact soc'!G122/C116</f>
        <v>18.038286912056218</v>
      </c>
      <c r="E116" s="141">
        <f>'H) Péréquation directe'!I127/C116</f>
        <v>-5.6536278934847184</v>
      </c>
      <c r="F116" s="114">
        <f>+'I) Dépenses thématiques'!O116/'K) Plafonnement aide'!C116</f>
        <v>-9.5734424629561907</v>
      </c>
      <c r="G116" s="141">
        <f t="shared" si="5"/>
        <v>2.8112165556153101</v>
      </c>
      <c r="H116" s="114">
        <f t="shared" si="6"/>
        <v>12.384659018571501</v>
      </c>
      <c r="I116" s="141">
        <f t="shared" si="7"/>
        <v>0</v>
      </c>
      <c r="J116" s="57">
        <f t="shared" si="8"/>
        <v>0</v>
      </c>
      <c r="K116" s="36"/>
    </row>
    <row r="117" spans="1:11" x14ac:dyDescent="0.25">
      <c r="A117" s="49">
        <f>'A) Base RI'!A119</f>
        <v>5587</v>
      </c>
      <c r="B117" s="285" t="str">
        <f>'A) Base RI'!B119</f>
        <v>Le Mont-sur-Lausanne</v>
      </c>
      <c r="C117" s="98">
        <f>'B) D RI'!U119</f>
        <v>437426.32075555553</v>
      </c>
      <c r="D117" s="114">
        <f>'E) Fact soc'!G123/C117</f>
        <v>17.273717934988248</v>
      </c>
      <c r="E117" s="141">
        <f>'H) Péréquation directe'!I128/C117</f>
        <v>10.31174309028744</v>
      </c>
      <c r="F117" s="114">
        <f>+'I) Dépenses thématiques'!O117/'K) Plafonnement aide'!C117</f>
        <v>-5.8799838143701129</v>
      </c>
      <c r="G117" s="141">
        <f t="shared" si="5"/>
        <v>21.705477210905574</v>
      </c>
      <c r="H117" s="114">
        <f t="shared" si="6"/>
        <v>27.585461025275688</v>
      </c>
      <c r="I117" s="141">
        <f t="shared" si="7"/>
        <v>0</v>
      </c>
      <c r="J117" s="57">
        <f t="shared" si="8"/>
        <v>0</v>
      </c>
      <c r="K117" s="36"/>
    </row>
    <row r="118" spans="1:11" x14ac:dyDescent="0.25">
      <c r="A118" s="49">
        <f>'A) Base RI'!A120</f>
        <v>5588</v>
      </c>
      <c r="B118" s="285" t="str">
        <f>'A) Base RI'!B120</f>
        <v>Paudex</v>
      </c>
      <c r="C118" s="98">
        <f>'B) D RI'!U120</f>
        <v>134588.09264705883</v>
      </c>
      <c r="D118" s="114">
        <f>'E) Fact soc'!G124/C118</f>
        <v>25.375505275051637</v>
      </c>
      <c r="E118" s="141">
        <f>'H) Péréquation directe'!I129/C118</f>
        <v>17.68281970418294</v>
      </c>
      <c r="F118" s="114">
        <f>+'I) Dépenses thématiques'!O118/'K) Plafonnement aide'!C118</f>
        <v>0</v>
      </c>
      <c r="G118" s="141">
        <f t="shared" si="5"/>
        <v>43.058324979234577</v>
      </c>
      <c r="H118" s="114">
        <f t="shared" si="6"/>
        <v>43.058324979234577</v>
      </c>
      <c r="I118" s="141">
        <f t="shared" si="7"/>
        <v>0</v>
      </c>
      <c r="J118" s="57">
        <f t="shared" si="8"/>
        <v>0</v>
      </c>
      <c r="K118" s="36"/>
    </row>
    <row r="119" spans="1:11" x14ac:dyDescent="0.25">
      <c r="A119" s="49">
        <f>'A) Base RI'!A121</f>
        <v>5589</v>
      </c>
      <c r="B119" s="285" t="str">
        <f>'A) Base RI'!B121</f>
        <v>Prilly</v>
      </c>
      <c r="C119" s="98">
        <f>'B) D RI'!U121</f>
        <v>418113.86360020924</v>
      </c>
      <c r="D119" s="114">
        <f>'E) Fact soc'!G125/C119</f>
        <v>17.30052539881342</v>
      </c>
      <c r="E119" s="141">
        <f>'H) Péréquation directe'!I130/C119</f>
        <v>-5.8548467126912289</v>
      </c>
      <c r="F119" s="114">
        <f>+'I) Dépenses thématiques'!O119/'K) Plafonnement aide'!C119</f>
        <v>-6.7613488655386096</v>
      </c>
      <c r="G119" s="141">
        <f t="shared" si="5"/>
        <v>4.6843298205835815</v>
      </c>
      <c r="H119" s="114">
        <f t="shared" si="6"/>
        <v>11.445678686122191</v>
      </c>
      <c r="I119" s="141">
        <f t="shared" si="7"/>
        <v>0</v>
      </c>
      <c r="J119" s="57">
        <f t="shared" si="8"/>
        <v>0</v>
      </c>
      <c r="K119" s="36"/>
    </row>
    <row r="120" spans="1:11" x14ac:dyDescent="0.25">
      <c r="A120" s="49">
        <f>'A) Base RI'!A122</f>
        <v>5590</v>
      </c>
      <c r="B120" s="285" t="str">
        <f>'A) Base RI'!B122</f>
        <v>Pully</v>
      </c>
      <c r="C120" s="98">
        <f>'B) D RI'!U122</f>
        <v>1533094.7704683845</v>
      </c>
      <c r="D120" s="114">
        <f>'E) Fact soc'!G126/C120</f>
        <v>26.05605599444738</v>
      </c>
      <c r="E120" s="141">
        <f>'H) Péréquation directe'!I131/C120</f>
        <v>11.192898184008484</v>
      </c>
      <c r="F120" s="114">
        <f>+'I) Dépenses thématiques'!O120/'K) Plafonnement aide'!C120</f>
        <v>-1.3593896623295558</v>
      </c>
      <c r="G120" s="141">
        <f t="shared" si="5"/>
        <v>35.889564516126306</v>
      </c>
      <c r="H120" s="114">
        <f t="shared" si="6"/>
        <v>37.248954178455861</v>
      </c>
      <c r="I120" s="141">
        <f t="shared" si="7"/>
        <v>0</v>
      </c>
      <c r="J120" s="57">
        <f t="shared" si="8"/>
        <v>0</v>
      </c>
      <c r="K120" s="36"/>
    </row>
    <row r="121" spans="1:11" x14ac:dyDescent="0.25">
      <c r="A121" s="49">
        <f>'A) Base RI'!A123</f>
        <v>5591</v>
      </c>
      <c r="B121" s="285" t="str">
        <f>'A) Base RI'!B123</f>
        <v>Renens</v>
      </c>
      <c r="C121" s="98">
        <f>'B) D RI'!U123</f>
        <v>563128.30316651508</v>
      </c>
      <c r="D121" s="114">
        <f>'E) Fact soc'!G127/C121</f>
        <v>18.192891919577608</v>
      </c>
      <c r="E121" s="141">
        <f>'H) Péréquation directe'!I132/C121</f>
        <v>-26.879616286256436</v>
      </c>
      <c r="F121" s="114">
        <f>+'I) Dépenses thématiques'!O121/'K) Plafonnement aide'!C121</f>
        <v>-11.026947368088578</v>
      </c>
      <c r="G121" s="141">
        <f t="shared" si="5"/>
        <v>-19.713671734767406</v>
      </c>
      <c r="H121" s="114">
        <f t="shared" si="6"/>
        <v>-8.6867243666788276</v>
      </c>
      <c r="I121" s="141">
        <f t="shared" si="7"/>
        <v>-0.68672436667882764</v>
      </c>
      <c r="J121" s="57">
        <f t="shared" si="8"/>
        <v>386713.92735094792</v>
      </c>
      <c r="K121" s="36"/>
    </row>
    <row r="122" spans="1:11" x14ac:dyDescent="0.25">
      <c r="A122" s="49">
        <f>'A) Base RI'!A124</f>
        <v>5592</v>
      </c>
      <c r="B122" s="285" t="str">
        <f>'A) Base RI'!B124</f>
        <v>Romanel-sur-Lausanne</v>
      </c>
      <c r="C122" s="98">
        <f>'B) D RI'!U124</f>
        <v>113674.73902777777</v>
      </c>
      <c r="D122" s="114">
        <f>'E) Fact soc'!G128/C122</f>
        <v>17.84683689750678</v>
      </c>
      <c r="E122" s="141">
        <f>'H) Péréquation directe'!I133/C122</f>
        <v>3.9097759920186013</v>
      </c>
      <c r="F122" s="114">
        <f>+'I) Dépenses thématiques'!O122/'K) Plafonnement aide'!C122</f>
        <v>-2.4190296471852561</v>
      </c>
      <c r="G122" s="141">
        <f t="shared" si="5"/>
        <v>19.337583242340127</v>
      </c>
      <c r="H122" s="114">
        <f t="shared" si="6"/>
        <v>21.756612889525382</v>
      </c>
      <c r="I122" s="141">
        <f t="shared" si="7"/>
        <v>0</v>
      </c>
      <c r="J122" s="57">
        <f t="shared" si="8"/>
        <v>0</v>
      </c>
      <c r="K122" s="36"/>
    </row>
    <row r="123" spans="1:11" x14ac:dyDescent="0.25">
      <c r="A123" s="49">
        <f>'A) Base RI'!A125</f>
        <v>5601</v>
      </c>
      <c r="B123" s="285" t="str">
        <f>'A) Base RI'!B125</f>
        <v>Chexbres</v>
      </c>
      <c r="C123" s="98">
        <f>'B) D RI'!U125</f>
        <v>103470.98536231882</v>
      </c>
      <c r="D123" s="114">
        <f>'E) Fact soc'!G129/C123</f>
        <v>18.800972328535778</v>
      </c>
      <c r="E123" s="141">
        <f>'H) Péréquation directe'!I134/C123</f>
        <v>14.256486483675239</v>
      </c>
      <c r="F123" s="114">
        <f>+'I) Dépenses thématiques'!O123/'K) Plafonnement aide'!C123</f>
        <v>-2.9250417017908088</v>
      </c>
      <c r="G123" s="141">
        <f t="shared" si="5"/>
        <v>30.132417110420207</v>
      </c>
      <c r="H123" s="114">
        <f t="shared" si="6"/>
        <v>33.057458812211017</v>
      </c>
      <c r="I123" s="141">
        <f t="shared" si="7"/>
        <v>0</v>
      </c>
      <c r="J123" s="57">
        <f t="shared" si="8"/>
        <v>0</v>
      </c>
      <c r="K123" s="36"/>
    </row>
    <row r="124" spans="1:11" x14ac:dyDescent="0.25">
      <c r="A124" s="49">
        <f>'A) Base RI'!A126</f>
        <v>5604</v>
      </c>
      <c r="B124" s="285" t="str">
        <f>'A) Base RI'!B126</f>
        <v>Forel (Lavaux)</v>
      </c>
      <c r="C124" s="98">
        <f>'B) D RI'!U126</f>
        <v>73971.129714285707</v>
      </c>
      <c r="D124" s="114">
        <f>'E) Fact soc'!G130/C124</f>
        <v>17.370520654149953</v>
      </c>
      <c r="E124" s="141">
        <f>'H) Péréquation directe'!I135/C124</f>
        <v>7.138996401621136</v>
      </c>
      <c r="F124" s="114">
        <f>+'I) Dépenses thématiques'!O124/'K) Plafonnement aide'!C124</f>
        <v>-4.7193125382968697</v>
      </c>
      <c r="G124" s="141">
        <f t="shared" si="5"/>
        <v>19.790204517474219</v>
      </c>
      <c r="H124" s="114">
        <f t="shared" si="6"/>
        <v>24.509517055771088</v>
      </c>
      <c r="I124" s="141">
        <f t="shared" si="7"/>
        <v>0</v>
      </c>
      <c r="J124" s="57">
        <f t="shared" si="8"/>
        <v>0</v>
      </c>
      <c r="K124" s="36"/>
    </row>
    <row r="125" spans="1:11" x14ac:dyDescent="0.25">
      <c r="A125" s="49">
        <f>'A) Base RI'!A127</f>
        <v>5606</v>
      </c>
      <c r="B125" s="285" t="str">
        <f>'A) Base RI'!B127</f>
        <v>Lutry</v>
      </c>
      <c r="C125" s="98">
        <f>'B) D RI'!U127</f>
        <v>806998.35454311455</v>
      </c>
      <c r="D125" s="114">
        <f>'E) Fact soc'!G131/C125</f>
        <v>25.677401670286706</v>
      </c>
      <c r="E125" s="141">
        <f>'H) Péréquation directe'!I136/C125</f>
        <v>13.308406394553506</v>
      </c>
      <c r="F125" s="114">
        <f>+'I) Dépenses thématiques'!O125/'K) Plafonnement aide'!C125</f>
        <v>-3.1772666218398022</v>
      </c>
      <c r="G125" s="141">
        <f t="shared" si="5"/>
        <v>35.808541443000408</v>
      </c>
      <c r="H125" s="114">
        <f t="shared" si="6"/>
        <v>38.985808064840214</v>
      </c>
      <c r="I125" s="141">
        <f t="shared" si="7"/>
        <v>0</v>
      </c>
      <c r="J125" s="57">
        <f t="shared" si="8"/>
        <v>0</v>
      </c>
      <c r="K125" s="36"/>
    </row>
    <row r="126" spans="1:11" x14ac:dyDescent="0.25">
      <c r="A126" s="49">
        <f>'A) Base RI'!A128</f>
        <v>5607</v>
      </c>
      <c r="B126" s="285" t="str">
        <f>'A) Base RI'!B128</f>
        <v>Puidoux</v>
      </c>
      <c r="C126" s="98">
        <f>'B) D RI'!U128</f>
        <v>100918.13995031056</v>
      </c>
      <c r="D126" s="114">
        <f>'E) Fact soc'!G132/C126</f>
        <v>16.506863918375682</v>
      </c>
      <c r="E126" s="141">
        <f>'H) Péréquation directe'!I137/C126</f>
        <v>5.5059792454839469</v>
      </c>
      <c r="F126" s="114">
        <f>+'I) Dépenses thématiques'!O126/'K) Plafonnement aide'!C126</f>
        <v>-8.0489559877652237</v>
      </c>
      <c r="G126" s="141">
        <f t="shared" si="5"/>
        <v>13.963887176094405</v>
      </c>
      <c r="H126" s="114">
        <f t="shared" si="6"/>
        <v>22.012843163859628</v>
      </c>
      <c r="I126" s="141">
        <f t="shared" si="7"/>
        <v>0</v>
      </c>
      <c r="J126" s="57">
        <f t="shared" si="8"/>
        <v>0</v>
      </c>
      <c r="K126" s="36"/>
    </row>
    <row r="127" spans="1:11" x14ac:dyDescent="0.25">
      <c r="A127" s="49">
        <f>'A) Base RI'!A129</f>
        <v>5609</v>
      </c>
      <c r="B127" s="285" t="str">
        <f>'A) Base RI'!B129</f>
        <v>Rivaz</v>
      </c>
      <c r="C127" s="98">
        <f>'B) D RI'!U129</f>
        <v>13641.583779527558</v>
      </c>
      <c r="D127" s="114">
        <f>'E) Fact soc'!G133/C127</f>
        <v>16.055932305146197</v>
      </c>
      <c r="E127" s="141">
        <f>'H) Péréquation directe'!I138/C127</f>
        <v>13.960440044089271</v>
      </c>
      <c r="F127" s="114">
        <f>+'I) Dépenses thématiques'!O127/'K) Plafonnement aide'!C127</f>
        <v>-3.7622323086872203</v>
      </c>
      <c r="G127" s="141">
        <f t="shared" si="5"/>
        <v>26.254140040548247</v>
      </c>
      <c r="H127" s="114">
        <f t="shared" si="6"/>
        <v>30.016372349235468</v>
      </c>
      <c r="I127" s="141">
        <f t="shared" si="7"/>
        <v>0</v>
      </c>
      <c r="J127" s="57">
        <f t="shared" si="8"/>
        <v>0</v>
      </c>
      <c r="K127" s="36"/>
    </row>
    <row r="128" spans="1:11" x14ac:dyDescent="0.25">
      <c r="A128" s="49">
        <f>'A) Base RI'!A130</f>
        <v>5610</v>
      </c>
      <c r="B128" s="285" t="str">
        <f>'A) Base RI'!B130</f>
        <v>St-Saphorin (Lavaux)</v>
      </c>
      <c r="C128" s="98">
        <f>'B) D RI'!U130</f>
        <v>22278.713000000003</v>
      </c>
      <c r="D128" s="114">
        <f>'E) Fact soc'!G134/C128</f>
        <v>18.255385949251149</v>
      </c>
      <c r="E128" s="141">
        <f>'H) Péréquation directe'!I139/C128</f>
        <v>17.841330243806169</v>
      </c>
      <c r="F128" s="114">
        <f>+'I) Dépenses thématiques'!O128/'K) Plafonnement aide'!C128</f>
        <v>-1.0037152944602945</v>
      </c>
      <c r="G128" s="141">
        <f t="shared" si="5"/>
        <v>35.093000898597026</v>
      </c>
      <c r="H128" s="114">
        <f t="shared" si="6"/>
        <v>36.096716193057318</v>
      </c>
      <c r="I128" s="141">
        <f t="shared" si="7"/>
        <v>0</v>
      </c>
      <c r="J128" s="57">
        <f t="shared" si="8"/>
        <v>0</v>
      </c>
      <c r="K128" s="36"/>
    </row>
    <row r="129" spans="1:11" x14ac:dyDescent="0.25">
      <c r="A129" s="49">
        <f>'A) Base RI'!A131</f>
        <v>5611</v>
      </c>
      <c r="B129" s="285" t="str">
        <f>'A) Base RI'!B131</f>
        <v>Savigny</v>
      </c>
      <c r="C129" s="98">
        <f>'B) D RI'!U131</f>
        <v>134929.74355072467</v>
      </c>
      <c r="D129" s="114">
        <f>'E) Fact soc'!G135/C129</f>
        <v>19.546830649028163</v>
      </c>
      <c r="E129" s="141">
        <f>'H) Péréquation directe'!I140/C129</f>
        <v>9.2607389100543696</v>
      </c>
      <c r="F129" s="114">
        <f>+'I) Dépenses thématiques'!O129/'K) Plafonnement aide'!C129</f>
        <v>-3.6515447106779497</v>
      </c>
      <c r="G129" s="141">
        <f t="shared" si="5"/>
        <v>25.156024848404581</v>
      </c>
      <c r="H129" s="114">
        <f t="shared" si="6"/>
        <v>28.80756955908253</v>
      </c>
      <c r="I129" s="141">
        <f t="shared" si="7"/>
        <v>0</v>
      </c>
      <c r="J129" s="57">
        <f t="shared" si="8"/>
        <v>0</v>
      </c>
      <c r="K129" s="36"/>
    </row>
    <row r="130" spans="1:11" x14ac:dyDescent="0.25">
      <c r="A130" s="49">
        <f>'A) Base RI'!A132</f>
        <v>5613</v>
      </c>
      <c r="B130" s="285" t="str">
        <f>'A) Base RI'!B132</f>
        <v>Bourg-en-Lavaux</v>
      </c>
      <c r="C130" s="98">
        <f>'B) D RI'!U132</f>
        <v>333126.87406250008</v>
      </c>
      <c r="D130" s="114">
        <f>'E) Fact soc'!G136/C130</f>
        <v>21.388212810155508</v>
      </c>
      <c r="E130" s="141">
        <f>'H) Péréquation directe'!I141/C130</f>
        <v>13.87622984863736</v>
      </c>
      <c r="F130" s="114">
        <f>+'I) Dépenses thématiques'!O130/'K) Plafonnement aide'!C130</f>
        <v>0</v>
      </c>
      <c r="G130" s="141">
        <f t="shared" si="5"/>
        <v>35.264442658792866</v>
      </c>
      <c r="H130" s="114">
        <f t="shared" si="6"/>
        <v>35.264442658792866</v>
      </c>
      <c r="I130" s="141">
        <f t="shared" si="7"/>
        <v>0</v>
      </c>
      <c r="J130" s="57">
        <f t="shared" si="8"/>
        <v>0</v>
      </c>
      <c r="K130" s="36"/>
    </row>
    <row r="131" spans="1:11" x14ac:dyDescent="0.25">
      <c r="A131" s="49">
        <f>'A) Base RI'!A133</f>
        <v>5621</v>
      </c>
      <c r="B131" s="285" t="str">
        <f>'A) Base RI'!B133</f>
        <v>Aclens</v>
      </c>
      <c r="C131" s="98">
        <f>'B) D RI'!U133</f>
        <v>27514.906070381232</v>
      </c>
      <c r="D131" s="114">
        <f>'E) Fact soc'!G137/C131</f>
        <v>20.824780675963979</v>
      </c>
      <c r="E131" s="141">
        <f>'H) Péréquation directe'!I142/C131</f>
        <v>17.545700912801237</v>
      </c>
      <c r="F131" s="114">
        <f>+'I) Dépenses thématiques'!O131/'K) Plafonnement aide'!C131</f>
        <v>-0.11536450359339066</v>
      </c>
      <c r="G131" s="141">
        <f t="shared" si="5"/>
        <v>38.255117085171825</v>
      </c>
      <c r="H131" s="114">
        <f t="shared" si="6"/>
        <v>38.370481588765216</v>
      </c>
      <c r="I131" s="141">
        <f t="shared" si="7"/>
        <v>0</v>
      </c>
      <c r="J131" s="57">
        <f t="shared" si="8"/>
        <v>0</v>
      </c>
      <c r="K131" s="36"/>
    </row>
    <row r="132" spans="1:11" x14ac:dyDescent="0.25">
      <c r="A132" s="49">
        <f>'A) Base RI'!A134</f>
        <v>5622</v>
      </c>
      <c r="B132" s="285" t="str">
        <f>'A) Base RI'!B134</f>
        <v>Bremblens</v>
      </c>
      <c r="C132" s="98">
        <f>'B) D RI'!U134</f>
        <v>27505.151666666668</v>
      </c>
      <c r="D132" s="114">
        <f>'E) Fact soc'!G138/C132</f>
        <v>19.246946542775323</v>
      </c>
      <c r="E132" s="141">
        <f>'H) Péréquation directe'!I143/C132</f>
        <v>17.371264541454551</v>
      </c>
      <c r="F132" s="114">
        <f>+'I) Dépenses thématiques'!O132/'K) Plafonnement aide'!C132</f>
        <v>0</v>
      </c>
      <c r="G132" s="141">
        <f t="shared" si="5"/>
        <v>36.61821108422987</v>
      </c>
      <c r="H132" s="114">
        <f t="shared" si="6"/>
        <v>36.61821108422987</v>
      </c>
      <c r="I132" s="141">
        <f t="shared" si="7"/>
        <v>0</v>
      </c>
      <c r="J132" s="57">
        <f t="shared" si="8"/>
        <v>0</v>
      </c>
      <c r="K132" s="36"/>
    </row>
    <row r="133" spans="1:11" x14ac:dyDescent="0.25">
      <c r="A133" s="49">
        <f>'A) Base RI'!A135</f>
        <v>5623</v>
      </c>
      <c r="B133" s="285" t="str">
        <f>'A) Base RI'!B135</f>
        <v>Buchillon</v>
      </c>
      <c r="C133" s="98">
        <f>'B) D RI'!U135</f>
        <v>89779.897358490547</v>
      </c>
      <c r="D133" s="114">
        <f>'E) Fact soc'!G139/C133</f>
        <v>31.004791751421518</v>
      </c>
      <c r="E133" s="141">
        <f>'H) Péréquation directe'!I144/C133</f>
        <v>19.04677292063268</v>
      </c>
      <c r="F133" s="114">
        <f>+'I) Dépenses thématiques'!O133/'K) Plafonnement aide'!C133</f>
        <v>0</v>
      </c>
      <c r="G133" s="141">
        <f t="shared" si="5"/>
        <v>50.051564672054198</v>
      </c>
      <c r="H133" s="114">
        <f t="shared" si="6"/>
        <v>50.051564672054198</v>
      </c>
      <c r="I133" s="141">
        <f t="shared" si="7"/>
        <v>0</v>
      </c>
      <c r="J133" s="57">
        <f t="shared" si="8"/>
        <v>0</v>
      </c>
      <c r="K133" s="36"/>
    </row>
    <row r="134" spans="1:11" x14ac:dyDescent="0.25">
      <c r="A134" s="49">
        <f>'A) Base RI'!A136</f>
        <v>5624</v>
      </c>
      <c r="B134" s="285" t="str">
        <f>'A) Base RI'!B136</f>
        <v>Bussigny</v>
      </c>
      <c r="C134" s="98">
        <f>'B) D RI'!U136</f>
        <v>397950.93625000003</v>
      </c>
      <c r="D134" s="114">
        <f>'E) Fact soc'!G140/C134</f>
        <v>19.545607840868264</v>
      </c>
      <c r="E134" s="141">
        <f>'H) Péréquation directe'!I145/C134</f>
        <v>8.4003839940452796</v>
      </c>
      <c r="F134" s="114">
        <f>+'I) Dépenses thématiques'!O134/'K) Plafonnement aide'!C134</f>
        <v>-2.6335721079971428</v>
      </c>
      <c r="G134" s="141">
        <f t="shared" ref="G134:G197" si="9">SUM(D134:F134)</f>
        <v>25.312419726916399</v>
      </c>
      <c r="H134" s="114">
        <f t="shared" ref="H134:H197" si="10">G134-F134</f>
        <v>27.945991834913542</v>
      </c>
      <c r="I134" s="141">
        <f t="shared" ref="I134:I197" si="11">IF(H134&lt;I$4,H134-I$4,0)</f>
        <v>0</v>
      </c>
      <c r="J134" s="57">
        <f t="shared" ref="J134:J197" si="12">-I134*C134</f>
        <v>0</v>
      </c>
      <c r="K134" s="36"/>
    </row>
    <row r="135" spans="1:11" x14ac:dyDescent="0.25">
      <c r="A135" s="49">
        <f>'A) Base RI'!A137</f>
        <v>5625</v>
      </c>
      <c r="B135" s="285" t="str">
        <f>'A) Base RI'!B137</f>
        <v>Bussy-Chardonney</v>
      </c>
      <c r="C135" s="98">
        <f>'B) D RI'!U137</f>
        <v>16807.989913419911</v>
      </c>
      <c r="D135" s="114">
        <f>'E) Fact soc'!G141/C135</f>
        <v>17.28285104185813</v>
      </c>
      <c r="E135" s="141">
        <f>'H) Péréquation directe'!I146/C135</f>
        <v>15.337751504651287</v>
      </c>
      <c r="F135" s="114">
        <f>+'I) Dépenses thématiques'!O135/'K) Plafonnement aide'!C135</f>
        <v>-2.0546002691632435</v>
      </c>
      <c r="G135" s="141">
        <f t="shared" si="9"/>
        <v>30.566002277346172</v>
      </c>
      <c r="H135" s="114">
        <f t="shared" si="10"/>
        <v>32.620602546509417</v>
      </c>
      <c r="I135" s="141">
        <f t="shared" si="11"/>
        <v>0</v>
      </c>
      <c r="J135" s="57">
        <f t="shared" si="12"/>
        <v>0</v>
      </c>
      <c r="K135" s="36"/>
    </row>
    <row r="136" spans="1:11" x14ac:dyDescent="0.25">
      <c r="A136" s="49">
        <f>'A) Base RI'!A138</f>
        <v>5627</v>
      </c>
      <c r="B136" s="285" t="str">
        <f>'A) Base RI'!B138</f>
        <v>Chavannes-près-Renens</v>
      </c>
      <c r="C136" s="98">
        <f>'B) D RI'!U138</f>
        <v>211976.34008438818</v>
      </c>
      <c r="D136" s="114">
        <f>'E) Fact soc'!G142/C136</f>
        <v>21.384173024407453</v>
      </c>
      <c r="E136" s="141">
        <f>'H) Péréquation directe'!I147/C136</f>
        <v>-15.475117437087999</v>
      </c>
      <c r="F136" s="114">
        <f>+'I) Dépenses thématiques'!O136/'K) Plafonnement aide'!C136</f>
        <v>-6.1959888821960254</v>
      </c>
      <c r="G136" s="141">
        <f t="shared" si="9"/>
        <v>-0.28693329487657149</v>
      </c>
      <c r="H136" s="114">
        <f t="shared" si="10"/>
        <v>5.9090555873194539</v>
      </c>
      <c r="I136" s="141">
        <f t="shared" si="11"/>
        <v>0</v>
      </c>
      <c r="J136" s="57">
        <f t="shared" si="12"/>
        <v>0</v>
      </c>
      <c r="K136" s="36"/>
    </row>
    <row r="137" spans="1:11" x14ac:dyDescent="0.25">
      <c r="A137" s="49">
        <f>'A) Base RI'!A139</f>
        <v>5628</v>
      </c>
      <c r="B137" s="285" t="str">
        <f>'A) Base RI'!B139</f>
        <v>Chigny</v>
      </c>
      <c r="C137" s="98">
        <f>'B) D RI'!U139</f>
        <v>22390.960806451614</v>
      </c>
      <c r="D137" s="114">
        <f>'E) Fact soc'!G143/C137</f>
        <v>20.892995924733512</v>
      </c>
      <c r="E137" s="141">
        <f>'H) Péréquation directe'!I148/C137</f>
        <v>17.863406765391776</v>
      </c>
      <c r="F137" s="114">
        <f>+'I) Dépenses thématiques'!O137/'K) Plafonnement aide'!C137</f>
        <v>0</v>
      </c>
      <c r="G137" s="141">
        <f t="shared" si="9"/>
        <v>38.756402690125284</v>
      </c>
      <c r="H137" s="114">
        <f t="shared" si="10"/>
        <v>38.756402690125284</v>
      </c>
      <c r="I137" s="141">
        <f t="shared" si="11"/>
        <v>0</v>
      </c>
      <c r="J137" s="57">
        <f t="shared" si="12"/>
        <v>0</v>
      </c>
      <c r="K137" s="36"/>
    </row>
    <row r="138" spans="1:11" x14ac:dyDescent="0.25">
      <c r="A138" s="49">
        <f>'A) Base RI'!A140</f>
        <v>5629</v>
      </c>
      <c r="B138" s="285" t="str">
        <f>'A) Base RI'!B140</f>
        <v>Clarmont</v>
      </c>
      <c r="C138" s="98">
        <f>'B) D RI'!U140</f>
        <v>6767.1243999999997</v>
      </c>
      <c r="D138" s="114">
        <f>'E) Fact soc'!G144/C138</f>
        <v>22.278807163337891</v>
      </c>
      <c r="E138" s="141">
        <f>'H) Péréquation directe'!I149/C138</f>
        <v>9.1093929148926147</v>
      </c>
      <c r="F138" s="114">
        <f>+'I) Dépenses thématiques'!O138/'K) Plafonnement aide'!C138</f>
        <v>-6.926078838340084</v>
      </c>
      <c r="G138" s="141">
        <f t="shared" si="9"/>
        <v>24.462121239890422</v>
      </c>
      <c r="H138" s="114">
        <f t="shared" si="10"/>
        <v>31.388200078230504</v>
      </c>
      <c r="I138" s="141">
        <f t="shared" si="11"/>
        <v>0</v>
      </c>
      <c r="J138" s="57">
        <f t="shared" si="12"/>
        <v>0</v>
      </c>
      <c r="K138" s="36"/>
    </row>
    <row r="139" spans="1:11" x14ac:dyDescent="0.25">
      <c r="A139" s="49">
        <f>'A) Base RI'!A141</f>
        <v>5631</v>
      </c>
      <c r="B139" s="285" t="str">
        <f>'A) Base RI'!B141</f>
        <v>Denens</v>
      </c>
      <c r="C139" s="98">
        <f>'B) D RI'!U141</f>
        <v>51475.873428571431</v>
      </c>
      <c r="D139" s="114">
        <f>'E) Fact soc'!G145/C139</f>
        <v>21.485665378243318</v>
      </c>
      <c r="E139" s="141">
        <f>'H) Péréquation directe'!I150/C139</f>
        <v>18.19581246557912</v>
      </c>
      <c r="F139" s="114">
        <f>+'I) Dépenses thématiques'!O139/'K) Plafonnement aide'!C139</f>
        <v>0</v>
      </c>
      <c r="G139" s="141">
        <f t="shared" si="9"/>
        <v>39.681477843822435</v>
      </c>
      <c r="H139" s="114">
        <f t="shared" si="10"/>
        <v>39.681477843822435</v>
      </c>
      <c r="I139" s="141">
        <f t="shared" si="11"/>
        <v>0</v>
      </c>
      <c r="J139" s="57">
        <f t="shared" si="12"/>
        <v>0</v>
      </c>
      <c r="K139" s="36"/>
    </row>
    <row r="140" spans="1:11" x14ac:dyDescent="0.25">
      <c r="A140" s="49">
        <f>'A) Base RI'!A142</f>
        <v>5632</v>
      </c>
      <c r="B140" s="285" t="str">
        <f>'A) Base RI'!B142</f>
        <v>Denges</v>
      </c>
      <c r="C140" s="98">
        <f>'B) D RI'!U142</f>
        <v>72992.009193548365</v>
      </c>
      <c r="D140" s="114">
        <f>'E) Fact soc'!G146/C140</f>
        <v>17.048223467934381</v>
      </c>
      <c r="E140" s="141">
        <f>'H) Péréquation directe'!I151/C140</f>
        <v>14.760239870958022</v>
      </c>
      <c r="F140" s="114">
        <f>+'I) Dépenses thématiques'!O140/'K) Plafonnement aide'!C140</f>
        <v>-2.1747159638063605</v>
      </c>
      <c r="G140" s="141">
        <f t="shared" si="9"/>
        <v>29.633747375086042</v>
      </c>
      <c r="H140" s="114">
        <f t="shared" si="10"/>
        <v>31.808463338892402</v>
      </c>
      <c r="I140" s="141">
        <f t="shared" si="11"/>
        <v>0</v>
      </c>
      <c r="J140" s="57">
        <f t="shared" si="12"/>
        <v>0</v>
      </c>
      <c r="K140" s="36"/>
    </row>
    <row r="141" spans="1:11" x14ac:dyDescent="0.25">
      <c r="A141" s="49">
        <f>'A) Base RI'!A143</f>
        <v>5633</v>
      </c>
      <c r="B141" s="285" t="str">
        <f>'A) Base RI'!B143</f>
        <v>Echandens</v>
      </c>
      <c r="C141" s="98">
        <f>'B) D RI'!U143</f>
        <v>160902.30048387093</v>
      </c>
      <c r="D141" s="114">
        <f>'E) Fact soc'!G147/C141</f>
        <v>19.270677245512573</v>
      </c>
      <c r="E141" s="141">
        <f>'H) Péréquation directe'!I152/C141</f>
        <v>15.424156097966453</v>
      </c>
      <c r="F141" s="114">
        <f>+'I) Dépenses thématiques'!O141/'K) Plafonnement aide'!C141</f>
        <v>-3.4280848471185474</v>
      </c>
      <c r="G141" s="141">
        <f t="shared" si="9"/>
        <v>31.266748496360478</v>
      </c>
      <c r="H141" s="114">
        <f t="shared" si="10"/>
        <v>34.694833343479026</v>
      </c>
      <c r="I141" s="141">
        <f t="shared" si="11"/>
        <v>0</v>
      </c>
      <c r="J141" s="57">
        <f t="shared" si="12"/>
        <v>0</v>
      </c>
      <c r="K141" s="36"/>
    </row>
    <row r="142" spans="1:11" x14ac:dyDescent="0.25">
      <c r="A142" s="49">
        <f>'A) Base RI'!A144</f>
        <v>5634</v>
      </c>
      <c r="B142" s="285" t="str">
        <f>'A) Base RI'!B144</f>
        <v>Echichens</v>
      </c>
      <c r="C142" s="98">
        <f>'B) D RI'!U144</f>
        <v>173253.00779411764</v>
      </c>
      <c r="D142" s="114">
        <f>'E) Fact soc'!G148/C142</f>
        <v>20.692323075337463</v>
      </c>
      <c r="E142" s="141">
        <f>'H) Péréquation directe'!I153/C142</f>
        <v>14.997579821886163</v>
      </c>
      <c r="F142" s="114">
        <f>+'I) Dépenses thématiques'!O142/'K) Plafonnement aide'!C142</f>
        <v>0</v>
      </c>
      <c r="G142" s="141">
        <f t="shared" si="9"/>
        <v>35.689902897223625</v>
      </c>
      <c r="H142" s="114">
        <f t="shared" si="10"/>
        <v>35.689902897223625</v>
      </c>
      <c r="I142" s="141">
        <f t="shared" si="11"/>
        <v>0</v>
      </c>
      <c r="J142" s="57">
        <f t="shared" si="12"/>
        <v>0</v>
      </c>
      <c r="K142" s="36"/>
    </row>
    <row r="143" spans="1:11" x14ac:dyDescent="0.25">
      <c r="A143" s="49">
        <f>'A) Base RI'!A145</f>
        <v>5635</v>
      </c>
      <c r="B143" s="285" t="str">
        <f>'A) Base RI'!B145</f>
        <v>Ecublens</v>
      </c>
      <c r="C143" s="98">
        <f>'B) D RI'!U145</f>
        <v>489428.14554687496</v>
      </c>
      <c r="D143" s="114">
        <f>'E) Fact soc'!G149/C143</f>
        <v>18.631228149238009</v>
      </c>
      <c r="E143" s="141">
        <f>'H) Péréquation directe'!I154/C143</f>
        <v>-0.3629914118555535</v>
      </c>
      <c r="F143" s="114">
        <f>+'I) Dépenses thématiques'!O143/'K) Plafonnement aide'!C143</f>
        <v>-5.9154132521016862</v>
      </c>
      <c r="G143" s="141">
        <f t="shared" si="9"/>
        <v>12.352823485280769</v>
      </c>
      <c r="H143" s="114">
        <f t="shared" si="10"/>
        <v>18.268236737382455</v>
      </c>
      <c r="I143" s="141">
        <f t="shared" si="11"/>
        <v>0</v>
      </c>
      <c r="J143" s="57">
        <f t="shared" si="12"/>
        <v>0</v>
      </c>
      <c r="K143" s="36"/>
    </row>
    <row r="144" spans="1:11" x14ac:dyDescent="0.25">
      <c r="A144" s="49">
        <f>'A) Base RI'!A146</f>
        <v>5636</v>
      </c>
      <c r="B144" s="285" t="str">
        <f>'A) Base RI'!B146</f>
        <v>Etoy</v>
      </c>
      <c r="C144" s="98">
        <f>'B) D RI'!U146</f>
        <v>176252.1018032787</v>
      </c>
      <c r="D144" s="114">
        <f>'E) Fact soc'!G150/C144</f>
        <v>21.33078955487338</v>
      </c>
      <c r="E144" s="141">
        <f>'H) Péréquation directe'!I155/C144</f>
        <v>15.43606772623159</v>
      </c>
      <c r="F144" s="114">
        <f>+'I) Dépenses thématiques'!O144/'K) Plafonnement aide'!C144</f>
        <v>-1.0343487295242377</v>
      </c>
      <c r="G144" s="141">
        <f t="shared" si="9"/>
        <v>35.732508551580729</v>
      </c>
      <c r="H144" s="114">
        <f t="shared" si="10"/>
        <v>36.766857281104969</v>
      </c>
      <c r="I144" s="141">
        <f t="shared" si="11"/>
        <v>0</v>
      </c>
      <c r="J144" s="57">
        <f t="shared" si="12"/>
        <v>0</v>
      </c>
      <c r="K144" s="36"/>
    </row>
    <row r="145" spans="1:11" x14ac:dyDescent="0.25">
      <c r="A145" s="49">
        <f>'A) Base RI'!A147</f>
        <v>5637</v>
      </c>
      <c r="B145" s="285" t="str">
        <f>'A) Base RI'!B147</f>
        <v>Lavigny</v>
      </c>
      <c r="C145" s="98">
        <f>'B) D RI'!U147</f>
        <v>37192.899776286358</v>
      </c>
      <c r="D145" s="114">
        <f>'E) Fact soc'!G151/C145</f>
        <v>17.919312963038198</v>
      </c>
      <c r="E145" s="141">
        <f>'H) Péréquation directe'!I156/C145</f>
        <v>11.010399066371967</v>
      </c>
      <c r="F145" s="114">
        <f>+'I) Dépenses thématiques'!O145/'K) Plafonnement aide'!C145</f>
        <v>-4.9216666410179659</v>
      </c>
      <c r="G145" s="141">
        <f t="shared" si="9"/>
        <v>24.008045388392198</v>
      </c>
      <c r="H145" s="114">
        <f t="shared" si="10"/>
        <v>28.929712029410162</v>
      </c>
      <c r="I145" s="141">
        <f t="shared" si="11"/>
        <v>0</v>
      </c>
      <c r="J145" s="57">
        <f t="shared" si="12"/>
        <v>0</v>
      </c>
      <c r="K145" s="36"/>
    </row>
    <row r="146" spans="1:11" x14ac:dyDescent="0.25">
      <c r="A146" s="49">
        <f>'A) Base RI'!A148</f>
        <v>5638</v>
      </c>
      <c r="B146" s="285" t="str">
        <f>'A) Base RI'!B148</f>
        <v>Lonay</v>
      </c>
      <c r="C146" s="98">
        <f>'B) D RI'!U148</f>
        <v>157137.98454545456</v>
      </c>
      <c r="D146" s="114">
        <f>'E) Fact soc'!G152/C146</f>
        <v>27.491341046474304</v>
      </c>
      <c r="E146" s="141">
        <f>'H) Péréquation directe'!I157/C146</f>
        <v>15.455407654985533</v>
      </c>
      <c r="F146" s="114">
        <f>+'I) Dépenses thématiques'!O146/'K) Plafonnement aide'!C146</f>
        <v>-2.447678192545697</v>
      </c>
      <c r="G146" s="141">
        <f t="shared" si="9"/>
        <v>40.499070508914144</v>
      </c>
      <c r="H146" s="114">
        <f t="shared" si="10"/>
        <v>42.946748701459839</v>
      </c>
      <c r="I146" s="141">
        <f t="shared" si="11"/>
        <v>0</v>
      </c>
      <c r="J146" s="57">
        <f t="shared" si="12"/>
        <v>0</v>
      </c>
      <c r="K146" s="36"/>
    </row>
    <row r="147" spans="1:11" x14ac:dyDescent="0.25">
      <c r="A147" s="49">
        <f>'A) Base RI'!A149</f>
        <v>5639</v>
      </c>
      <c r="B147" s="285" t="str">
        <f>'A) Base RI'!B149</f>
        <v>Lully</v>
      </c>
      <c r="C147" s="98">
        <f>'B) D RI'!U149</f>
        <v>47176.43180327869</v>
      </c>
      <c r="D147" s="114">
        <f>'E) Fact soc'!G153/C147</f>
        <v>18.422252484350565</v>
      </c>
      <c r="E147" s="141">
        <f>'H) Péréquation directe'!I158/C147</f>
        <v>17.828392713921804</v>
      </c>
      <c r="F147" s="114">
        <f>+'I) Dépenses thématiques'!O147/'K) Plafonnement aide'!C147</f>
        <v>0</v>
      </c>
      <c r="G147" s="141">
        <f t="shared" si="9"/>
        <v>36.250645198272366</v>
      </c>
      <c r="H147" s="114">
        <f t="shared" si="10"/>
        <v>36.250645198272366</v>
      </c>
      <c r="I147" s="141">
        <f t="shared" si="11"/>
        <v>0</v>
      </c>
      <c r="J147" s="57">
        <f t="shared" si="12"/>
        <v>0</v>
      </c>
      <c r="K147" s="36"/>
    </row>
    <row r="148" spans="1:11" x14ac:dyDescent="0.25">
      <c r="A148" s="49">
        <f>'A) Base RI'!A150</f>
        <v>5640</v>
      </c>
      <c r="B148" s="285" t="str">
        <f>'A) Base RI'!B150</f>
        <v>Lussy-sur-Morges</v>
      </c>
      <c r="C148" s="98">
        <f>'B) D RI'!U150</f>
        <v>61400.456666666665</v>
      </c>
      <c r="D148" s="114">
        <f>'E) Fact soc'!G154/C148</f>
        <v>28.283726611414831</v>
      </c>
      <c r="E148" s="141">
        <f>'H) Péréquation directe'!I159/C148</f>
        <v>18.582635929569793</v>
      </c>
      <c r="F148" s="114">
        <f>+'I) Dépenses thématiques'!O148/'K) Plafonnement aide'!C148</f>
        <v>0</v>
      </c>
      <c r="G148" s="141">
        <f t="shared" si="9"/>
        <v>46.866362540984625</v>
      </c>
      <c r="H148" s="114">
        <f t="shared" si="10"/>
        <v>46.866362540984625</v>
      </c>
      <c r="I148" s="141">
        <f t="shared" si="11"/>
        <v>0</v>
      </c>
      <c r="J148" s="57">
        <f t="shared" si="12"/>
        <v>0</v>
      </c>
      <c r="K148" s="36"/>
    </row>
    <row r="149" spans="1:11" x14ac:dyDescent="0.25">
      <c r="A149" s="49">
        <f>'A) Base RI'!A151</f>
        <v>5642</v>
      </c>
      <c r="B149" s="285" t="str">
        <f>'A) Base RI'!B151</f>
        <v>Morges</v>
      </c>
      <c r="C149" s="98">
        <f>'B) D RI'!U151</f>
        <v>842114.79489051085</v>
      </c>
      <c r="D149" s="114">
        <f>'E) Fact soc'!G155/C149</f>
        <v>20.244096550244599</v>
      </c>
      <c r="E149" s="141">
        <f>'H) Péréquation directe'!I160/C149</f>
        <v>7.2604205593085682</v>
      </c>
      <c r="F149" s="114">
        <f>+'I) Dépenses thématiques'!O149/'K) Plafonnement aide'!C149</f>
        <v>-1.1546737054170426</v>
      </c>
      <c r="G149" s="141">
        <f t="shared" si="9"/>
        <v>26.349843404136124</v>
      </c>
      <c r="H149" s="114">
        <f t="shared" si="10"/>
        <v>27.504517109553166</v>
      </c>
      <c r="I149" s="141">
        <f t="shared" si="11"/>
        <v>0</v>
      </c>
      <c r="J149" s="57">
        <f t="shared" si="12"/>
        <v>0</v>
      </c>
      <c r="K149" s="36"/>
    </row>
    <row r="150" spans="1:11" x14ac:dyDescent="0.25">
      <c r="A150" s="49">
        <f>'A) Base RI'!A152</f>
        <v>5643</v>
      </c>
      <c r="B150" s="285" t="str">
        <f>'A) Base RI'!B152</f>
        <v>Préverenges</v>
      </c>
      <c r="C150" s="98">
        <f>'B) D RI'!U152</f>
        <v>259364.760625</v>
      </c>
      <c r="D150" s="114">
        <f>'E) Fact soc'!G156/C150</f>
        <v>18.873884683163929</v>
      </c>
      <c r="E150" s="141">
        <f>'H) Péréquation directe'!I161/C150</f>
        <v>12.369903716385686</v>
      </c>
      <c r="F150" s="114">
        <f>+'I) Dépenses thématiques'!O150/'K) Plafonnement aide'!C150</f>
        <v>0</v>
      </c>
      <c r="G150" s="141">
        <f t="shared" si="9"/>
        <v>31.243788399549615</v>
      </c>
      <c r="H150" s="114">
        <f t="shared" si="10"/>
        <v>31.243788399549615</v>
      </c>
      <c r="I150" s="141">
        <f t="shared" si="11"/>
        <v>0</v>
      </c>
      <c r="J150" s="57">
        <f t="shared" si="12"/>
        <v>0</v>
      </c>
      <c r="K150" s="36"/>
    </row>
    <row r="151" spans="1:11" x14ac:dyDescent="0.25">
      <c r="A151" s="49">
        <f>'A) Base RI'!A153</f>
        <v>5644</v>
      </c>
      <c r="B151" s="285" t="str">
        <f>'A) Base RI'!B153</f>
        <v>Reverolle</v>
      </c>
      <c r="C151" s="98">
        <f>'B) D RI'!U153</f>
        <v>16859.730657894735</v>
      </c>
      <c r="D151" s="114">
        <f>'E) Fact soc'!G157/C151</f>
        <v>17.110548441526237</v>
      </c>
      <c r="E151" s="141">
        <f>'H) Péréquation directe'!I162/C151</f>
        <v>13.398685541272108</v>
      </c>
      <c r="F151" s="114">
        <f>+'I) Dépenses thématiques'!O151/'K) Plafonnement aide'!C151</f>
        <v>-2.9689573745322573</v>
      </c>
      <c r="G151" s="141">
        <f t="shared" si="9"/>
        <v>27.54027660826609</v>
      </c>
      <c r="H151" s="114">
        <f t="shared" si="10"/>
        <v>30.509233982798349</v>
      </c>
      <c r="I151" s="141">
        <f t="shared" si="11"/>
        <v>0</v>
      </c>
      <c r="J151" s="57">
        <f t="shared" si="12"/>
        <v>0</v>
      </c>
      <c r="K151" s="36"/>
    </row>
    <row r="152" spans="1:11" x14ac:dyDescent="0.25">
      <c r="A152" s="49">
        <f>'A) Base RI'!A154</f>
        <v>5645</v>
      </c>
      <c r="B152" s="285" t="str">
        <f>'A) Base RI'!B154</f>
        <v>Romanel-sur-Morges</v>
      </c>
      <c r="C152" s="98">
        <f>'B) D RI'!U154</f>
        <v>29743.552142857145</v>
      </c>
      <c r="D152" s="114">
        <f>'E) Fact soc'!G158/C152</f>
        <v>21.173757808902764</v>
      </c>
      <c r="E152" s="141">
        <f>'H) Péréquation directe'!I163/C152</f>
        <v>18.021537185563915</v>
      </c>
      <c r="F152" s="114">
        <f>+'I) Dépenses thématiques'!O152/'K) Plafonnement aide'!C152</f>
        <v>0</v>
      </c>
      <c r="G152" s="141">
        <f t="shared" si="9"/>
        <v>39.195294994466678</v>
      </c>
      <c r="H152" s="114">
        <f t="shared" si="10"/>
        <v>39.195294994466678</v>
      </c>
      <c r="I152" s="141">
        <f t="shared" si="11"/>
        <v>0</v>
      </c>
      <c r="J152" s="57">
        <f t="shared" si="12"/>
        <v>0</v>
      </c>
      <c r="K152" s="36"/>
    </row>
    <row r="153" spans="1:11" x14ac:dyDescent="0.25">
      <c r="A153" s="49">
        <f>'A) Base RI'!A155</f>
        <v>5646</v>
      </c>
      <c r="B153" s="285" t="str">
        <f>'A) Base RI'!B155</f>
        <v>Saint-Prex</v>
      </c>
      <c r="C153" s="98">
        <f>'B) D RI'!U155</f>
        <v>419083.43709090899</v>
      </c>
      <c r="D153" s="114">
        <f>'E) Fact soc'!G159/C153</f>
        <v>22.141354039594017</v>
      </c>
      <c r="E153" s="141">
        <f>'H) Péréquation directe'!I164/C153</f>
        <v>14.516337688158414</v>
      </c>
      <c r="F153" s="114">
        <f>+'I) Dépenses thématiques'!O153/'K) Plafonnement aide'!C153</f>
        <v>0</v>
      </c>
      <c r="G153" s="141">
        <f t="shared" si="9"/>
        <v>36.657691727752429</v>
      </c>
      <c r="H153" s="114">
        <f t="shared" si="10"/>
        <v>36.657691727752429</v>
      </c>
      <c r="I153" s="141">
        <f t="shared" si="11"/>
        <v>0</v>
      </c>
      <c r="J153" s="57">
        <f t="shared" si="12"/>
        <v>0</v>
      </c>
      <c r="K153" s="36"/>
    </row>
    <row r="154" spans="1:11" x14ac:dyDescent="0.25">
      <c r="A154" s="49">
        <f>'A) Base RI'!A156</f>
        <v>5648</v>
      </c>
      <c r="B154" s="285" t="str">
        <f>'A) Base RI'!B156</f>
        <v>Saint-Sulpice</v>
      </c>
      <c r="C154" s="98">
        <f>'B) D RI'!U156</f>
        <v>383471.67436363641</v>
      </c>
      <c r="D154" s="114">
        <f>'E) Fact soc'!G160/C154</f>
        <v>24.80580407328322</v>
      </c>
      <c r="E154" s="141">
        <f>'H) Péréquation directe'!I165/C154</f>
        <v>15.594452861570904</v>
      </c>
      <c r="F154" s="114">
        <f>+'I) Dépenses thématiques'!O154/'K) Plafonnement aide'!C154</f>
        <v>0</v>
      </c>
      <c r="G154" s="141">
        <f t="shared" si="9"/>
        <v>40.400256934854127</v>
      </c>
      <c r="H154" s="114">
        <f t="shared" si="10"/>
        <v>40.400256934854127</v>
      </c>
      <c r="I154" s="141">
        <f t="shared" si="11"/>
        <v>0</v>
      </c>
      <c r="J154" s="57">
        <f t="shared" si="12"/>
        <v>0</v>
      </c>
      <c r="K154" s="36"/>
    </row>
    <row r="155" spans="1:11" x14ac:dyDescent="0.25">
      <c r="A155" s="49">
        <f>'A) Base RI'!A157</f>
        <v>5649</v>
      </c>
      <c r="B155" s="285" t="str">
        <f>'A) Base RI'!B157</f>
        <v>Tolochenaz</v>
      </c>
      <c r="C155" s="98">
        <f>'B) D RI'!U157</f>
        <v>109794.23076923077</v>
      </c>
      <c r="D155" s="114">
        <f>'E) Fact soc'!G161/C155</f>
        <v>18.844226510403953</v>
      </c>
      <c r="E155" s="141">
        <f>'H) Péréquation directe'!I166/C155</f>
        <v>15.956609214867328</v>
      </c>
      <c r="F155" s="114">
        <f>+'I) Dépenses thématiques'!O155/'K) Plafonnement aide'!C155</f>
        <v>-4.3400065754370027</v>
      </c>
      <c r="G155" s="141">
        <f t="shared" si="9"/>
        <v>30.460829149834282</v>
      </c>
      <c r="H155" s="114">
        <f t="shared" si="10"/>
        <v>34.800835725271284</v>
      </c>
      <c r="I155" s="141">
        <f t="shared" si="11"/>
        <v>0</v>
      </c>
      <c r="J155" s="57">
        <f t="shared" si="12"/>
        <v>0</v>
      </c>
      <c r="K155" s="36"/>
    </row>
    <row r="156" spans="1:11" x14ac:dyDescent="0.25">
      <c r="A156" s="49">
        <f>'A) Base RI'!A158</f>
        <v>5650</v>
      </c>
      <c r="B156" s="285" t="str">
        <f>'A) Base RI'!B158</f>
        <v>Vaux-sur-Morges</v>
      </c>
      <c r="C156" s="98">
        <f>'B) D RI'!U158</f>
        <v>162834.69392857142</v>
      </c>
      <c r="D156" s="114">
        <f>'E) Fact soc'!G162/C156</f>
        <v>45.252511526626876</v>
      </c>
      <c r="E156" s="141">
        <f>'H) Péréquation directe'!I167/C156</f>
        <v>19.855474729937534</v>
      </c>
      <c r="F156" s="114">
        <f>+'I) Dépenses thématiques'!O156/'K) Plafonnement aide'!C156</f>
        <v>0</v>
      </c>
      <c r="G156" s="141">
        <f t="shared" si="9"/>
        <v>65.107986256564402</v>
      </c>
      <c r="H156" s="114">
        <f t="shared" si="10"/>
        <v>65.107986256564402</v>
      </c>
      <c r="I156" s="141">
        <f t="shared" si="11"/>
        <v>0</v>
      </c>
      <c r="J156" s="57">
        <f t="shared" si="12"/>
        <v>0</v>
      </c>
      <c r="K156" s="36"/>
    </row>
    <row r="157" spans="1:11" x14ac:dyDescent="0.25">
      <c r="A157" s="49">
        <f>'A) Base RI'!A159</f>
        <v>5651</v>
      </c>
      <c r="B157" s="285" t="str">
        <f>'A) Base RI'!B159</f>
        <v>Villars-Sainte-Croix</v>
      </c>
      <c r="C157" s="98">
        <f>'B) D RI'!U159</f>
        <v>58682.807419354831</v>
      </c>
      <c r="D157" s="114">
        <f>'E) Fact soc'!G163/C157</f>
        <v>20.188515597747895</v>
      </c>
      <c r="E157" s="141">
        <f>'H) Péréquation directe'!I168/C157</f>
        <v>17.923682248750723</v>
      </c>
      <c r="F157" s="114">
        <f>+'I) Dépenses thématiques'!O157/'K) Plafonnement aide'!C157</f>
        <v>0</v>
      </c>
      <c r="G157" s="141">
        <f t="shared" si="9"/>
        <v>38.112197846498617</v>
      </c>
      <c r="H157" s="114">
        <f t="shared" si="10"/>
        <v>38.112197846498617</v>
      </c>
      <c r="I157" s="141">
        <f t="shared" si="11"/>
        <v>0</v>
      </c>
      <c r="J157" s="57">
        <f t="shared" si="12"/>
        <v>0</v>
      </c>
      <c r="K157" s="36"/>
    </row>
    <row r="158" spans="1:11" x14ac:dyDescent="0.25">
      <c r="A158" s="49">
        <f>'A) Base RI'!A160</f>
        <v>5652</v>
      </c>
      <c r="B158" s="285" t="str">
        <f>'A) Base RI'!B160</f>
        <v>Villars-sous-Yens</v>
      </c>
      <c r="C158" s="98">
        <f>'B) D RI'!U160</f>
        <v>32935.200285087711</v>
      </c>
      <c r="D158" s="114">
        <f>'E) Fact soc'!G164/C158</f>
        <v>17.80062492342795</v>
      </c>
      <c r="E158" s="141">
        <f>'H) Péréquation directe'!I169/C158</f>
        <v>17.706594070204886</v>
      </c>
      <c r="F158" s="114">
        <f>+'I) Dépenses thématiques'!O158/'K) Plafonnement aide'!C158</f>
        <v>0</v>
      </c>
      <c r="G158" s="141">
        <f t="shared" si="9"/>
        <v>35.507218993632833</v>
      </c>
      <c r="H158" s="114">
        <f t="shared" si="10"/>
        <v>35.507218993632833</v>
      </c>
      <c r="I158" s="141">
        <f t="shared" si="11"/>
        <v>0</v>
      </c>
      <c r="J158" s="57">
        <f t="shared" si="12"/>
        <v>0</v>
      </c>
      <c r="K158" s="36"/>
    </row>
    <row r="159" spans="1:11" x14ac:dyDescent="0.25">
      <c r="A159" s="49">
        <f>'A) Base RI'!A161</f>
        <v>5653</v>
      </c>
      <c r="B159" s="285" t="str">
        <f>'A) Base RI'!B161</f>
        <v>Vufflens-le-Château</v>
      </c>
      <c r="C159" s="98">
        <f>'B) D RI'!U161</f>
        <v>71866.827999999994</v>
      </c>
      <c r="D159" s="114">
        <f>'E) Fact soc'!G165/C159</f>
        <v>35.073884736838679</v>
      </c>
      <c r="E159" s="141">
        <f>'H) Péréquation directe'!I170/C159</f>
        <v>18.46313862379758</v>
      </c>
      <c r="F159" s="114">
        <f>+'I) Dépenses thématiques'!O159/'K) Plafonnement aide'!C159</f>
        <v>0</v>
      </c>
      <c r="G159" s="141">
        <f t="shared" si="9"/>
        <v>53.537023360636255</v>
      </c>
      <c r="H159" s="114">
        <f t="shared" si="10"/>
        <v>53.537023360636255</v>
      </c>
      <c r="I159" s="141">
        <f t="shared" si="11"/>
        <v>0</v>
      </c>
      <c r="J159" s="57">
        <f t="shared" si="12"/>
        <v>0</v>
      </c>
      <c r="K159" s="36"/>
    </row>
    <row r="160" spans="1:11" x14ac:dyDescent="0.25">
      <c r="A160" s="49">
        <f>'A) Base RI'!A162</f>
        <v>5654</v>
      </c>
      <c r="B160" s="285" t="str">
        <f>'A) Base RI'!B162</f>
        <v>Vullierens</v>
      </c>
      <c r="C160" s="98">
        <f>'B) D RI'!U162</f>
        <v>18067.402499999997</v>
      </c>
      <c r="D160" s="114">
        <f>'E) Fact soc'!G166/C160</f>
        <v>16.176157429402124</v>
      </c>
      <c r="E160" s="141">
        <f>'H) Péréquation directe'!I171/C160</f>
        <v>8.7086976242952794</v>
      </c>
      <c r="F160" s="114">
        <f>+'I) Dépenses thématiques'!O160/'K) Plafonnement aide'!C160</f>
        <v>-1.1078197647808863</v>
      </c>
      <c r="G160" s="141">
        <f t="shared" si="9"/>
        <v>23.777035288916519</v>
      </c>
      <c r="H160" s="114">
        <f t="shared" si="10"/>
        <v>24.884855053697404</v>
      </c>
      <c r="I160" s="141">
        <f t="shared" si="11"/>
        <v>0</v>
      </c>
      <c r="J160" s="57">
        <f t="shared" si="12"/>
        <v>0</v>
      </c>
      <c r="K160" s="36"/>
    </row>
    <row r="161" spans="1:11" x14ac:dyDescent="0.25">
      <c r="A161" s="49">
        <f>'A) Base RI'!A163</f>
        <v>5655</v>
      </c>
      <c r="B161" s="285" t="str">
        <f>'A) Base RI'!B163</f>
        <v>Yens</v>
      </c>
      <c r="C161" s="98">
        <f>'B) D RI'!U163</f>
        <v>77231.578767123297</v>
      </c>
      <c r="D161" s="114">
        <f>'E) Fact soc'!G167/C161</f>
        <v>19.555227728212593</v>
      </c>
      <c r="E161" s="141">
        <f>'H) Péréquation directe'!I172/C161</f>
        <v>16.207486407024547</v>
      </c>
      <c r="F161" s="114">
        <f>+'I) Dépenses thématiques'!O161/'K) Plafonnement aide'!C161</f>
        <v>0</v>
      </c>
      <c r="G161" s="141">
        <f t="shared" si="9"/>
        <v>35.76271413523714</v>
      </c>
      <c r="H161" s="114">
        <f t="shared" si="10"/>
        <v>35.76271413523714</v>
      </c>
      <c r="I161" s="141">
        <f t="shared" si="11"/>
        <v>0</v>
      </c>
      <c r="J161" s="57">
        <f t="shared" si="12"/>
        <v>0</v>
      </c>
      <c r="K161" s="36"/>
    </row>
    <row r="162" spans="1:11" x14ac:dyDescent="0.25">
      <c r="A162" s="49">
        <f>'A) Base RI'!A164</f>
        <v>5661</v>
      </c>
      <c r="B162" s="285" t="str">
        <f>'A) Base RI'!B164</f>
        <v>Boulens</v>
      </c>
      <c r="C162" s="98">
        <f>'B) D RI'!U164</f>
        <v>10067.366438356165</v>
      </c>
      <c r="D162" s="114">
        <f>'E) Fact soc'!G168/C162</f>
        <v>15.305190488811492</v>
      </c>
      <c r="E162" s="141">
        <f>'H) Péréquation directe'!I173/C162</f>
        <v>0.94685284402222603</v>
      </c>
      <c r="F162" s="114">
        <f>+'I) Dépenses thématiques'!O162/'K) Plafonnement aide'!C162</f>
        <v>-7.5752182217265736</v>
      </c>
      <c r="G162" s="141">
        <f t="shared" si="9"/>
        <v>8.6768251111071457</v>
      </c>
      <c r="H162" s="114">
        <f t="shared" si="10"/>
        <v>16.252043332833718</v>
      </c>
      <c r="I162" s="141">
        <f t="shared" si="11"/>
        <v>0</v>
      </c>
      <c r="J162" s="57">
        <f t="shared" si="12"/>
        <v>0</v>
      </c>
      <c r="K162" s="36"/>
    </row>
    <row r="163" spans="1:11" x14ac:dyDescent="0.25">
      <c r="A163" s="49">
        <f>'A) Base RI'!A165</f>
        <v>5663</v>
      </c>
      <c r="B163" s="285" t="str">
        <f>'A) Base RI'!B165</f>
        <v>Bussy-sur-Moudon</v>
      </c>
      <c r="C163" s="98">
        <f>'B) D RI'!U165</f>
        <v>6357.5273750000006</v>
      </c>
      <c r="D163" s="114">
        <f>'E) Fact soc'!G169/C163</f>
        <v>18.261281879562567</v>
      </c>
      <c r="E163" s="141">
        <f>'H) Péréquation directe'!I174/C163</f>
        <v>9.1563268647832805E-2</v>
      </c>
      <c r="F163" s="114">
        <f>+'I) Dépenses thématiques'!O163/'K) Plafonnement aide'!C163</f>
        <v>-4.6876661479751132</v>
      </c>
      <c r="G163" s="141">
        <f t="shared" si="9"/>
        <v>13.665179000235286</v>
      </c>
      <c r="H163" s="114">
        <f t="shared" si="10"/>
        <v>18.352845148210399</v>
      </c>
      <c r="I163" s="141">
        <f t="shared" si="11"/>
        <v>0</v>
      </c>
      <c r="J163" s="57">
        <f t="shared" si="12"/>
        <v>0</v>
      </c>
      <c r="K163" s="36"/>
    </row>
    <row r="164" spans="1:11" x14ac:dyDescent="0.25">
      <c r="A164" s="49">
        <f>'A) Base RI'!A166</f>
        <v>5665</v>
      </c>
      <c r="B164" s="285" t="str">
        <f>'A) Base RI'!B166</f>
        <v>Chavannes-sur-Moudon</v>
      </c>
      <c r="C164" s="98">
        <f>'B) D RI'!U166</f>
        <v>4734.8986301369869</v>
      </c>
      <c r="D164" s="114">
        <f>'E) Fact soc'!G170/C164</f>
        <v>17.806480983347107</v>
      </c>
      <c r="E164" s="141">
        <f>'H) Péréquation directe'!I175/C164</f>
        <v>-8.564967808120393</v>
      </c>
      <c r="F164" s="114">
        <f>+'I) Dépenses thématiques'!O164/'K) Plafonnement aide'!C164</f>
        <v>-4.3890168711252278</v>
      </c>
      <c r="G164" s="141">
        <f t="shared" si="9"/>
        <v>4.8524963041014866</v>
      </c>
      <c r="H164" s="114">
        <f t="shared" si="10"/>
        <v>9.2415131752267143</v>
      </c>
      <c r="I164" s="141">
        <f t="shared" si="11"/>
        <v>0</v>
      </c>
      <c r="J164" s="57">
        <f t="shared" si="12"/>
        <v>0</v>
      </c>
      <c r="K164" s="36"/>
    </row>
    <row r="165" spans="1:11" x14ac:dyDescent="0.25">
      <c r="A165" s="49">
        <f>'A) Base RI'!A167</f>
        <v>5669</v>
      </c>
      <c r="B165" s="285" t="str">
        <f>'A) Base RI'!B167</f>
        <v>Curtilles</v>
      </c>
      <c r="C165" s="98">
        <f>'B) D RI'!U167</f>
        <v>10002.199066666666</v>
      </c>
      <c r="D165" s="114">
        <f>'E) Fact soc'!G171/C165</f>
        <v>15.452658960421724</v>
      </c>
      <c r="E165" s="141">
        <f>'H) Péréquation directe'!I176/C165</f>
        <v>5.8559240786705198</v>
      </c>
      <c r="F165" s="114">
        <f>+'I) Dépenses thématiques'!O165/'K) Plafonnement aide'!C165</f>
        <v>0</v>
      </c>
      <c r="G165" s="141">
        <f t="shared" si="9"/>
        <v>21.308583039092245</v>
      </c>
      <c r="H165" s="114">
        <f t="shared" si="10"/>
        <v>21.308583039092245</v>
      </c>
      <c r="I165" s="141">
        <f t="shared" si="11"/>
        <v>0</v>
      </c>
      <c r="J165" s="57">
        <f t="shared" si="12"/>
        <v>0</v>
      </c>
      <c r="K165" s="36"/>
    </row>
    <row r="166" spans="1:11" x14ac:dyDescent="0.25">
      <c r="A166" s="49">
        <f>'A) Base RI'!A168</f>
        <v>5671</v>
      </c>
      <c r="B166" s="285" t="str">
        <f>'A) Base RI'!B168</f>
        <v>Dompierre</v>
      </c>
      <c r="C166" s="98">
        <f>'B) D RI'!U168</f>
        <v>6571.3844999999983</v>
      </c>
      <c r="D166" s="114">
        <f>'E) Fact soc'!G172/C166</f>
        <v>18.344438852109278</v>
      </c>
      <c r="E166" s="141">
        <f>'H) Péréquation directe'!I177/C166</f>
        <v>-1.2473864048158567</v>
      </c>
      <c r="F166" s="114">
        <f>+'I) Dépenses thématiques'!O166/'K) Plafonnement aide'!C166</f>
        <v>-6.047029305221157</v>
      </c>
      <c r="G166" s="141">
        <f t="shared" si="9"/>
        <v>11.050023142072265</v>
      </c>
      <c r="H166" s="114">
        <f t="shared" si="10"/>
        <v>17.097052447293422</v>
      </c>
      <c r="I166" s="141">
        <f t="shared" si="11"/>
        <v>0</v>
      </c>
      <c r="J166" s="57">
        <f t="shared" si="12"/>
        <v>0</v>
      </c>
      <c r="K166" s="36"/>
    </row>
    <row r="167" spans="1:11" x14ac:dyDescent="0.25">
      <c r="A167" s="49">
        <f>'A) Base RI'!A169</f>
        <v>5673</v>
      </c>
      <c r="B167" s="285" t="str">
        <f>'A) Base RI'!B169</f>
        <v>Hermenches</v>
      </c>
      <c r="C167" s="98">
        <f>'B) D RI'!U169</f>
        <v>9909.6989333333331</v>
      </c>
      <c r="D167" s="114">
        <f>'E) Fact soc'!G173/C167</f>
        <v>17.04359707119551</v>
      </c>
      <c r="E167" s="141">
        <f>'H) Péréquation directe'!I178/C167</f>
        <v>-1.2436025322160784</v>
      </c>
      <c r="F167" s="114">
        <f>+'I) Dépenses thématiques'!O167/'K) Plafonnement aide'!C167</f>
        <v>-9.2953414083510122</v>
      </c>
      <c r="G167" s="141">
        <f t="shared" si="9"/>
        <v>6.5046531306284194</v>
      </c>
      <c r="H167" s="114">
        <f t="shared" si="10"/>
        <v>15.799994538979432</v>
      </c>
      <c r="I167" s="141">
        <f t="shared" si="11"/>
        <v>0</v>
      </c>
      <c r="J167" s="57">
        <f t="shared" si="12"/>
        <v>0</v>
      </c>
      <c r="K167" s="36"/>
    </row>
    <row r="168" spans="1:11" x14ac:dyDescent="0.25">
      <c r="A168" s="49">
        <f>'A) Base RI'!A170</f>
        <v>5674</v>
      </c>
      <c r="B168" s="285" t="str">
        <f>'A) Base RI'!B170</f>
        <v>Lovatens</v>
      </c>
      <c r="C168" s="98">
        <f>'B) D RI'!U170</f>
        <v>3215.0507999999995</v>
      </c>
      <c r="D168" s="114">
        <f>'E) Fact soc'!G174/C168</f>
        <v>14.720618851778804</v>
      </c>
      <c r="E168" s="141">
        <f>'H) Péréquation directe'!I179/C168</f>
        <v>-7.4328101668263367</v>
      </c>
      <c r="F168" s="114">
        <f>+'I) Dépenses thématiques'!O168/'K) Plafonnement aide'!C168</f>
        <v>-3.8655411920443732</v>
      </c>
      <c r="G168" s="141">
        <f t="shared" si="9"/>
        <v>3.4222674929080941</v>
      </c>
      <c r="H168" s="114">
        <f t="shared" si="10"/>
        <v>7.2878086849524673</v>
      </c>
      <c r="I168" s="141">
        <f t="shared" si="11"/>
        <v>0</v>
      </c>
      <c r="J168" s="57">
        <f t="shared" si="12"/>
        <v>0</v>
      </c>
      <c r="K168" s="36"/>
    </row>
    <row r="169" spans="1:11" x14ac:dyDescent="0.25">
      <c r="A169" s="49">
        <f>'A) Base RI'!A171</f>
        <v>5675</v>
      </c>
      <c r="B169" s="285" t="str">
        <f>'A) Base RI'!B171</f>
        <v>Lucens</v>
      </c>
      <c r="C169" s="98">
        <f>'B) D RI'!U171</f>
        <v>97758.400909090895</v>
      </c>
      <c r="D169" s="114">
        <f>'E) Fact soc'!G175/C169</f>
        <v>19.390818615495359</v>
      </c>
      <c r="E169" s="141">
        <f>'H) Péréquation directe'!I180/C169</f>
        <v>-14.242860017351838</v>
      </c>
      <c r="F169" s="114">
        <f>+'I) Dépenses thématiques'!O169/'K) Plafonnement aide'!C169</f>
        <v>-4.8802864535600179</v>
      </c>
      <c r="G169" s="141">
        <f t="shared" si="9"/>
        <v>0.26767214458350352</v>
      </c>
      <c r="H169" s="114">
        <f t="shared" si="10"/>
        <v>5.1479585981435214</v>
      </c>
      <c r="I169" s="141">
        <f t="shared" si="11"/>
        <v>0</v>
      </c>
      <c r="J169" s="57">
        <f t="shared" si="12"/>
        <v>0</v>
      </c>
      <c r="K169" s="36"/>
    </row>
    <row r="170" spans="1:11" x14ac:dyDescent="0.25">
      <c r="A170" s="49">
        <f>'A) Base RI'!A172</f>
        <v>5678</v>
      </c>
      <c r="B170" s="285" t="str">
        <f>'A) Base RI'!B172</f>
        <v>Moudon</v>
      </c>
      <c r="C170" s="98">
        <f>'B) D RI'!U172</f>
        <v>126080.27293333331</v>
      </c>
      <c r="D170" s="114">
        <f>'E) Fact soc'!G176/C170</f>
        <v>20.672258326206379</v>
      </c>
      <c r="E170" s="141">
        <f>'H) Péréquation directe'!I181/C170</f>
        <v>-28.047372601572675</v>
      </c>
      <c r="F170" s="114">
        <f>+'I) Dépenses thématiques'!O170/'K) Plafonnement aide'!C170</f>
        <v>-8.7945870840597156</v>
      </c>
      <c r="G170" s="141">
        <f t="shared" si="9"/>
        <v>-16.169701359426014</v>
      </c>
      <c r="H170" s="114">
        <f t="shared" si="10"/>
        <v>-7.3751142753662986</v>
      </c>
      <c r="I170" s="141">
        <f t="shared" si="11"/>
        <v>0</v>
      </c>
      <c r="J170" s="57">
        <f t="shared" si="12"/>
        <v>0</v>
      </c>
      <c r="K170" s="36"/>
    </row>
    <row r="171" spans="1:11" x14ac:dyDescent="0.25">
      <c r="A171" s="49">
        <f>'A) Base RI'!A173</f>
        <v>5680</v>
      </c>
      <c r="B171" s="285" t="str">
        <f>'A) Base RI'!B173</f>
        <v>Ogens</v>
      </c>
      <c r="C171" s="98">
        <f>'B) D RI'!U173</f>
        <v>6313.5037606837595</v>
      </c>
      <c r="D171" s="114">
        <f>'E) Fact soc'!G177/C171</f>
        <v>20.500152671738444</v>
      </c>
      <c r="E171" s="141">
        <f>'H) Péréquation directe'!I182/C171</f>
        <v>-15.016056231601043</v>
      </c>
      <c r="F171" s="114">
        <f>+'I) Dépenses thématiques'!O171/'K) Plafonnement aide'!C171</f>
        <v>-4.4843675667504321</v>
      </c>
      <c r="G171" s="141">
        <f t="shared" si="9"/>
        <v>0.99972887338696914</v>
      </c>
      <c r="H171" s="114">
        <f t="shared" si="10"/>
        <v>5.4840964401374013</v>
      </c>
      <c r="I171" s="141">
        <f t="shared" si="11"/>
        <v>0</v>
      </c>
      <c r="J171" s="57">
        <f t="shared" si="12"/>
        <v>0</v>
      </c>
      <c r="K171" s="36"/>
    </row>
    <row r="172" spans="1:11" x14ac:dyDescent="0.25">
      <c r="A172" s="49">
        <f>'A) Base RI'!A174</f>
        <v>5683</v>
      </c>
      <c r="B172" s="285" t="str">
        <f>'A) Base RI'!B174</f>
        <v>Prévonloup</v>
      </c>
      <c r="C172" s="98">
        <f>'B) D RI'!U174</f>
        <v>4589.3872972972958</v>
      </c>
      <c r="D172" s="114">
        <f>'E) Fact soc'!G178/C172</f>
        <v>15.590343731491007</v>
      </c>
      <c r="E172" s="141">
        <f>'H) Péréquation directe'!I183/C172</f>
        <v>-6.8127688268756579</v>
      </c>
      <c r="F172" s="114">
        <f>+'I) Dépenses thématiques'!O172/'K) Plafonnement aide'!C172</f>
        <v>-4.766226347546346</v>
      </c>
      <c r="G172" s="141">
        <f t="shared" si="9"/>
        <v>4.0113485570690033</v>
      </c>
      <c r="H172" s="114">
        <f t="shared" si="10"/>
        <v>8.7775749046153493</v>
      </c>
      <c r="I172" s="141">
        <f t="shared" si="11"/>
        <v>0</v>
      </c>
      <c r="J172" s="57">
        <f t="shared" si="12"/>
        <v>0</v>
      </c>
      <c r="K172" s="36"/>
    </row>
    <row r="173" spans="1:11" x14ac:dyDescent="0.25">
      <c r="A173" s="49">
        <f>'A) Base RI'!A175</f>
        <v>5684</v>
      </c>
      <c r="B173" s="285" t="str">
        <f>'A) Base RI'!B175</f>
        <v>Rossenges</v>
      </c>
      <c r="C173" s="98">
        <f>'B) D RI'!U175</f>
        <v>3098.721</v>
      </c>
      <c r="D173" s="114">
        <f>'E) Fact soc'!G179/C173</f>
        <v>14.691171416609196</v>
      </c>
      <c r="E173" s="141">
        <f>'H) Péréquation directe'!I184/C173</f>
        <v>10.421752176934195</v>
      </c>
      <c r="F173" s="114">
        <f>+'I) Dépenses thématiques'!O173/'K) Plafonnement aide'!C173</f>
        <v>-3.7880851497750636</v>
      </c>
      <c r="G173" s="141">
        <f t="shared" si="9"/>
        <v>21.324838443768328</v>
      </c>
      <c r="H173" s="114">
        <f t="shared" si="10"/>
        <v>25.112923593543393</v>
      </c>
      <c r="I173" s="141">
        <f t="shared" si="11"/>
        <v>0</v>
      </c>
      <c r="J173" s="57">
        <f t="shared" si="12"/>
        <v>0</v>
      </c>
      <c r="K173" s="36"/>
    </row>
    <row r="174" spans="1:11" x14ac:dyDescent="0.25">
      <c r="A174" s="49">
        <f>'A) Base RI'!A176</f>
        <v>5688</v>
      </c>
      <c r="B174" s="285" t="str">
        <f>'A) Base RI'!B176</f>
        <v>Syens</v>
      </c>
      <c r="C174" s="98">
        <f>'B) D RI'!U176</f>
        <v>2742.3284391534398</v>
      </c>
      <c r="D174" s="114">
        <f>'E) Fact soc'!G180/C174</f>
        <v>14.735511473862708</v>
      </c>
      <c r="E174" s="141">
        <f>'H) Péréquation directe'!I185/C174</f>
        <v>-24.739316337742501</v>
      </c>
      <c r="F174" s="114">
        <f>+'I) Dépenses thématiques'!O174/'K) Plafonnement aide'!C174</f>
        <v>-15.284742408998913</v>
      </c>
      <c r="G174" s="141">
        <f t="shared" si="9"/>
        <v>-25.288547272878706</v>
      </c>
      <c r="H174" s="114">
        <f t="shared" si="10"/>
        <v>-10.003804863879793</v>
      </c>
      <c r="I174" s="141">
        <f t="shared" si="11"/>
        <v>-2.0038048638797932</v>
      </c>
      <c r="J174" s="57">
        <f t="shared" si="12"/>
        <v>5495.0910647315441</v>
      </c>
      <c r="K174" s="36"/>
    </row>
    <row r="175" spans="1:11" x14ac:dyDescent="0.25">
      <c r="A175" s="49">
        <f>'A) Base RI'!A177</f>
        <v>5690</v>
      </c>
      <c r="B175" s="285" t="str">
        <f>'A) Base RI'!B177</f>
        <v>Villars-le-Comte</v>
      </c>
      <c r="C175" s="98">
        <f>'B) D RI'!U177</f>
        <v>3018.1645000000003</v>
      </c>
      <c r="D175" s="114">
        <f>'E) Fact soc'!G181/C175</f>
        <v>40.821622556697811</v>
      </c>
      <c r="E175" s="141">
        <f>'H) Péréquation directe'!I186/C175</f>
        <v>-2.627004111908319</v>
      </c>
      <c r="F175" s="114">
        <f>+'I) Dépenses thématiques'!O175/'K) Plafonnement aide'!C175</f>
        <v>0</v>
      </c>
      <c r="G175" s="141">
        <f t="shared" si="9"/>
        <v>38.194618444789491</v>
      </c>
      <c r="H175" s="114">
        <f t="shared" si="10"/>
        <v>38.194618444789491</v>
      </c>
      <c r="I175" s="141">
        <f t="shared" si="11"/>
        <v>0</v>
      </c>
      <c r="J175" s="57">
        <f t="shared" si="12"/>
        <v>0</v>
      </c>
      <c r="K175" s="36"/>
    </row>
    <row r="176" spans="1:11" x14ac:dyDescent="0.25">
      <c r="A176" s="49">
        <f>'A) Base RI'!A178</f>
        <v>5692</v>
      </c>
      <c r="B176" s="285" t="str">
        <f>'A) Base RI'!B178</f>
        <v>Vucherens</v>
      </c>
      <c r="C176" s="98">
        <f>'B) D RI'!U178</f>
        <v>16002.190506329114</v>
      </c>
      <c r="D176" s="114">
        <f>'E) Fact soc'!G182/C176</f>
        <v>17.852739514426183</v>
      </c>
      <c r="E176" s="141">
        <f>'H) Péréquation directe'!I187/C176</f>
        <v>-2.0428362128801729</v>
      </c>
      <c r="F176" s="114">
        <f>+'I) Dépenses thématiques'!O176/'K) Plafonnement aide'!C176</f>
        <v>-4.2251831572713066</v>
      </c>
      <c r="G176" s="141">
        <f t="shared" si="9"/>
        <v>11.584720144274703</v>
      </c>
      <c r="H176" s="114">
        <f t="shared" si="10"/>
        <v>15.80990330154601</v>
      </c>
      <c r="I176" s="141">
        <f t="shared" si="11"/>
        <v>0</v>
      </c>
      <c r="J176" s="57">
        <f t="shared" si="12"/>
        <v>0</v>
      </c>
      <c r="K176" s="36"/>
    </row>
    <row r="177" spans="1:11" x14ac:dyDescent="0.25">
      <c r="A177" s="49">
        <f>'A) Base RI'!A179</f>
        <v>5693</v>
      </c>
      <c r="B177" s="285" t="str">
        <f>'A) Base RI'!B179</f>
        <v>Montanaire</v>
      </c>
      <c r="C177" s="98">
        <f>'B) D RI'!U179</f>
        <v>70807.212499999965</v>
      </c>
      <c r="D177" s="114">
        <f>'E) Fact soc'!G183/C177</f>
        <v>17.071970547771151</v>
      </c>
      <c r="E177" s="141">
        <f>'H) Péréquation directe'!I188/C177</f>
        <v>-6.8874033836274346</v>
      </c>
      <c r="F177" s="114">
        <f>+'I) Dépenses thématiques'!O177/'K) Plafonnement aide'!C177</f>
        <v>-8.1118080571444633</v>
      </c>
      <c r="G177" s="141">
        <f t="shared" si="9"/>
        <v>2.0727591069992535</v>
      </c>
      <c r="H177" s="114">
        <f t="shared" si="10"/>
        <v>10.184567164143717</v>
      </c>
      <c r="I177" s="141">
        <f t="shared" si="11"/>
        <v>0</v>
      </c>
      <c r="J177" s="57">
        <f t="shared" si="12"/>
        <v>0</v>
      </c>
      <c r="K177" s="36"/>
    </row>
    <row r="178" spans="1:11" x14ac:dyDescent="0.25">
      <c r="A178" s="49">
        <f>'A) Base RI'!A180</f>
        <v>5701</v>
      </c>
      <c r="B178" s="285" t="str">
        <f>'A) Base RI'!B180</f>
        <v>Arnex-sur-Nyon</v>
      </c>
      <c r="C178" s="98">
        <f>'B) D RI'!U180</f>
        <v>12068.134285714286</v>
      </c>
      <c r="D178" s="114">
        <f>'E) Fact soc'!G184/C178</f>
        <v>17.916931955177507</v>
      </c>
      <c r="E178" s="141">
        <f>'H) Péréquation directe'!I189/C178</f>
        <v>17.622810492057354</v>
      </c>
      <c r="F178" s="114">
        <f>+'I) Dépenses thématiques'!O178/'K) Plafonnement aide'!C178</f>
        <v>-14.282446394677446</v>
      </c>
      <c r="G178" s="141">
        <f t="shared" si="9"/>
        <v>21.257296052557411</v>
      </c>
      <c r="H178" s="114">
        <f t="shared" si="10"/>
        <v>35.539742447234858</v>
      </c>
      <c r="I178" s="141">
        <f t="shared" si="11"/>
        <v>0</v>
      </c>
      <c r="J178" s="57">
        <f t="shared" si="12"/>
        <v>0</v>
      </c>
      <c r="K178" s="36"/>
    </row>
    <row r="179" spans="1:11" x14ac:dyDescent="0.25">
      <c r="A179" s="49">
        <f>'A) Base RI'!A181</f>
        <v>5702</v>
      </c>
      <c r="B179" s="285" t="str">
        <f>'A) Base RI'!B181</f>
        <v>Arzier-Le Muids</v>
      </c>
      <c r="C179" s="98">
        <f>'B) D RI'!U181</f>
        <v>173952.76901041667</v>
      </c>
      <c r="D179" s="114">
        <f>'E) Fact soc'!G185/C179</f>
        <v>22.214826931626945</v>
      </c>
      <c r="E179" s="141">
        <f>'H) Péréquation directe'!I190/C179</f>
        <v>15.642577865816436</v>
      </c>
      <c r="F179" s="114">
        <f>+'I) Dépenses thématiques'!O179/'K) Plafonnement aide'!C179</f>
        <v>-1.5847482714876846</v>
      </c>
      <c r="G179" s="141">
        <f t="shared" si="9"/>
        <v>36.272656525955696</v>
      </c>
      <c r="H179" s="114">
        <f t="shared" si="10"/>
        <v>37.85740479744338</v>
      </c>
      <c r="I179" s="141">
        <f t="shared" si="11"/>
        <v>0</v>
      </c>
      <c r="J179" s="57">
        <f t="shared" si="12"/>
        <v>0</v>
      </c>
      <c r="K179" s="36"/>
    </row>
    <row r="180" spans="1:11" x14ac:dyDescent="0.25">
      <c r="A180" s="49">
        <f>'A) Base RI'!A182</f>
        <v>5703</v>
      </c>
      <c r="B180" s="285" t="str">
        <f>'A) Base RI'!B182</f>
        <v>Bassins</v>
      </c>
      <c r="C180" s="98">
        <f>'B) D RI'!U182</f>
        <v>58992.28158301158</v>
      </c>
      <c r="D180" s="114">
        <f>'E) Fact soc'!G186/C180</f>
        <v>17.662018454511689</v>
      </c>
      <c r="E180" s="141">
        <f>'H) Péréquation directe'!I191/C180</f>
        <v>13.042140484433268</v>
      </c>
      <c r="F180" s="114">
        <f>+'I) Dépenses thématiques'!O180/'K) Plafonnement aide'!C180</f>
        <v>-5.9506518605045065</v>
      </c>
      <c r="G180" s="141">
        <f t="shared" si="9"/>
        <v>24.75350707844045</v>
      </c>
      <c r="H180" s="114">
        <f t="shared" si="10"/>
        <v>30.704158938944957</v>
      </c>
      <c r="I180" s="141">
        <f t="shared" si="11"/>
        <v>0</v>
      </c>
      <c r="J180" s="57">
        <f t="shared" si="12"/>
        <v>0</v>
      </c>
      <c r="K180" s="36"/>
    </row>
    <row r="181" spans="1:11" x14ac:dyDescent="0.25">
      <c r="A181" s="49">
        <f>'A) Base RI'!A183</f>
        <v>5704</v>
      </c>
      <c r="B181" s="285" t="str">
        <f>'A) Base RI'!B183</f>
        <v>Begnins</v>
      </c>
      <c r="C181" s="98">
        <f>'B) D RI'!U183</f>
        <v>129564.85270833333</v>
      </c>
      <c r="D181" s="114">
        <f>'E) Fact soc'!G187/C181</f>
        <v>21.940948760492322</v>
      </c>
      <c r="E181" s="141">
        <f>'H) Péréquation directe'!I192/C181</f>
        <v>16.509462700066759</v>
      </c>
      <c r="F181" s="114">
        <f>+'I) Dépenses thématiques'!O181/'K) Plafonnement aide'!C181</f>
        <v>0</v>
      </c>
      <c r="G181" s="141">
        <f t="shared" si="9"/>
        <v>38.450411460559081</v>
      </c>
      <c r="H181" s="114">
        <f t="shared" si="10"/>
        <v>38.450411460559081</v>
      </c>
      <c r="I181" s="141">
        <f t="shared" si="11"/>
        <v>0</v>
      </c>
      <c r="J181" s="57">
        <f t="shared" si="12"/>
        <v>0</v>
      </c>
      <c r="K181" s="36"/>
    </row>
    <row r="182" spans="1:11" x14ac:dyDescent="0.25">
      <c r="A182" s="49">
        <f>'A) Base RI'!A184</f>
        <v>5705</v>
      </c>
      <c r="B182" s="285" t="str">
        <f>'A) Base RI'!B184</f>
        <v>Bogis-Bossey</v>
      </c>
      <c r="C182" s="98">
        <f>'B) D RI'!U184</f>
        <v>47436.61605263158</v>
      </c>
      <c r="D182" s="114">
        <f>'E) Fact soc'!G188/C182</f>
        <v>20.978867642882296</v>
      </c>
      <c r="E182" s="141">
        <f>'H) Péréquation directe'!I193/C182</f>
        <v>17.821801971263728</v>
      </c>
      <c r="F182" s="114">
        <f>+'I) Dépenses thématiques'!O182/'K) Plafonnement aide'!C182</f>
        <v>0</v>
      </c>
      <c r="G182" s="141">
        <f t="shared" si="9"/>
        <v>38.800669614146024</v>
      </c>
      <c r="H182" s="114">
        <f t="shared" si="10"/>
        <v>38.800669614146024</v>
      </c>
      <c r="I182" s="141">
        <f t="shared" si="11"/>
        <v>0</v>
      </c>
      <c r="J182" s="57">
        <f t="shared" si="12"/>
        <v>0</v>
      </c>
      <c r="K182" s="36"/>
    </row>
    <row r="183" spans="1:11" x14ac:dyDescent="0.25">
      <c r="A183" s="49">
        <f>'A) Base RI'!A185</f>
        <v>5706</v>
      </c>
      <c r="B183" s="285" t="str">
        <f>'A) Base RI'!B185</f>
        <v>Borex</v>
      </c>
      <c r="C183" s="98">
        <f>'B) D RI'!U185</f>
        <v>76683.378793103446</v>
      </c>
      <c r="D183" s="114">
        <f>'E) Fact soc'!G189/C183</f>
        <v>20.751799731326415</v>
      </c>
      <c r="E183" s="141">
        <f>'H) Péréquation directe'!I194/C183</f>
        <v>17.762903923008231</v>
      </c>
      <c r="F183" s="114">
        <f>+'I) Dépenses thématiques'!O183/'K) Plafonnement aide'!C183</f>
        <v>0</v>
      </c>
      <c r="G183" s="141">
        <f t="shared" si="9"/>
        <v>38.514703654334646</v>
      </c>
      <c r="H183" s="114">
        <f t="shared" si="10"/>
        <v>38.514703654334646</v>
      </c>
      <c r="I183" s="141">
        <f t="shared" si="11"/>
        <v>0</v>
      </c>
      <c r="J183" s="57">
        <f t="shared" si="12"/>
        <v>0</v>
      </c>
      <c r="K183" s="36"/>
    </row>
    <row r="184" spans="1:11" x14ac:dyDescent="0.25">
      <c r="A184" s="49">
        <f>'A) Base RI'!A186</f>
        <v>5707</v>
      </c>
      <c r="B184" s="285" t="str">
        <f>'A) Base RI'!B186</f>
        <v>Chavannes-de-Bogis</v>
      </c>
      <c r="C184" s="98">
        <f>'B) D RI'!U186</f>
        <v>81307.638983050841</v>
      </c>
      <c r="D184" s="114">
        <f>'E) Fact soc'!G190/C184</f>
        <v>22.248601577613798</v>
      </c>
      <c r="E184" s="141">
        <f>'H) Péréquation directe'!I195/C184</f>
        <v>16.917100591250939</v>
      </c>
      <c r="F184" s="114">
        <f>+'I) Dépenses thématiques'!O184/'K) Plafonnement aide'!C184</f>
        <v>0</v>
      </c>
      <c r="G184" s="141">
        <f t="shared" si="9"/>
        <v>39.16570216886474</v>
      </c>
      <c r="H184" s="114">
        <f t="shared" si="10"/>
        <v>39.16570216886474</v>
      </c>
      <c r="I184" s="141">
        <f t="shared" si="11"/>
        <v>0</v>
      </c>
      <c r="J184" s="57">
        <f t="shared" si="12"/>
        <v>0</v>
      </c>
      <c r="K184" s="36"/>
    </row>
    <row r="185" spans="1:11" x14ac:dyDescent="0.25">
      <c r="A185" s="49">
        <f>'A) Base RI'!A187</f>
        <v>5708</v>
      </c>
      <c r="B185" s="285" t="str">
        <f>'A) Base RI'!B187</f>
        <v>Chavannes-des-Bois</v>
      </c>
      <c r="C185" s="98">
        <f>'B) D RI'!U187</f>
        <v>64704.48911764707</v>
      </c>
      <c r="D185" s="114">
        <f>'E) Fact soc'!G191/C185</f>
        <v>23.572133055298533</v>
      </c>
      <c r="E185" s="141">
        <f>'H) Péréquation directe'!I196/C185</f>
        <v>18.142776616620385</v>
      </c>
      <c r="F185" s="114">
        <f>+'I) Dépenses thématiques'!O185/'K) Plafonnement aide'!C185</f>
        <v>0</v>
      </c>
      <c r="G185" s="141">
        <f t="shared" si="9"/>
        <v>41.714909671918917</v>
      </c>
      <c r="H185" s="114">
        <f t="shared" si="10"/>
        <v>41.714909671918917</v>
      </c>
      <c r="I185" s="141">
        <f t="shared" si="11"/>
        <v>0</v>
      </c>
      <c r="J185" s="57">
        <f t="shared" si="12"/>
        <v>0</v>
      </c>
      <c r="K185" s="36"/>
    </row>
    <row r="186" spans="1:11" x14ac:dyDescent="0.25">
      <c r="A186" s="49">
        <f>'A) Base RI'!A188</f>
        <v>5709</v>
      </c>
      <c r="B186" s="285" t="str">
        <f>'A) Base RI'!B188</f>
        <v>Chéserex</v>
      </c>
      <c r="C186" s="98">
        <f>'B) D RI'!U188</f>
        <v>99426.699824561394</v>
      </c>
      <c r="D186" s="114">
        <f>'E) Fact soc'!G192/C186</f>
        <v>24.942990826099891</v>
      </c>
      <c r="E186" s="141">
        <f>'H) Péréquation directe'!I197/C186</f>
        <v>17.901141920880974</v>
      </c>
      <c r="F186" s="114">
        <f>+'I) Dépenses thématiques'!O186/'K) Plafonnement aide'!C186</f>
        <v>0</v>
      </c>
      <c r="G186" s="141">
        <f t="shared" si="9"/>
        <v>42.844132746980861</v>
      </c>
      <c r="H186" s="114">
        <f t="shared" si="10"/>
        <v>42.844132746980861</v>
      </c>
      <c r="I186" s="141">
        <f t="shared" si="11"/>
        <v>0</v>
      </c>
      <c r="J186" s="57">
        <f t="shared" si="12"/>
        <v>0</v>
      </c>
      <c r="K186" s="36"/>
    </row>
    <row r="187" spans="1:11" x14ac:dyDescent="0.25">
      <c r="A187" s="49">
        <f>'A) Base RI'!A189</f>
        <v>5710</v>
      </c>
      <c r="B187" s="285" t="str">
        <f>'A) Base RI'!B189</f>
        <v>Coinsins</v>
      </c>
      <c r="C187" s="98">
        <f>'B) D RI'!U189</f>
        <v>112110.92803921571</v>
      </c>
      <c r="D187" s="114">
        <f>'E) Fact soc'!G193/C187</f>
        <v>35.692649996038952</v>
      </c>
      <c r="E187" s="141">
        <f>'H) Péréquation directe'!I198/C187</f>
        <v>19.453126548085532</v>
      </c>
      <c r="F187" s="114">
        <f>+'I) Dépenses thématiques'!O187/'K) Plafonnement aide'!C187</f>
        <v>0</v>
      </c>
      <c r="G187" s="141">
        <f t="shared" si="9"/>
        <v>55.145776544124487</v>
      </c>
      <c r="H187" s="114">
        <f t="shared" si="10"/>
        <v>55.145776544124487</v>
      </c>
      <c r="I187" s="141">
        <f t="shared" si="11"/>
        <v>0</v>
      </c>
      <c r="J187" s="57">
        <f t="shared" si="12"/>
        <v>0</v>
      </c>
      <c r="K187" s="36"/>
    </row>
    <row r="188" spans="1:11" x14ac:dyDescent="0.25">
      <c r="A188" s="49">
        <f>'A) Base RI'!A190</f>
        <v>5711</v>
      </c>
      <c r="B188" s="285" t="str">
        <f>'A) Base RI'!B190</f>
        <v>Commugny</v>
      </c>
      <c r="C188" s="98">
        <f>'B) D RI'!U190</f>
        <v>257487.27623481784</v>
      </c>
      <c r="D188" s="114">
        <f>'E) Fact soc'!G194/C188</f>
        <v>25.794584036855575</v>
      </c>
      <c r="E188" s="141">
        <f>'H) Péréquation directe'!I199/C188</f>
        <v>16.875330494501988</v>
      </c>
      <c r="F188" s="114">
        <f>+'I) Dépenses thématiques'!O188/'K) Plafonnement aide'!C188</f>
        <v>0</v>
      </c>
      <c r="G188" s="141">
        <f t="shared" si="9"/>
        <v>42.669914531357563</v>
      </c>
      <c r="H188" s="114">
        <f t="shared" si="10"/>
        <v>42.669914531357563</v>
      </c>
      <c r="I188" s="141">
        <f t="shared" si="11"/>
        <v>0</v>
      </c>
      <c r="J188" s="57">
        <f t="shared" si="12"/>
        <v>0</v>
      </c>
      <c r="K188" s="36"/>
    </row>
    <row r="189" spans="1:11" x14ac:dyDescent="0.25">
      <c r="A189" s="49">
        <f>'A) Base RI'!A191</f>
        <v>5712</v>
      </c>
      <c r="B189" s="285" t="str">
        <f>'A) Base RI'!B191</f>
        <v>Coppet</v>
      </c>
      <c r="C189" s="98">
        <f>'B) D RI'!U191</f>
        <v>389043.84018867929</v>
      </c>
      <c r="D189" s="114">
        <f>'E) Fact soc'!G195/C189</f>
        <v>30.330810798777463</v>
      </c>
      <c r="E189" s="141">
        <f>'H) Péréquation directe'!I200/C189</f>
        <v>17.602898614141427</v>
      </c>
      <c r="F189" s="114">
        <f>+'I) Dépenses thématiques'!O189/'K) Plafonnement aide'!C189</f>
        <v>0</v>
      </c>
      <c r="G189" s="141">
        <f t="shared" si="9"/>
        <v>47.933709412918887</v>
      </c>
      <c r="H189" s="114">
        <f t="shared" si="10"/>
        <v>47.933709412918887</v>
      </c>
      <c r="I189" s="141">
        <f t="shared" si="11"/>
        <v>0</v>
      </c>
      <c r="J189" s="57">
        <f t="shared" si="12"/>
        <v>0</v>
      </c>
      <c r="K189" s="36"/>
    </row>
    <row r="190" spans="1:11" x14ac:dyDescent="0.25">
      <c r="A190" s="49">
        <f>'A) Base RI'!A192</f>
        <v>5713</v>
      </c>
      <c r="B190" s="285" t="str">
        <f>'A) Base RI'!B192</f>
        <v>Crans-près-Céligny</v>
      </c>
      <c r="C190" s="98">
        <f>'B) D RI'!U192</f>
        <v>285689.07035714283</v>
      </c>
      <c r="D190" s="114">
        <f>'E) Fact soc'!G196/C190</f>
        <v>30.424001581877494</v>
      </c>
      <c r="E190" s="141">
        <f>'H) Péréquation directe'!I201/C190</f>
        <v>17.983537353211236</v>
      </c>
      <c r="F190" s="114">
        <f>+'I) Dépenses thématiques'!O190/'K) Plafonnement aide'!C190</f>
        <v>0</v>
      </c>
      <c r="G190" s="141">
        <f t="shared" si="9"/>
        <v>48.407538935088731</v>
      </c>
      <c r="H190" s="114">
        <f t="shared" si="10"/>
        <v>48.407538935088731</v>
      </c>
      <c r="I190" s="141">
        <f t="shared" si="11"/>
        <v>0</v>
      </c>
      <c r="J190" s="57">
        <f t="shared" si="12"/>
        <v>0</v>
      </c>
      <c r="K190" s="36"/>
    </row>
    <row r="191" spans="1:11" x14ac:dyDescent="0.25">
      <c r="A191" s="49">
        <f>'A) Base RI'!A193</f>
        <v>5714</v>
      </c>
      <c r="B191" s="285" t="str">
        <f>'A) Base RI'!B193</f>
        <v>Crassier</v>
      </c>
      <c r="C191" s="98">
        <f>'B) D RI'!U193</f>
        <v>69757.357205882377</v>
      </c>
      <c r="D191" s="114">
        <f>'E) Fact soc'!G197/C191</f>
        <v>20.440739433582298</v>
      </c>
      <c r="E191" s="141">
        <f>'H) Péréquation directe'!I202/C191</f>
        <v>17.353546988384821</v>
      </c>
      <c r="F191" s="114">
        <f>+'I) Dépenses thématiques'!O191/'K) Plafonnement aide'!C191</f>
        <v>0</v>
      </c>
      <c r="G191" s="141">
        <f t="shared" si="9"/>
        <v>37.794286421967115</v>
      </c>
      <c r="H191" s="114">
        <f t="shared" si="10"/>
        <v>37.794286421967115</v>
      </c>
      <c r="I191" s="141">
        <f t="shared" si="11"/>
        <v>0</v>
      </c>
      <c r="J191" s="57">
        <f t="shared" si="12"/>
        <v>0</v>
      </c>
      <c r="K191" s="36"/>
    </row>
    <row r="192" spans="1:11" x14ac:dyDescent="0.25">
      <c r="A192" s="49">
        <f>'A) Base RI'!A194</f>
        <v>5715</v>
      </c>
      <c r="B192" s="285" t="str">
        <f>'A) Base RI'!B194</f>
        <v>Duillier</v>
      </c>
      <c r="C192" s="98">
        <f>'B) D RI'!U194</f>
        <v>70129.929393939397</v>
      </c>
      <c r="D192" s="114">
        <f>'E) Fact soc'!G198/C192</f>
        <v>21.404576373039546</v>
      </c>
      <c r="E192" s="141">
        <f>'H) Péréquation directe'!I203/C192</f>
        <v>17.763893503626527</v>
      </c>
      <c r="F192" s="114">
        <f>+'I) Dépenses thématiques'!O192/'K) Plafonnement aide'!C192</f>
        <v>0</v>
      </c>
      <c r="G192" s="141">
        <f t="shared" si="9"/>
        <v>39.168469876666073</v>
      </c>
      <c r="H192" s="114">
        <f t="shared" si="10"/>
        <v>39.168469876666073</v>
      </c>
      <c r="I192" s="141">
        <f t="shared" si="11"/>
        <v>0</v>
      </c>
      <c r="J192" s="57">
        <f t="shared" si="12"/>
        <v>0</v>
      </c>
      <c r="K192" s="36"/>
    </row>
    <row r="193" spans="1:11" x14ac:dyDescent="0.25">
      <c r="A193" s="49">
        <f>'A) Base RI'!A195</f>
        <v>5716</v>
      </c>
      <c r="B193" s="285" t="str">
        <f>'A) Base RI'!B195</f>
        <v>Eysins</v>
      </c>
      <c r="C193" s="98">
        <f>'B) D RI'!U195</f>
        <v>206146.61786885248</v>
      </c>
      <c r="D193" s="114">
        <f>'E) Fact soc'!G199/C193</f>
        <v>30.937365518039314</v>
      </c>
      <c r="E193" s="141">
        <f>'H) Péréquation directe'!I204/C193</f>
        <v>18.139688127987725</v>
      </c>
      <c r="F193" s="114">
        <f>+'I) Dépenses thématiques'!O193/'K) Plafonnement aide'!C193</f>
        <v>0</v>
      </c>
      <c r="G193" s="141">
        <f t="shared" si="9"/>
        <v>49.077053646027039</v>
      </c>
      <c r="H193" s="114">
        <f t="shared" si="10"/>
        <v>49.077053646027039</v>
      </c>
      <c r="I193" s="141">
        <f t="shared" si="11"/>
        <v>0</v>
      </c>
      <c r="J193" s="57">
        <f t="shared" si="12"/>
        <v>0</v>
      </c>
      <c r="K193" s="36"/>
    </row>
    <row r="194" spans="1:11" x14ac:dyDescent="0.25">
      <c r="A194" s="49">
        <f>'A) Base RI'!A196</f>
        <v>5717</v>
      </c>
      <c r="B194" s="285" t="str">
        <f>'A) Base RI'!B196</f>
        <v>Founex</v>
      </c>
      <c r="C194" s="98">
        <f>'B) D RI'!U196</f>
        <v>344775.19280701759</v>
      </c>
      <c r="D194" s="114">
        <f>'E) Fact soc'!G200/C194</f>
        <v>27.286229983761711</v>
      </c>
      <c r="E194" s="141">
        <f>'H) Péréquation directe'!I205/C194</f>
        <v>16.476589044429975</v>
      </c>
      <c r="F194" s="114">
        <f>+'I) Dépenses thématiques'!O194/'K) Plafonnement aide'!C194</f>
        <v>0</v>
      </c>
      <c r="G194" s="141">
        <f t="shared" si="9"/>
        <v>43.762819028191686</v>
      </c>
      <c r="H194" s="114">
        <f t="shared" si="10"/>
        <v>43.762819028191686</v>
      </c>
      <c r="I194" s="141">
        <f t="shared" si="11"/>
        <v>0</v>
      </c>
      <c r="J194" s="57">
        <f t="shared" si="12"/>
        <v>0</v>
      </c>
      <c r="K194" s="36"/>
    </row>
    <row r="195" spans="1:11" x14ac:dyDescent="0.25">
      <c r="A195" s="49">
        <f>'A) Base RI'!A197</f>
        <v>5718</v>
      </c>
      <c r="B195" s="285" t="str">
        <f>'A) Base RI'!B197</f>
        <v>Genolier</v>
      </c>
      <c r="C195" s="98">
        <f>'B) D RI'!U197</f>
        <v>171473.77890909091</v>
      </c>
      <c r="D195" s="114">
        <f>'E) Fact soc'!G201/C195</f>
        <v>27.140376433793342</v>
      </c>
      <c r="E195" s="141">
        <f>'H) Péréquation directe'!I206/C195</f>
        <v>17.222653956565445</v>
      </c>
      <c r="F195" s="114">
        <f>+'I) Dépenses thématiques'!O195/'K) Plafonnement aide'!C195</f>
        <v>0</v>
      </c>
      <c r="G195" s="141">
        <f t="shared" si="9"/>
        <v>44.363030390358787</v>
      </c>
      <c r="H195" s="114">
        <f t="shared" si="10"/>
        <v>44.363030390358787</v>
      </c>
      <c r="I195" s="141">
        <f t="shared" si="11"/>
        <v>0</v>
      </c>
      <c r="J195" s="57">
        <f t="shared" si="12"/>
        <v>0</v>
      </c>
      <c r="K195" s="36"/>
    </row>
    <row r="196" spans="1:11" x14ac:dyDescent="0.25">
      <c r="A196" s="49">
        <f>'A) Base RI'!A198</f>
        <v>5719</v>
      </c>
      <c r="B196" s="285" t="str">
        <f>'A) Base RI'!B198</f>
        <v>Gingins</v>
      </c>
      <c r="C196" s="98">
        <f>'B) D RI'!U198</f>
        <v>142317.67801169588</v>
      </c>
      <c r="D196" s="114">
        <f>'E) Fact soc'!G202/C196</f>
        <v>28.885354691730132</v>
      </c>
      <c r="E196" s="141">
        <f>'H) Péréquation directe'!I207/C196</f>
        <v>18.533229910261827</v>
      </c>
      <c r="F196" s="114">
        <f>+'I) Dépenses thématiques'!O196/'K) Plafonnement aide'!C196</f>
        <v>0</v>
      </c>
      <c r="G196" s="141">
        <f t="shared" si="9"/>
        <v>47.418584601991959</v>
      </c>
      <c r="H196" s="114">
        <f t="shared" si="10"/>
        <v>47.418584601991959</v>
      </c>
      <c r="I196" s="141">
        <f t="shared" si="11"/>
        <v>0</v>
      </c>
      <c r="J196" s="57">
        <f t="shared" si="12"/>
        <v>0</v>
      </c>
      <c r="K196" s="36"/>
    </row>
    <row r="197" spans="1:11" x14ac:dyDescent="0.25">
      <c r="A197" s="49">
        <f>'A) Base RI'!A199</f>
        <v>5720</v>
      </c>
      <c r="B197" s="285" t="str">
        <f>'A) Base RI'!B199</f>
        <v>Givrins</v>
      </c>
      <c r="C197" s="98">
        <f>'B) D RI'!U199</f>
        <v>82564.367429519058</v>
      </c>
      <c r="D197" s="114">
        <f>'E) Fact soc'!G203/C197</f>
        <v>26.498274120990043</v>
      </c>
      <c r="E197" s="141">
        <f>'H) Péréquation directe'!I208/C197</f>
        <v>18.348770969317911</v>
      </c>
      <c r="F197" s="114">
        <f>+'I) Dépenses thématiques'!O197/'K) Plafonnement aide'!C197</f>
        <v>-0.48453854972340882</v>
      </c>
      <c r="G197" s="141">
        <f t="shared" si="9"/>
        <v>44.362506540584548</v>
      </c>
      <c r="H197" s="114">
        <f t="shared" si="10"/>
        <v>44.847045090307958</v>
      </c>
      <c r="I197" s="141">
        <f t="shared" si="11"/>
        <v>0</v>
      </c>
      <c r="J197" s="57">
        <f t="shared" si="12"/>
        <v>0</v>
      </c>
      <c r="K197" s="36"/>
    </row>
    <row r="198" spans="1:11" x14ac:dyDescent="0.25">
      <c r="A198" s="49">
        <f>'A) Base RI'!A200</f>
        <v>5721</v>
      </c>
      <c r="B198" s="285" t="str">
        <f>'A) Base RI'!B200</f>
        <v>Gland</v>
      </c>
      <c r="C198" s="98">
        <f>'B) D RI'!U200</f>
        <v>655037.95408000017</v>
      </c>
      <c r="D198" s="114">
        <f>'E) Fact soc'!G204/C198</f>
        <v>26.812845459525541</v>
      </c>
      <c r="E198" s="141">
        <f>'H) Péréquation directe'!I209/C198</f>
        <v>7.7797879236033607</v>
      </c>
      <c r="F198" s="114">
        <f>+'I) Dépenses thématiques'!O198/'K) Plafonnement aide'!C198</f>
        <v>0</v>
      </c>
      <c r="G198" s="141">
        <f t="shared" ref="G198:G261" si="13">SUM(D198:F198)</f>
        <v>34.592633383128899</v>
      </c>
      <c r="H198" s="114">
        <f t="shared" ref="H198:H261" si="14">G198-F198</f>
        <v>34.592633383128899</v>
      </c>
      <c r="I198" s="141">
        <f t="shared" ref="I198:I261" si="15">IF(H198&lt;I$4,H198-I$4,0)</f>
        <v>0</v>
      </c>
      <c r="J198" s="57">
        <f t="shared" ref="J198:J261" si="16">-I198*C198</f>
        <v>0</v>
      </c>
      <c r="K198" s="36"/>
    </row>
    <row r="199" spans="1:11" x14ac:dyDescent="0.25">
      <c r="A199" s="49">
        <f>'A) Base RI'!A201</f>
        <v>5722</v>
      </c>
      <c r="B199" s="285" t="str">
        <f>'A) Base RI'!B201</f>
        <v>Grens</v>
      </c>
      <c r="C199" s="98">
        <f>'B) D RI'!U201</f>
        <v>20306.92935483871</v>
      </c>
      <c r="D199" s="114">
        <f>'E) Fact soc'!G205/C199</f>
        <v>19.46457747403182</v>
      </c>
      <c r="E199" s="141">
        <f>'H) Péréquation directe'!I210/C199</f>
        <v>17.637262268249948</v>
      </c>
      <c r="F199" s="114">
        <f>+'I) Dépenses thématiques'!O199/'K) Plafonnement aide'!C199</f>
        <v>-10.21257117271635</v>
      </c>
      <c r="G199" s="141">
        <f t="shared" si="13"/>
        <v>26.889268569565417</v>
      </c>
      <c r="H199" s="114">
        <f t="shared" si="14"/>
        <v>37.101839742281769</v>
      </c>
      <c r="I199" s="141">
        <f t="shared" si="15"/>
        <v>0</v>
      </c>
      <c r="J199" s="57">
        <f t="shared" si="16"/>
        <v>0</v>
      </c>
      <c r="K199" s="36"/>
    </row>
    <row r="200" spans="1:11" x14ac:dyDescent="0.25">
      <c r="A200" s="49">
        <f>'A) Base RI'!A202</f>
        <v>5723</v>
      </c>
      <c r="B200" s="285" t="str">
        <f>'A) Base RI'!B202</f>
        <v>Mies</v>
      </c>
      <c r="C200" s="98">
        <f>'B) D RI'!U202</f>
        <v>571754.57660377375</v>
      </c>
      <c r="D200" s="114">
        <f>'E) Fact soc'!G206/C200</f>
        <v>38.492058122640714</v>
      </c>
      <c r="E200" s="141">
        <f>'H) Péréquation directe'!I211/C200</f>
        <v>19.100369236424168</v>
      </c>
      <c r="F200" s="114">
        <f>+'I) Dépenses thématiques'!O200/'K) Plafonnement aide'!C200</f>
        <v>0</v>
      </c>
      <c r="G200" s="141">
        <f t="shared" si="13"/>
        <v>57.592427359064885</v>
      </c>
      <c r="H200" s="114">
        <f t="shared" si="14"/>
        <v>57.592427359064885</v>
      </c>
      <c r="I200" s="141">
        <f t="shared" si="15"/>
        <v>0</v>
      </c>
      <c r="J200" s="57">
        <f t="shared" si="16"/>
        <v>0</v>
      </c>
      <c r="K200" s="36"/>
    </row>
    <row r="201" spans="1:11" x14ac:dyDescent="0.25">
      <c r="A201" s="49">
        <f>'A) Base RI'!A203</f>
        <v>5724</v>
      </c>
      <c r="B201" s="285" t="str">
        <f>'A) Base RI'!B203</f>
        <v>Nyon</v>
      </c>
      <c r="C201" s="98">
        <f>'B) D RI'!U203</f>
        <v>1403046.442824716</v>
      </c>
      <c r="D201" s="114">
        <f>'E) Fact soc'!G207/C201</f>
        <v>22.929301658244835</v>
      </c>
      <c r="E201" s="141">
        <f>'H) Péréquation directe'!I212/C201</f>
        <v>8.178958879309782</v>
      </c>
      <c r="F201" s="114">
        <f>+'I) Dépenses thématiques'!O201/'K) Plafonnement aide'!C201</f>
        <v>-0.42391197468346625</v>
      </c>
      <c r="G201" s="141">
        <f t="shared" si="13"/>
        <v>30.684348562871151</v>
      </c>
      <c r="H201" s="114">
        <f t="shared" si="14"/>
        <v>31.108260537554617</v>
      </c>
      <c r="I201" s="141">
        <f t="shared" si="15"/>
        <v>0</v>
      </c>
      <c r="J201" s="57">
        <f t="shared" si="16"/>
        <v>0</v>
      </c>
      <c r="K201" s="36"/>
    </row>
    <row r="202" spans="1:11" x14ac:dyDescent="0.25">
      <c r="A202" s="49">
        <f>'A) Base RI'!A204</f>
        <v>5725</v>
      </c>
      <c r="B202" s="285" t="str">
        <f>'A) Base RI'!B204</f>
        <v>Prangins</v>
      </c>
      <c r="C202" s="98">
        <f>'B) D RI'!U204</f>
        <v>339116.20058673463</v>
      </c>
      <c r="D202" s="114">
        <f>'E) Fact soc'!G208/C202</f>
        <v>26.986904958400935</v>
      </c>
      <c r="E202" s="141">
        <f>'H) Péréquation directe'!I213/C202</f>
        <v>15.949419928760964</v>
      </c>
      <c r="F202" s="114">
        <f>+'I) Dépenses thématiques'!O202/'K) Plafonnement aide'!C202</f>
        <v>0</v>
      </c>
      <c r="G202" s="141">
        <f t="shared" si="13"/>
        <v>42.936324887161902</v>
      </c>
      <c r="H202" s="114">
        <f t="shared" si="14"/>
        <v>42.936324887161902</v>
      </c>
      <c r="I202" s="141">
        <f t="shared" si="15"/>
        <v>0</v>
      </c>
      <c r="J202" s="57">
        <f t="shared" si="16"/>
        <v>0</v>
      </c>
      <c r="K202" s="36"/>
    </row>
    <row r="203" spans="1:11" x14ac:dyDescent="0.25">
      <c r="A203" s="49">
        <f>'A) Base RI'!A205</f>
        <v>5726</v>
      </c>
      <c r="B203" s="285" t="str">
        <f>'A) Base RI'!B205</f>
        <v>La Rippe</v>
      </c>
      <c r="C203" s="98">
        <f>'B) D RI'!U205</f>
        <v>61326.535692307698</v>
      </c>
      <c r="D203" s="114">
        <f>'E) Fact soc'!G209/C203</f>
        <v>18.51586950503118</v>
      </c>
      <c r="E203" s="141">
        <f>'H) Péréquation directe'!I214/C203</f>
        <v>17.178091386821915</v>
      </c>
      <c r="F203" s="114">
        <f>+'I) Dépenses thématiques'!O203/'K) Plafonnement aide'!C203</f>
        <v>-1.1153491760032525E-2</v>
      </c>
      <c r="G203" s="141">
        <f t="shared" si="13"/>
        <v>35.682807400093061</v>
      </c>
      <c r="H203" s="114">
        <f t="shared" si="14"/>
        <v>35.693960891853095</v>
      </c>
      <c r="I203" s="141">
        <f t="shared" si="15"/>
        <v>0</v>
      </c>
      <c r="J203" s="57">
        <f t="shared" si="16"/>
        <v>0</v>
      </c>
      <c r="K203" s="36"/>
    </row>
    <row r="204" spans="1:11" x14ac:dyDescent="0.25">
      <c r="A204" s="49">
        <f>'A) Base RI'!A206</f>
        <v>5727</v>
      </c>
      <c r="B204" s="285" t="str">
        <f>'A) Base RI'!B206</f>
        <v>Saint-Cergue</v>
      </c>
      <c r="C204" s="98">
        <f>'B) D RI'!U206</f>
        <v>96125.190858585862</v>
      </c>
      <c r="D204" s="114">
        <f>'E) Fact soc'!G210/C204</f>
        <v>18.559411486447118</v>
      </c>
      <c r="E204" s="141">
        <f>'H) Péréquation directe'!I215/C204</f>
        <v>8.0717336503322077</v>
      </c>
      <c r="F204" s="114">
        <f>+'I) Dépenses thématiques'!O204/'K) Plafonnement aide'!C204</f>
        <v>-3.6724011593589632</v>
      </c>
      <c r="G204" s="141">
        <f t="shared" si="13"/>
        <v>22.958743977420362</v>
      </c>
      <c r="H204" s="114">
        <f t="shared" si="14"/>
        <v>26.631145136779324</v>
      </c>
      <c r="I204" s="141">
        <f t="shared" si="15"/>
        <v>0</v>
      </c>
      <c r="J204" s="57">
        <f t="shared" si="16"/>
        <v>0</v>
      </c>
      <c r="K204" s="36"/>
    </row>
    <row r="205" spans="1:11" x14ac:dyDescent="0.25">
      <c r="A205" s="49">
        <f>'A) Base RI'!A207</f>
        <v>5728</v>
      </c>
      <c r="B205" s="285" t="str">
        <f>'A) Base RI'!B207</f>
        <v>Signy-Avenex</v>
      </c>
      <c r="C205" s="98">
        <f>'B) D RI'!U207</f>
        <v>43125.38</v>
      </c>
      <c r="D205" s="114">
        <f>'E) Fact soc'!G211/C205</f>
        <v>22.923005141185214</v>
      </c>
      <c r="E205" s="141">
        <f>'H) Péréquation directe'!I216/C205</f>
        <v>18.299611203825272</v>
      </c>
      <c r="F205" s="114">
        <f>+'I) Dépenses thématiques'!O205/'K) Plafonnement aide'!C205</f>
        <v>0</v>
      </c>
      <c r="G205" s="141">
        <f t="shared" si="13"/>
        <v>41.222616345010486</v>
      </c>
      <c r="H205" s="114">
        <f t="shared" si="14"/>
        <v>41.222616345010486</v>
      </c>
      <c r="I205" s="141">
        <f t="shared" si="15"/>
        <v>0</v>
      </c>
      <c r="J205" s="57">
        <f t="shared" si="16"/>
        <v>0</v>
      </c>
      <c r="K205" s="36"/>
    </row>
    <row r="206" spans="1:11" x14ac:dyDescent="0.25">
      <c r="A206" s="49">
        <f>'A) Base RI'!A208</f>
        <v>5729</v>
      </c>
      <c r="B206" s="285" t="str">
        <f>'A) Base RI'!B208</f>
        <v>Tannay</v>
      </c>
      <c r="C206" s="98">
        <f>'B) D RI'!U208</f>
        <v>176892.2019125683</v>
      </c>
      <c r="D206" s="114">
        <f>'E) Fact soc'!G212/C206</f>
        <v>30.470573136392886</v>
      </c>
      <c r="E206" s="141">
        <f>'H) Péréquation directe'!I217/C206</f>
        <v>18.103355951943175</v>
      </c>
      <c r="F206" s="114">
        <f>+'I) Dépenses thématiques'!O206/'K) Plafonnement aide'!C206</f>
        <v>0</v>
      </c>
      <c r="G206" s="141">
        <f t="shared" si="13"/>
        <v>48.573929088336058</v>
      </c>
      <c r="H206" s="114">
        <f t="shared" si="14"/>
        <v>48.573929088336058</v>
      </c>
      <c r="I206" s="141">
        <f t="shared" si="15"/>
        <v>0</v>
      </c>
      <c r="J206" s="57">
        <f t="shared" si="16"/>
        <v>0</v>
      </c>
      <c r="K206" s="36"/>
    </row>
    <row r="207" spans="1:11" x14ac:dyDescent="0.25">
      <c r="A207" s="49">
        <f>'A) Base RI'!A209</f>
        <v>5730</v>
      </c>
      <c r="B207" s="285" t="str">
        <f>'A) Base RI'!B209</f>
        <v>Trélex</v>
      </c>
      <c r="C207" s="98">
        <f>'B) D RI'!U209</f>
        <v>134482.25955165693</v>
      </c>
      <c r="D207" s="114">
        <f>'E) Fact soc'!G213/C207</f>
        <v>25.984200485413826</v>
      </c>
      <c r="E207" s="141">
        <f>'H) Péréquation directe'!I218/C207</f>
        <v>17.937326081774835</v>
      </c>
      <c r="F207" s="114">
        <f>+'I) Dépenses thématiques'!O207/'K) Plafonnement aide'!C207</f>
        <v>0</v>
      </c>
      <c r="G207" s="141">
        <f t="shared" si="13"/>
        <v>43.921526567188664</v>
      </c>
      <c r="H207" s="114">
        <f t="shared" si="14"/>
        <v>43.921526567188664</v>
      </c>
      <c r="I207" s="141">
        <f t="shared" si="15"/>
        <v>0</v>
      </c>
      <c r="J207" s="57">
        <f t="shared" si="16"/>
        <v>0</v>
      </c>
      <c r="K207" s="36"/>
    </row>
    <row r="208" spans="1:11" x14ac:dyDescent="0.25">
      <c r="A208" s="49">
        <f>'A) Base RI'!A210</f>
        <v>5731</v>
      </c>
      <c r="B208" s="285" t="str">
        <f>'A) Base RI'!B210</f>
        <v>Le Vaud</v>
      </c>
      <c r="C208" s="98">
        <f>'B) D RI'!U210</f>
        <v>61944.089333333322</v>
      </c>
      <c r="D208" s="114">
        <f>'E) Fact soc'!G214/C208</f>
        <v>20.680238234649647</v>
      </c>
      <c r="E208" s="141">
        <f>'H) Péréquation directe'!I219/C208</f>
        <v>15.117605135059327</v>
      </c>
      <c r="F208" s="114">
        <f>+'I) Dépenses thématiques'!O208/'K) Plafonnement aide'!C208</f>
        <v>-1.7228963848697216</v>
      </c>
      <c r="G208" s="141">
        <f t="shared" si="13"/>
        <v>34.074946984839251</v>
      </c>
      <c r="H208" s="114">
        <f t="shared" si="14"/>
        <v>35.797843369708971</v>
      </c>
      <c r="I208" s="141">
        <f t="shared" si="15"/>
        <v>0</v>
      </c>
      <c r="J208" s="57">
        <f t="shared" si="16"/>
        <v>0</v>
      </c>
      <c r="K208" s="36"/>
    </row>
    <row r="209" spans="1:11" x14ac:dyDescent="0.25">
      <c r="A209" s="49">
        <f>'A) Base RI'!A211</f>
        <v>5732</v>
      </c>
      <c r="B209" s="285" t="str">
        <f>'A) Base RI'!B211</f>
        <v>Vich</v>
      </c>
      <c r="C209" s="98">
        <f>'B) D RI'!U211</f>
        <v>63992.408333333333</v>
      </c>
      <c r="D209" s="114">
        <f>'E) Fact soc'!G215/C209</f>
        <v>20.881515369311071</v>
      </c>
      <c r="E209" s="141">
        <f>'H) Péréquation directe'!I220/C209</f>
        <v>17.587264859217118</v>
      </c>
      <c r="F209" s="114">
        <f>+'I) Dépenses thématiques'!O209/'K) Plafonnement aide'!C209</f>
        <v>0</v>
      </c>
      <c r="G209" s="141">
        <f t="shared" si="13"/>
        <v>38.468780228528189</v>
      </c>
      <c r="H209" s="114">
        <f t="shared" si="14"/>
        <v>38.468780228528189</v>
      </c>
      <c r="I209" s="141">
        <f t="shared" si="15"/>
        <v>0</v>
      </c>
      <c r="J209" s="57">
        <f t="shared" si="16"/>
        <v>0</v>
      </c>
      <c r="K209" s="36"/>
    </row>
    <row r="210" spans="1:11" x14ac:dyDescent="0.25">
      <c r="A210" s="49">
        <f>'A) Base RI'!A212</f>
        <v>5741</v>
      </c>
      <c r="B210" s="285" t="str">
        <f>'A) Base RI'!B212</f>
        <v>L'Abergement</v>
      </c>
      <c r="C210" s="98">
        <f>'B) D RI'!U212</f>
        <v>7144.356296296296</v>
      </c>
      <c r="D210" s="114">
        <f>'E) Fact soc'!G216/C210</f>
        <v>18.032345066133747</v>
      </c>
      <c r="E210" s="141">
        <f>'H) Péréquation directe'!I221/C210</f>
        <v>-0.1158236682023082</v>
      </c>
      <c r="F210" s="114">
        <f>+'I) Dépenses thématiques'!O210/'K) Plafonnement aide'!C210</f>
        <v>-16.660580897235519</v>
      </c>
      <c r="G210" s="141">
        <f t="shared" si="13"/>
        <v>1.255940500695921</v>
      </c>
      <c r="H210" s="114">
        <f t="shared" si="14"/>
        <v>17.91652139793144</v>
      </c>
      <c r="I210" s="141">
        <f t="shared" si="15"/>
        <v>0</v>
      </c>
      <c r="J210" s="57">
        <f t="shared" si="16"/>
        <v>0</v>
      </c>
      <c r="K210" s="36"/>
    </row>
    <row r="211" spans="1:11" x14ac:dyDescent="0.25">
      <c r="A211" s="49">
        <f>'A) Base RI'!A213</f>
        <v>5742</v>
      </c>
      <c r="B211" s="285" t="str">
        <f>'A) Base RI'!B213</f>
        <v>Agiez</v>
      </c>
      <c r="C211" s="98">
        <f>'B) D RI'!U213</f>
        <v>9023.5640789473691</v>
      </c>
      <c r="D211" s="114">
        <f>'E) Fact soc'!G217/C211</f>
        <v>18.398844427770747</v>
      </c>
      <c r="E211" s="141">
        <f>'H) Péréquation directe'!I222/C211</f>
        <v>-4.3319516883000002</v>
      </c>
      <c r="F211" s="114">
        <f>+'I) Dépenses thématiques'!O211/'K) Plafonnement aide'!C211</f>
        <v>-1.8582582111649808</v>
      </c>
      <c r="G211" s="141">
        <f t="shared" si="13"/>
        <v>12.208634528305765</v>
      </c>
      <c r="H211" s="114">
        <f t="shared" si="14"/>
        <v>14.066892739470745</v>
      </c>
      <c r="I211" s="141">
        <f t="shared" si="15"/>
        <v>0</v>
      </c>
      <c r="J211" s="57">
        <f t="shared" si="16"/>
        <v>0</v>
      </c>
      <c r="K211" s="36"/>
    </row>
    <row r="212" spans="1:11" x14ac:dyDescent="0.25">
      <c r="A212" s="49">
        <f>'A) Base RI'!A214</f>
        <v>5743</v>
      </c>
      <c r="B212" s="285" t="str">
        <f>'A) Base RI'!B214</f>
        <v>Arnex-sur-Orbe</v>
      </c>
      <c r="C212" s="98">
        <f>'B) D RI'!U214</f>
        <v>19009.64441780822</v>
      </c>
      <c r="D212" s="114">
        <f>'E) Fact soc'!G218/C212</f>
        <v>20.41828958921479</v>
      </c>
      <c r="E212" s="141">
        <f>'H) Péréquation directe'!I223/C212</f>
        <v>3.8134115229880416</v>
      </c>
      <c r="F212" s="114">
        <f>+'I) Dépenses thématiques'!O212/'K) Plafonnement aide'!C212</f>
        <v>-3.9152292722101061</v>
      </c>
      <c r="G212" s="141">
        <f t="shared" si="13"/>
        <v>20.316471839992726</v>
      </c>
      <c r="H212" s="114">
        <f t="shared" si="14"/>
        <v>24.231701112202831</v>
      </c>
      <c r="I212" s="141">
        <f t="shared" si="15"/>
        <v>0</v>
      </c>
      <c r="J212" s="57">
        <f t="shared" si="16"/>
        <v>0</v>
      </c>
      <c r="K212" s="36"/>
    </row>
    <row r="213" spans="1:11" x14ac:dyDescent="0.25">
      <c r="A213" s="49">
        <f>'A) Base RI'!A215</f>
        <v>5744</v>
      </c>
      <c r="B213" s="285" t="str">
        <f>'A) Base RI'!B215</f>
        <v>Ballaigues</v>
      </c>
      <c r="C213" s="98">
        <f>'B) D RI'!U215</f>
        <v>63457.136212121215</v>
      </c>
      <c r="D213" s="114">
        <f>'E) Fact soc'!G219/C213</f>
        <v>25.935460044936413</v>
      </c>
      <c r="E213" s="141">
        <f>'H) Péréquation directe'!I224/C213</f>
        <v>17.428274617962906</v>
      </c>
      <c r="F213" s="114">
        <f>+'I) Dépenses thématiques'!O213/'K) Plafonnement aide'!C213</f>
        <v>-4.2372519063569642</v>
      </c>
      <c r="G213" s="141">
        <f t="shared" si="13"/>
        <v>39.126482756542352</v>
      </c>
      <c r="H213" s="114">
        <f t="shared" si="14"/>
        <v>43.363734662899319</v>
      </c>
      <c r="I213" s="141">
        <f t="shared" si="15"/>
        <v>0</v>
      </c>
      <c r="J213" s="57">
        <f t="shared" si="16"/>
        <v>0</v>
      </c>
      <c r="K213" s="36"/>
    </row>
    <row r="214" spans="1:11" x14ac:dyDescent="0.25">
      <c r="A214" s="49">
        <f>'A) Base RI'!A216</f>
        <v>5745</v>
      </c>
      <c r="B214" s="285" t="str">
        <f>'A) Base RI'!B216</f>
        <v>Baulmes</v>
      </c>
      <c r="C214" s="98">
        <f>'B) D RI'!U216</f>
        <v>27759.177948717952</v>
      </c>
      <c r="D214" s="114">
        <f>'E) Fact soc'!G220/C214</f>
        <v>18.842730234845831</v>
      </c>
      <c r="E214" s="141">
        <f>'H) Péréquation directe'!I225/C214</f>
        <v>-3.5739422072930496</v>
      </c>
      <c r="F214" s="114">
        <f>+'I) Dépenses thématiques'!O214/'K) Plafonnement aide'!C214</f>
        <v>-10.313675561828447</v>
      </c>
      <c r="G214" s="141">
        <f t="shared" si="13"/>
        <v>4.9551124657243353</v>
      </c>
      <c r="H214" s="114">
        <f t="shared" si="14"/>
        <v>15.268788027552782</v>
      </c>
      <c r="I214" s="141">
        <f t="shared" si="15"/>
        <v>0</v>
      </c>
      <c r="J214" s="57">
        <f t="shared" si="16"/>
        <v>0</v>
      </c>
      <c r="K214" s="36"/>
    </row>
    <row r="215" spans="1:11" x14ac:dyDescent="0.25">
      <c r="A215" s="49">
        <f>'A) Base RI'!A217</f>
        <v>5746</v>
      </c>
      <c r="B215" s="285" t="str">
        <f>'A) Base RI'!B217</f>
        <v>Bavois</v>
      </c>
      <c r="C215" s="98">
        <f>'B) D RI'!U217</f>
        <v>26302.981735159818</v>
      </c>
      <c r="D215" s="114">
        <f>'E) Fact soc'!G221/C215</f>
        <v>18.677932919767073</v>
      </c>
      <c r="E215" s="141">
        <f>'H) Péréquation directe'!I226/C215</f>
        <v>0.57146806463242616</v>
      </c>
      <c r="F215" s="114">
        <f>+'I) Dépenses thématiques'!O215/'K) Plafonnement aide'!C215</f>
        <v>-7.5029225829415012</v>
      </c>
      <c r="G215" s="141">
        <f t="shared" si="13"/>
        <v>11.746478401457999</v>
      </c>
      <c r="H215" s="114">
        <f t="shared" si="14"/>
        <v>19.2494009843995</v>
      </c>
      <c r="I215" s="141">
        <f t="shared" si="15"/>
        <v>0</v>
      </c>
      <c r="J215" s="57">
        <f t="shared" si="16"/>
        <v>0</v>
      </c>
      <c r="K215" s="36"/>
    </row>
    <row r="216" spans="1:11" x14ac:dyDescent="0.25">
      <c r="A216" s="49">
        <f>'A) Base RI'!A218</f>
        <v>5747</v>
      </c>
      <c r="B216" s="285" t="str">
        <f>'A) Base RI'!B218</f>
        <v>Bofflens</v>
      </c>
      <c r="C216" s="98">
        <f>'B) D RI'!U218</f>
        <v>5938.7008695652166</v>
      </c>
      <c r="D216" s="114">
        <f>'E) Fact soc'!G222/C216</f>
        <v>15.884315364355928</v>
      </c>
      <c r="E216" s="141">
        <f>'H) Péréquation directe'!I227/C216</f>
        <v>5.7341483682429617</v>
      </c>
      <c r="F216" s="114">
        <f>+'I) Dépenses thématiques'!O216/'K) Plafonnement aide'!C216</f>
        <v>-39.359419711218877</v>
      </c>
      <c r="G216" s="141">
        <f t="shared" si="13"/>
        <v>-17.740955978619986</v>
      </c>
      <c r="H216" s="114">
        <f t="shared" si="14"/>
        <v>21.61846373259889</v>
      </c>
      <c r="I216" s="141">
        <f t="shared" si="15"/>
        <v>0</v>
      </c>
      <c r="J216" s="57">
        <f t="shared" si="16"/>
        <v>0</v>
      </c>
      <c r="K216" s="36"/>
    </row>
    <row r="217" spans="1:11" x14ac:dyDescent="0.25">
      <c r="A217" s="49">
        <f>'A) Base RI'!A219</f>
        <v>5748</v>
      </c>
      <c r="B217" s="285" t="str">
        <f>'A) Base RI'!B219</f>
        <v>Bretonnières</v>
      </c>
      <c r="C217" s="98">
        <f>'B) D RI'!U219</f>
        <v>7318.7627314814808</v>
      </c>
      <c r="D217" s="114">
        <f>'E) Fact soc'!G223/C217</f>
        <v>16.914864901027649</v>
      </c>
      <c r="E217" s="141">
        <f>'H) Péréquation directe'!I228/C217</f>
        <v>0.36320658777240289</v>
      </c>
      <c r="F217" s="114">
        <f>+'I) Dépenses thématiques'!O217/'K) Plafonnement aide'!C217</f>
        <v>-7.1635409675012784</v>
      </c>
      <c r="G217" s="141">
        <f t="shared" si="13"/>
        <v>10.114530521298773</v>
      </c>
      <c r="H217" s="114">
        <f t="shared" si="14"/>
        <v>17.278071488800052</v>
      </c>
      <c r="I217" s="141">
        <f t="shared" si="15"/>
        <v>0</v>
      </c>
      <c r="J217" s="57">
        <f t="shared" si="16"/>
        <v>0</v>
      </c>
      <c r="K217" s="36"/>
    </row>
    <row r="218" spans="1:11" x14ac:dyDescent="0.25">
      <c r="A218" s="49">
        <f>'A) Base RI'!A220</f>
        <v>5749</v>
      </c>
      <c r="B218" s="285" t="str">
        <f>'A) Base RI'!B220</f>
        <v>Chavornay</v>
      </c>
      <c r="C218" s="98">
        <f>'B) D RI'!U220</f>
        <v>133236.15722222222</v>
      </c>
      <c r="D218" s="114">
        <f>'E) Fact soc'!G224/C218</f>
        <v>19.301053019360481</v>
      </c>
      <c r="E218" s="141">
        <f>'H) Péréquation directe'!I229/C218</f>
        <v>-11.123996181152524</v>
      </c>
      <c r="F218" s="114">
        <f>+'I) Dépenses thématiques'!O218/'K) Plafonnement aide'!C218</f>
        <v>-4.6144820204557195</v>
      </c>
      <c r="G218" s="141">
        <f t="shared" si="13"/>
        <v>3.5625748177522372</v>
      </c>
      <c r="H218" s="114">
        <f t="shared" si="14"/>
        <v>8.1770568382079567</v>
      </c>
      <c r="I218" s="141">
        <f t="shared" si="15"/>
        <v>0</v>
      </c>
      <c r="J218" s="57">
        <f t="shared" si="16"/>
        <v>0</v>
      </c>
      <c r="K218" s="36"/>
    </row>
    <row r="219" spans="1:11" x14ac:dyDescent="0.25">
      <c r="A219" s="49">
        <f>'A) Base RI'!A221</f>
        <v>5750</v>
      </c>
      <c r="B219" s="285" t="str">
        <f>'A) Base RI'!B221</f>
        <v>Les Clées</v>
      </c>
      <c r="C219" s="98">
        <f>'B) D RI'!U221</f>
        <v>5052.8727083333342</v>
      </c>
      <c r="D219" s="114">
        <f>'E) Fact soc'!G225/C219</f>
        <v>15.430162920163545</v>
      </c>
      <c r="E219" s="141">
        <f>'H) Péréquation directe'!I230/C219</f>
        <v>-2.9739923115754183</v>
      </c>
      <c r="F219" s="114">
        <f>+'I) Dépenses thématiques'!O219/'K) Plafonnement aide'!C219</f>
        <v>-11.453337134476731</v>
      </c>
      <c r="G219" s="141">
        <f t="shared" si="13"/>
        <v>1.0028334741113945</v>
      </c>
      <c r="H219" s="114">
        <f t="shared" si="14"/>
        <v>12.456170608588126</v>
      </c>
      <c r="I219" s="141">
        <f t="shared" si="15"/>
        <v>0</v>
      </c>
      <c r="J219" s="57">
        <f t="shared" si="16"/>
        <v>0</v>
      </c>
      <c r="K219" s="36"/>
    </row>
    <row r="220" spans="1:11" x14ac:dyDescent="0.25">
      <c r="A220" s="49">
        <f>'A) Base RI'!A222</f>
        <v>5752</v>
      </c>
      <c r="B220" s="285" t="str">
        <f>'A) Base RI'!B222</f>
        <v>Croy</v>
      </c>
      <c r="C220" s="98">
        <f>'B) D RI'!U222</f>
        <v>9724.9561776061801</v>
      </c>
      <c r="D220" s="114">
        <f>'E) Fact soc'!G226/C220</f>
        <v>17.230009592235557</v>
      </c>
      <c r="E220" s="141">
        <f>'H) Péréquation directe'!I231/C220</f>
        <v>-5.8585396232336606</v>
      </c>
      <c r="F220" s="114">
        <f>+'I) Dépenses thématiques'!O220/'K) Plafonnement aide'!C220</f>
        <v>-8.7936400002678567</v>
      </c>
      <c r="G220" s="141">
        <f t="shared" si="13"/>
        <v>2.57782996873404</v>
      </c>
      <c r="H220" s="114">
        <f t="shared" si="14"/>
        <v>11.371469969001897</v>
      </c>
      <c r="I220" s="141">
        <f t="shared" si="15"/>
        <v>0</v>
      </c>
      <c r="J220" s="57">
        <f t="shared" si="16"/>
        <v>0</v>
      </c>
      <c r="K220" s="36"/>
    </row>
    <row r="221" spans="1:11" x14ac:dyDescent="0.25">
      <c r="A221" s="49">
        <f>'A) Base RI'!A223</f>
        <v>5754</v>
      </c>
      <c r="B221" s="285" t="str">
        <f>'A) Base RI'!B223</f>
        <v>Juriens</v>
      </c>
      <c r="C221" s="98">
        <f>'B) D RI'!U223</f>
        <v>9237.2617721518982</v>
      </c>
      <c r="D221" s="114">
        <f>'E) Fact soc'!G227/C221</f>
        <v>15.006764941173875</v>
      </c>
      <c r="E221" s="141">
        <f>'H) Péréquation directe'!I232/C221</f>
        <v>-1.0924354408783434</v>
      </c>
      <c r="F221" s="114">
        <f>+'I) Dépenses thématiques'!O221/'K) Plafonnement aide'!C221</f>
        <v>-3.6799536742342243</v>
      </c>
      <c r="G221" s="141">
        <f t="shared" si="13"/>
        <v>10.234375826061306</v>
      </c>
      <c r="H221" s="114">
        <f t="shared" si="14"/>
        <v>13.91432950029553</v>
      </c>
      <c r="I221" s="141">
        <f t="shared" si="15"/>
        <v>0</v>
      </c>
      <c r="J221" s="57">
        <f t="shared" si="16"/>
        <v>0</v>
      </c>
      <c r="K221" s="36"/>
    </row>
    <row r="222" spans="1:11" x14ac:dyDescent="0.25">
      <c r="A222" s="49">
        <f>'A) Base RI'!A224</f>
        <v>5755</v>
      </c>
      <c r="B222" s="285" t="str">
        <f>'A) Base RI'!B224</f>
        <v>Lignerolle</v>
      </c>
      <c r="C222" s="98">
        <f>'B) D RI'!U224</f>
        <v>9846.5387499999997</v>
      </c>
      <c r="D222" s="114">
        <f>'E) Fact soc'!G228/C222</f>
        <v>20.482913210140449</v>
      </c>
      <c r="E222" s="141">
        <f>'H) Péréquation directe'!I233/C222</f>
        <v>-13.226372903614243</v>
      </c>
      <c r="F222" s="114">
        <f>+'I) Dépenses thématiques'!O222/'K) Plafonnement aide'!C222</f>
        <v>-13.730559874695439</v>
      </c>
      <c r="G222" s="141">
        <f t="shared" si="13"/>
        <v>-6.4740195681692327</v>
      </c>
      <c r="H222" s="114">
        <f t="shared" si="14"/>
        <v>7.2565403065262064</v>
      </c>
      <c r="I222" s="141">
        <f t="shared" si="15"/>
        <v>0</v>
      </c>
      <c r="J222" s="57">
        <f t="shared" si="16"/>
        <v>0</v>
      </c>
      <c r="K222" s="36"/>
    </row>
    <row r="223" spans="1:11" x14ac:dyDescent="0.25">
      <c r="A223" s="49">
        <f>'A) Base RI'!A225</f>
        <v>5756</v>
      </c>
      <c r="B223" s="285" t="str">
        <f>'A) Base RI'!B225</f>
        <v>Montcherand</v>
      </c>
      <c r="C223" s="98">
        <f>'B) D RI'!U225</f>
        <v>16429.064166666663</v>
      </c>
      <c r="D223" s="114">
        <f>'E) Fact soc'!G229/C223</f>
        <v>16.41951270932941</v>
      </c>
      <c r="E223" s="141">
        <f>'H) Péréquation directe'!I234/C223</f>
        <v>6.9387443581033397</v>
      </c>
      <c r="F223" s="114">
        <f>+'I) Dépenses thématiques'!O223/'K) Plafonnement aide'!C223</f>
        <v>-3.7916883472929221</v>
      </c>
      <c r="G223" s="141">
        <f t="shared" si="13"/>
        <v>19.566568720139827</v>
      </c>
      <c r="H223" s="114">
        <f t="shared" si="14"/>
        <v>23.358257067432749</v>
      </c>
      <c r="I223" s="141">
        <f t="shared" si="15"/>
        <v>0</v>
      </c>
      <c r="J223" s="57">
        <f t="shared" si="16"/>
        <v>0</v>
      </c>
      <c r="K223" s="36"/>
    </row>
    <row r="224" spans="1:11" x14ac:dyDescent="0.25">
      <c r="A224" s="49">
        <f>'A) Base RI'!A226</f>
        <v>5757</v>
      </c>
      <c r="B224" s="285" t="str">
        <f>'A) Base RI'!B226</f>
        <v>Orbe</v>
      </c>
      <c r="C224" s="98">
        <f>'B) D RI'!U226</f>
        <v>203622.90168831171</v>
      </c>
      <c r="D224" s="114">
        <f>'E) Fact soc'!G230/C224</f>
        <v>20.692712033443197</v>
      </c>
      <c r="E224" s="141">
        <f>'H) Péréquation directe'!I235/C224</f>
        <v>-9.7309500561803883</v>
      </c>
      <c r="F224" s="114">
        <f>+'I) Dépenses thématiques'!O224/'K) Plafonnement aide'!C224</f>
        <v>-7.6546236428684642</v>
      </c>
      <c r="G224" s="141">
        <f t="shared" si="13"/>
        <v>3.3071383343943443</v>
      </c>
      <c r="H224" s="114">
        <f t="shared" si="14"/>
        <v>10.961761977262809</v>
      </c>
      <c r="I224" s="141">
        <f t="shared" si="15"/>
        <v>0</v>
      </c>
      <c r="J224" s="57">
        <f t="shared" si="16"/>
        <v>0</v>
      </c>
      <c r="K224" s="36"/>
    </row>
    <row r="225" spans="1:11" x14ac:dyDescent="0.25">
      <c r="A225" s="49">
        <f>'A) Base RI'!A227</f>
        <v>5758</v>
      </c>
      <c r="B225" s="285" t="str">
        <f>'A) Base RI'!B227</f>
        <v>La Praz</v>
      </c>
      <c r="C225" s="98">
        <f>'B) D RI'!U227</f>
        <v>4513.7940160642565</v>
      </c>
      <c r="D225" s="114">
        <f>'E) Fact soc'!G231/C225</f>
        <v>21.312087190266542</v>
      </c>
      <c r="E225" s="141">
        <f>'H) Péréquation directe'!I236/C225</f>
        <v>-4.2962680515410572</v>
      </c>
      <c r="F225" s="114">
        <f>+'I) Dépenses thématiques'!O225/'K) Plafonnement aide'!C225</f>
        <v>-7.022088479213501</v>
      </c>
      <c r="G225" s="141">
        <f t="shared" si="13"/>
        <v>9.9937306595119821</v>
      </c>
      <c r="H225" s="114">
        <f t="shared" si="14"/>
        <v>17.015819138725483</v>
      </c>
      <c r="I225" s="141">
        <f t="shared" si="15"/>
        <v>0</v>
      </c>
      <c r="J225" s="57">
        <f t="shared" si="16"/>
        <v>0</v>
      </c>
      <c r="K225" s="36"/>
    </row>
    <row r="226" spans="1:11" x14ac:dyDescent="0.25">
      <c r="A226" s="49">
        <f>'A) Base RI'!A228</f>
        <v>5759</v>
      </c>
      <c r="B226" s="285" t="str">
        <f>'A) Base RI'!B228</f>
        <v>Premier</v>
      </c>
      <c r="C226" s="98">
        <f>'B) D RI'!U228</f>
        <v>5266.2719753086421</v>
      </c>
      <c r="D226" s="114">
        <f>'E) Fact soc'!G232/C226</f>
        <v>17.064420473740832</v>
      </c>
      <c r="E226" s="141">
        <f>'H) Péréquation directe'!I237/C226</f>
        <v>-9.1232012224321863</v>
      </c>
      <c r="F226" s="114">
        <f>+'I) Dépenses thématiques'!O226/'K) Plafonnement aide'!C226</f>
        <v>-9.8209908656521439</v>
      </c>
      <c r="G226" s="141">
        <f t="shared" si="13"/>
        <v>-1.8797716143434986</v>
      </c>
      <c r="H226" s="114">
        <f t="shared" si="14"/>
        <v>7.9412192513086453</v>
      </c>
      <c r="I226" s="141">
        <f t="shared" si="15"/>
        <v>0</v>
      </c>
      <c r="J226" s="57">
        <f t="shared" si="16"/>
        <v>0</v>
      </c>
      <c r="K226" s="36"/>
    </row>
    <row r="227" spans="1:11" x14ac:dyDescent="0.25">
      <c r="A227" s="49">
        <f>'A) Base RI'!A229</f>
        <v>5760</v>
      </c>
      <c r="B227" s="285" t="str">
        <f>'A) Base RI'!B229</f>
        <v>Rances</v>
      </c>
      <c r="C227" s="98">
        <f>'B) D RI'!U229</f>
        <v>12393.154658119658</v>
      </c>
      <c r="D227" s="114">
        <f>'E) Fact soc'!G233/C227</f>
        <v>16.007261665617246</v>
      </c>
      <c r="E227" s="141">
        <f>'H) Péréquation directe'!I238/C227</f>
        <v>-7.2805053270377051</v>
      </c>
      <c r="F227" s="114">
        <f>+'I) Dépenses thématiques'!O227/'K) Plafonnement aide'!C227</f>
        <v>-9.571048393043343</v>
      </c>
      <c r="G227" s="141">
        <f t="shared" si="13"/>
        <v>-0.84429205446380173</v>
      </c>
      <c r="H227" s="114">
        <f t="shared" si="14"/>
        <v>8.7267563385795413</v>
      </c>
      <c r="I227" s="141">
        <f t="shared" si="15"/>
        <v>0</v>
      </c>
      <c r="J227" s="57">
        <f t="shared" si="16"/>
        <v>0</v>
      </c>
      <c r="K227" s="36"/>
    </row>
    <row r="228" spans="1:11" x14ac:dyDescent="0.25">
      <c r="A228" s="49">
        <f>'A) Base RI'!A230</f>
        <v>5761</v>
      </c>
      <c r="B228" s="285" t="str">
        <f>'A) Base RI'!B230</f>
        <v>Romainmôtier-Envy</v>
      </c>
      <c r="C228" s="98">
        <f>'B) D RI'!U230</f>
        <v>12300.346363636363</v>
      </c>
      <c r="D228" s="114">
        <f>'E) Fact soc'!G234/C228</f>
        <v>20.531371592790485</v>
      </c>
      <c r="E228" s="141">
        <f>'H) Péréquation directe'!I239/C228</f>
        <v>-12.725694447526728</v>
      </c>
      <c r="F228" s="114">
        <f>+'I) Dépenses thématiques'!O228/'K) Plafonnement aide'!C228</f>
        <v>-11.000611752693818</v>
      </c>
      <c r="G228" s="141">
        <f t="shared" si="13"/>
        <v>-3.19493460743006</v>
      </c>
      <c r="H228" s="114">
        <f t="shared" si="14"/>
        <v>7.8056771452637577</v>
      </c>
      <c r="I228" s="141">
        <f t="shared" si="15"/>
        <v>0</v>
      </c>
      <c r="J228" s="57">
        <f t="shared" si="16"/>
        <v>0</v>
      </c>
      <c r="K228" s="36"/>
    </row>
    <row r="229" spans="1:11" x14ac:dyDescent="0.25">
      <c r="A229" s="49">
        <f>'A) Base RI'!A231</f>
        <v>5762</v>
      </c>
      <c r="B229" s="285" t="str">
        <f>'A) Base RI'!B231</f>
        <v>Sergey</v>
      </c>
      <c r="C229" s="98">
        <f>'B) D RI'!U231</f>
        <v>4008.7221794871789</v>
      </c>
      <c r="D229" s="114">
        <f>'E) Fact soc'!G235/C229</f>
        <v>15.589992746367928</v>
      </c>
      <c r="E229" s="141">
        <f>'H) Péréquation directe'!I240/C229</f>
        <v>-1.509512252090371</v>
      </c>
      <c r="F229" s="114">
        <f>+'I) Dépenses thématiques'!O229/'K) Plafonnement aide'!C229</f>
        <v>-0.37852068486908075</v>
      </c>
      <c r="G229" s="141">
        <f t="shared" si="13"/>
        <v>13.701959809408477</v>
      </c>
      <c r="H229" s="114">
        <f t="shared" si="14"/>
        <v>14.080480494277557</v>
      </c>
      <c r="I229" s="141">
        <f t="shared" si="15"/>
        <v>0</v>
      </c>
      <c r="J229" s="57">
        <f t="shared" si="16"/>
        <v>0</v>
      </c>
      <c r="K229" s="36"/>
    </row>
    <row r="230" spans="1:11" x14ac:dyDescent="0.25">
      <c r="A230" s="49">
        <f>'A) Base RI'!A232</f>
        <v>5763</v>
      </c>
      <c r="B230" s="285" t="str">
        <f>'A) Base RI'!B232</f>
        <v>Valeyres-sous-Rances</v>
      </c>
      <c r="C230" s="98">
        <f>'B) D RI'!U232</f>
        <v>21916.016764705884</v>
      </c>
      <c r="D230" s="114">
        <f>'E) Fact soc'!G236/C230</f>
        <v>16.021812851733657</v>
      </c>
      <c r="E230" s="141">
        <f>'H) Péréquation directe'!I241/C230</f>
        <v>10.353261465292093</v>
      </c>
      <c r="F230" s="114">
        <f>+'I) Dépenses thématiques'!O230/'K) Plafonnement aide'!C230</f>
        <v>-4.5435184491404916</v>
      </c>
      <c r="G230" s="141">
        <f t="shared" si="13"/>
        <v>21.831555867885257</v>
      </c>
      <c r="H230" s="114">
        <f t="shared" si="14"/>
        <v>26.375074317025749</v>
      </c>
      <c r="I230" s="141">
        <f t="shared" si="15"/>
        <v>0</v>
      </c>
      <c r="J230" s="57">
        <f t="shared" si="16"/>
        <v>0</v>
      </c>
      <c r="K230" s="36"/>
    </row>
    <row r="231" spans="1:11" x14ac:dyDescent="0.25">
      <c r="A231" s="49">
        <f>'A) Base RI'!A233</f>
        <v>5764</v>
      </c>
      <c r="B231" s="285" t="str">
        <f>'A) Base RI'!B233</f>
        <v>Vallorbe</v>
      </c>
      <c r="C231" s="98">
        <f>'B) D RI'!U233</f>
        <v>88041.024794520548</v>
      </c>
      <c r="D231" s="114">
        <f>'E) Fact soc'!G237/C231</f>
        <v>25.995136895461044</v>
      </c>
      <c r="E231" s="141">
        <f>'H) Péréquation directe'!I242/C231</f>
        <v>-16.763111683777712</v>
      </c>
      <c r="F231" s="114">
        <f>+'I) Dépenses thématiques'!O231/'K) Plafonnement aide'!C231</f>
        <v>-25.365124331119322</v>
      </c>
      <c r="G231" s="141">
        <f t="shared" si="13"/>
        <v>-16.13309911943599</v>
      </c>
      <c r="H231" s="114">
        <f t="shared" si="14"/>
        <v>9.2320252116833323</v>
      </c>
      <c r="I231" s="141">
        <f t="shared" si="15"/>
        <v>0</v>
      </c>
      <c r="J231" s="57">
        <f t="shared" si="16"/>
        <v>0</v>
      </c>
      <c r="K231" s="36"/>
    </row>
    <row r="232" spans="1:11" x14ac:dyDescent="0.25">
      <c r="A232" s="49">
        <f>'A) Base RI'!A234</f>
        <v>5765</v>
      </c>
      <c r="B232" s="285" t="str">
        <f>'A) Base RI'!B234</f>
        <v>Vaulion</v>
      </c>
      <c r="C232" s="98">
        <f>'B) D RI'!U234</f>
        <v>11969.433580246912</v>
      </c>
      <c r="D232" s="114">
        <f>'E) Fact soc'!G238/C232</f>
        <v>18.875503504190469</v>
      </c>
      <c r="E232" s="141">
        <f>'H) Péréquation directe'!I243/C232</f>
        <v>-9.9506989123736265</v>
      </c>
      <c r="F232" s="114">
        <f>+'I) Dépenses thématiques'!O232/'K) Plafonnement aide'!C232</f>
        <v>-11.025610099944858</v>
      </c>
      <c r="G232" s="141">
        <f t="shared" si="13"/>
        <v>-2.1008055081280155</v>
      </c>
      <c r="H232" s="114">
        <f t="shared" si="14"/>
        <v>8.9248045918168426</v>
      </c>
      <c r="I232" s="141">
        <f t="shared" si="15"/>
        <v>0</v>
      </c>
      <c r="J232" s="57">
        <f t="shared" si="16"/>
        <v>0</v>
      </c>
      <c r="K232" s="36"/>
    </row>
    <row r="233" spans="1:11" x14ac:dyDescent="0.25">
      <c r="A233" s="49">
        <f>'A) Base RI'!A235</f>
        <v>5766</v>
      </c>
      <c r="B233" s="285" t="str">
        <f>'A) Base RI'!B235</f>
        <v>Vuiteboeuf</v>
      </c>
      <c r="C233" s="98">
        <f>'B) D RI'!U235</f>
        <v>13963.194675324676</v>
      </c>
      <c r="D233" s="114">
        <f>'E) Fact soc'!G239/C233</f>
        <v>18.096572265458587</v>
      </c>
      <c r="E233" s="141">
        <f>'H) Péréquation directe'!I244/C233</f>
        <v>-7.3353874468063669</v>
      </c>
      <c r="F233" s="114">
        <f>+'I) Dépenses thématiques'!O233/'K) Plafonnement aide'!C233</f>
        <v>-6.9001156651329083</v>
      </c>
      <c r="G233" s="141">
        <f t="shared" si="13"/>
        <v>3.8610691535193116</v>
      </c>
      <c r="H233" s="114">
        <f t="shared" si="14"/>
        <v>10.76118481865222</v>
      </c>
      <c r="I233" s="141">
        <f t="shared" si="15"/>
        <v>0</v>
      </c>
      <c r="J233" s="57">
        <f t="shared" si="16"/>
        <v>0</v>
      </c>
      <c r="K233" s="36"/>
    </row>
    <row r="234" spans="1:11" x14ac:dyDescent="0.25">
      <c r="A234" s="49">
        <f>'A) Base RI'!A236</f>
        <v>5785</v>
      </c>
      <c r="B234" s="285" t="str">
        <f>'A) Base RI'!B236</f>
        <v>Corcelles-le-Jorat</v>
      </c>
      <c r="C234" s="98">
        <f>'B) D RI'!U236</f>
        <v>16982.100779220782</v>
      </c>
      <c r="D234" s="114">
        <f>'E) Fact soc'!G240/C234</f>
        <v>17.370745669029098</v>
      </c>
      <c r="E234" s="141">
        <f>'H) Péréquation directe'!I245/C234</f>
        <v>10.258267345878423</v>
      </c>
      <c r="F234" s="114">
        <f>+'I) Dépenses thématiques'!O234/'K) Plafonnement aide'!C234</f>
        <v>-4.4536417750399577</v>
      </c>
      <c r="G234" s="141">
        <f t="shared" si="13"/>
        <v>23.175371239867562</v>
      </c>
      <c r="H234" s="114">
        <f t="shared" si="14"/>
        <v>27.629013014907521</v>
      </c>
      <c r="I234" s="141">
        <f t="shared" si="15"/>
        <v>0</v>
      </c>
      <c r="J234" s="57">
        <f t="shared" si="16"/>
        <v>0</v>
      </c>
      <c r="K234" s="36"/>
    </row>
    <row r="235" spans="1:11" x14ac:dyDescent="0.25">
      <c r="A235" s="49">
        <f>'A) Base RI'!A237</f>
        <v>5788</v>
      </c>
      <c r="B235" s="285" t="str">
        <f>'A) Base RI'!B237</f>
        <v>Essertes</v>
      </c>
      <c r="C235" s="98">
        <f>'B) D RI'!U237</f>
        <v>12373.296527777777</v>
      </c>
      <c r="D235" s="114">
        <f>'E) Fact soc'!G241/C235</f>
        <v>18.70500878715184</v>
      </c>
      <c r="E235" s="141">
        <f>'H) Péréquation directe'!I246/C235</f>
        <v>6.9681543779398636</v>
      </c>
      <c r="F235" s="114">
        <f>+'I) Dépenses thématiques'!O235/'K) Plafonnement aide'!C235</f>
        <v>-2.5737344425551383</v>
      </c>
      <c r="G235" s="141">
        <f t="shared" si="13"/>
        <v>23.099428722536565</v>
      </c>
      <c r="H235" s="114">
        <f t="shared" si="14"/>
        <v>25.673163165091704</v>
      </c>
      <c r="I235" s="141">
        <f t="shared" si="15"/>
        <v>0</v>
      </c>
      <c r="J235" s="57">
        <f t="shared" si="16"/>
        <v>0</v>
      </c>
      <c r="K235" s="36"/>
    </row>
    <row r="236" spans="1:11" x14ac:dyDescent="0.25">
      <c r="A236" s="49">
        <f>'A) Base RI'!A238</f>
        <v>5790</v>
      </c>
      <c r="B236" s="285" t="str">
        <f>'A) Base RI'!B238</f>
        <v>Maracon</v>
      </c>
      <c r="C236" s="98">
        <f>'B) D RI'!U238</f>
        <v>14432.888421052632</v>
      </c>
      <c r="D236" s="114">
        <f>'E) Fact soc'!G242/C236</f>
        <v>23.125781069825194</v>
      </c>
      <c r="E236" s="141">
        <f>'H) Péréquation directe'!I247/C236</f>
        <v>-1.9798294717745353</v>
      </c>
      <c r="F236" s="114">
        <f>+'I) Dépenses thématiques'!O236/'K) Plafonnement aide'!C236</f>
        <v>-6.7112545614446892</v>
      </c>
      <c r="G236" s="141">
        <f t="shared" si="13"/>
        <v>14.434697036605968</v>
      </c>
      <c r="H236" s="114">
        <f t="shared" si="14"/>
        <v>21.145951598050658</v>
      </c>
      <c r="I236" s="141">
        <f t="shared" si="15"/>
        <v>0</v>
      </c>
      <c r="J236" s="57">
        <f t="shared" si="16"/>
        <v>0</v>
      </c>
      <c r="K236" s="36"/>
    </row>
    <row r="237" spans="1:11" x14ac:dyDescent="0.25">
      <c r="A237" s="49">
        <f>'A) Base RI'!A239</f>
        <v>5792</v>
      </c>
      <c r="B237" s="285" t="str">
        <f>'A) Base RI'!B239</f>
        <v>Montpreveyres</v>
      </c>
      <c r="C237" s="98">
        <f>'B) D RI'!U239</f>
        <v>20144.698311688313</v>
      </c>
      <c r="D237" s="114">
        <f>'E) Fact soc'!G243/C237</f>
        <v>17.697489707554322</v>
      </c>
      <c r="E237" s="141">
        <f>'H) Péréquation directe'!I248/C237</f>
        <v>3.3048521542401081</v>
      </c>
      <c r="F237" s="114">
        <f>+'I) Dépenses thématiques'!O237/'K) Plafonnement aide'!C237</f>
        <v>-6.328088843213993</v>
      </c>
      <c r="G237" s="141">
        <f t="shared" si="13"/>
        <v>14.674253018580437</v>
      </c>
      <c r="H237" s="114">
        <f t="shared" si="14"/>
        <v>21.002341861794431</v>
      </c>
      <c r="I237" s="141">
        <f t="shared" si="15"/>
        <v>0</v>
      </c>
      <c r="J237" s="57">
        <f t="shared" si="16"/>
        <v>0</v>
      </c>
      <c r="K237" s="36"/>
    </row>
    <row r="238" spans="1:11" x14ac:dyDescent="0.25">
      <c r="A238" s="49">
        <f>'A) Base RI'!A240</f>
        <v>5798</v>
      </c>
      <c r="B238" s="285" t="str">
        <f>'A) Base RI'!B240</f>
        <v>Ropraz</v>
      </c>
      <c r="C238" s="98">
        <f>'B) D RI'!U240</f>
        <v>14372.607741935482</v>
      </c>
      <c r="D238" s="114">
        <f>'E) Fact soc'!G244/C238</f>
        <v>15.271027915140314</v>
      </c>
      <c r="E238" s="141">
        <f>'H) Péréquation directe'!I249/C238</f>
        <v>1.4712678733049451</v>
      </c>
      <c r="F238" s="114">
        <f>+'I) Dépenses thématiques'!O238/'K) Plafonnement aide'!C238</f>
        <v>-3.8506317425165184</v>
      </c>
      <c r="G238" s="141">
        <f t="shared" si="13"/>
        <v>12.891664045928739</v>
      </c>
      <c r="H238" s="114">
        <f t="shared" si="14"/>
        <v>16.742295788445258</v>
      </c>
      <c r="I238" s="141">
        <f t="shared" si="15"/>
        <v>0</v>
      </c>
      <c r="J238" s="57">
        <f t="shared" si="16"/>
        <v>0</v>
      </c>
      <c r="K238" s="36"/>
    </row>
    <row r="239" spans="1:11" x14ac:dyDescent="0.25">
      <c r="A239" s="49">
        <f>'A) Base RI'!A241</f>
        <v>5799</v>
      </c>
      <c r="B239" s="285" t="str">
        <f>'A) Base RI'!B241</f>
        <v>Servion</v>
      </c>
      <c r="C239" s="98">
        <f>'B) D RI'!U241</f>
        <v>71130.218550724647</v>
      </c>
      <c r="D239" s="114">
        <f>'E) Fact soc'!G245/C239</f>
        <v>17.817197380404505</v>
      </c>
      <c r="E239" s="141">
        <f>'H) Péréquation directe'!I250/C239</f>
        <v>7.220501061815888</v>
      </c>
      <c r="F239" s="114">
        <f>+'I) Dépenses thématiques'!O239/'K) Plafonnement aide'!C239</f>
        <v>-3.4685163700972512</v>
      </c>
      <c r="G239" s="141">
        <f t="shared" si="13"/>
        <v>21.569182072123141</v>
      </c>
      <c r="H239" s="114">
        <f t="shared" si="14"/>
        <v>25.037698442220393</v>
      </c>
      <c r="I239" s="141">
        <f t="shared" si="15"/>
        <v>0</v>
      </c>
      <c r="J239" s="57">
        <f t="shared" si="16"/>
        <v>0</v>
      </c>
      <c r="K239" s="36"/>
    </row>
    <row r="240" spans="1:11" x14ac:dyDescent="0.25">
      <c r="A240" s="49">
        <f>'A) Base RI'!A242</f>
        <v>5803</v>
      </c>
      <c r="B240" s="285" t="str">
        <f>'A) Base RI'!B242</f>
        <v>Vulliens</v>
      </c>
      <c r="C240" s="98">
        <f>'B) D RI'!U242</f>
        <v>17471.95461538462</v>
      </c>
      <c r="D240" s="114">
        <f>'E) Fact soc'!G246/C240</f>
        <v>15.276177514953789</v>
      </c>
      <c r="E240" s="141">
        <f>'H) Péréquation directe'!I251/C240</f>
        <v>-0.21200914395132811</v>
      </c>
      <c r="F240" s="114">
        <f>+'I) Dépenses thématiques'!O240/'K) Plafonnement aide'!C240</f>
        <v>-5.9524733351398647</v>
      </c>
      <c r="G240" s="141">
        <f t="shared" si="13"/>
        <v>9.1116950358625957</v>
      </c>
      <c r="H240" s="114">
        <f t="shared" si="14"/>
        <v>15.064168371002459</v>
      </c>
      <c r="I240" s="141">
        <f t="shared" si="15"/>
        <v>0</v>
      </c>
      <c r="J240" s="57">
        <f t="shared" si="16"/>
        <v>0</v>
      </c>
      <c r="K240" s="36"/>
    </row>
    <row r="241" spans="1:11" x14ac:dyDescent="0.25">
      <c r="A241" s="49">
        <f>'A) Base RI'!A243</f>
        <v>5804</v>
      </c>
      <c r="B241" s="285" t="str">
        <f>'A) Base RI'!B243</f>
        <v>Jorat-Menthue</v>
      </c>
      <c r="C241" s="98">
        <f>'B) D RI'!U243</f>
        <v>44252.610972222225</v>
      </c>
      <c r="D241" s="114">
        <f>'E) Fact soc'!G247/C241</f>
        <v>16.734148045869542</v>
      </c>
      <c r="E241" s="141">
        <f>'H) Péréquation directe'!I252/C241</f>
        <v>-1.7801354831919733</v>
      </c>
      <c r="F241" s="114">
        <f>+'I) Dépenses thématiques'!O241/'K) Plafonnement aide'!C241</f>
        <v>-26.910298169181026</v>
      </c>
      <c r="G241" s="141">
        <f t="shared" si="13"/>
        <v>-11.956285606503457</v>
      </c>
      <c r="H241" s="114">
        <f t="shared" si="14"/>
        <v>14.954012562677569</v>
      </c>
      <c r="I241" s="141">
        <f t="shared" si="15"/>
        <v>0</v>
      </c>
      <c r="J241" s="57">
        <f t="shared" si="16"/>
        <v>0</v>
      </c>
      <c r="K241" s="36"/>
    </row>
    <row r="242" spans="1:11" x14ac:dyDescent="0.25">
      <c r="A242" s="49">
        <f>'A) Base RI'!A244</f>
        <v>5805</v>
      </c>
      <c r="B242" s="285" t="str">
        <f>'A) Base RI'!B244</f>
        <v>Oron</v>
      </c>
      <c r="C242" s="98">
        <f>'B) D RI'!U244</f>
        <v>158737.86322793149</v>
      </c>
      <c r="D242" s="114">
        <f>'E) Fact soc'!G248/C242</f>
        <v>18.993128719760293</v>
      </c>
      <c r="E242" s="141">
        <f>'H) Péréquation directe'!I253/C242</f>
        <v>-6.9638955246748964</v>
      </c>
      <c r="F242" s="114">
        <f>+'I) Dépenses thématiques'!O242/'K) Plafonnement aide'!C242</f>
        <v>-5.0024264653713955</v>
      </c>
      <c r="G242" s="141">
        <f t="shared" si="13"/>
        <v>7.0268067297140009</v>
      </c>
      <c r="H242" s="114">
        <f t="shared" si="14"/>
        <v>12.029233195085396</v>
      </c>
      <c r="I242" s="141">
        <f t="shared" si="15"/>
        <v>0</v>
      </c>
      <c r="J242" s="57">
        <f t="shared" si="16"/>
        <v>0</v>
      </c>
      <c r="K242" s="36"/>
    </row>
    <row r="243" spans="1:11" x14ac:dyDescent="0.25">
      <c r="A243" s="49">
        <f>'A) Base RI'!A245</f>
        <v>5806</v>
      </c>
      <c r="B243" s="285" t="str">
        <f>'A) Base RI'!B245</f>
        <v>Jorat-Mézières</v>
      </c>
      <c r="C243" s="98">
        <f>'B) D RI'!U245</f>
        <v>92100.572236842127</v>
      </c>
      <c r="D243" s="114">
        <f>'E) Fact soc'!G249/C243</f>
        <v>16.646062473496436</v>
      </c>
      <c r="E243" s="141">
        <f>'H) Péréquation directe'!I254/C243</f>
        <v>-0.43957648781437231</v>
      </c>
      <c r="F243" s="114">
        <f>+'I) Dépenses thématiques'!O243/'K) Plafonnement aide'!C243</f>
        <v>-3.7479541356746298</v>
      </c>
      <c r="G243" s="141">
        <f t="shared" si="13"/>
        <v>12.458531850007436</v>
      </c>
      <c r="H243" s="114">
        <f t="shared" si="14"/>
        <v>16.206485985682065</v>
      </c>
      <c r="I243" s="141">
        <f t="shared" si="15"/>
        <v>0</v>
      </c>
      <c r="J243" s="57">
        <f t="shared" si="16"/>
        <v>0</v>
      </c>
      <c r="K243" s="36"/>
    </row>
    <row r="244" spans="1:11" x14ac:dyDescent="0.25">
      <c r="A244" s="49">
        <f>'A) Base RI'!A246</f>
        <v>5812</v>
      </c>
      <c r="B244" s="285" t="str">
        <f>'A) Base RI'!B246</f>
        <v>Champtauroz</v>
      </c>
      <c r="C244" s="98">
        <f>'B) D RI'!U246</f>
        <v>3697.8804870129875</v>
      </c>
      <c r="D244" s="114">
        <f>'E) Fact soc'!G250/C244</f>
        <v>23.132223016200921</v>
      </c>
      <c r="E244" s="141">
        <f>'H) Péréquation directe'!I255/C244</f>
        <v>0.17430876332553621</v>
      </c>
      <c r="F244" s="114">
        <f>+'I) Dépenses thématiques'!O244/'K) Plafonnement aide'!C244</f>
        <v>-3.6187278032917609</v>
      </c>
      <c r="G244" s="141">
        <f t="shared" si="13"/>
        <v>19.687803976234697</v>
      </c>
      <c r="H244" s="114">
        <f t="shared" si="14"/>
        <v>23.306531779526459</v>
      </c>
      <c r="I244" s="141">
        <f t="shared" si="15"/>
        <v>0</v>
      </c>
      <c r="J244" s="57">
        <f t="shared" si="16"/>
        <v>0</v>
      </c>
      <c r="K244" s="36"/>
    </row>
    <row r="245" spans="1:11" x14ac:dyDescent="0.25">
      <c r="A245" s="49">
        <f>'A) Base RI'!A247</f>
        <v>5813</v>
      </c>
      <c r="B245" s="285" t="str">
        <f>'A) Base RI'!B247</f>
        <v>Chevroux</v>
      </c>
      <c r="C245" s="98">
        <f>'B) D RI'!U247</f>
        <v>14717.819857142857</v>
      </c>
      <c r="D245" s="114">
        <f>'E) Fact soc'!G251/C245</f>
        <v>16.053781517470501</v>
      </c>
      <c r="E245" s="141">
        <f>'H) Péréquation directe'!I256/C245</f>
        <v>4.6450864176636646</v>
      </c>
      <c r="F245" s="114">
        <f>+'I) Dépenses thématiques'!O245/'K) Plafonnement aide'!C245</f>
        <v>-3.4446077674912501</v>
      </c>
      <c r="G245" s="141">
        <f t="shared" si="13"/>
        <v>17.254260167642919</v>
      </c>
      <c r="H245" s="114">
        <f t="shared" si="14"/>
        <v>20.698867935134167</v>
      </c>
      <c r="I245" s="141">
        <f t="shared" si="15"/>
        <v>0</v>
      </c>
      <c r="J245" s="57">
        <f t="shared" si="16"/>
        <v>0</v>
      </c>
      <c r="K245" s="36"/>
    </row>
    <row r="246" spans="1:11" x14ac:dyDescent="0.25">
      <c r="A246" s="49">
        <f>'A) Base RI'!A248</f>
        <v>5816</v>
      </c>
      <c r="B246" s="285" t="str">
        <f>'A) Base RI'!B248</f>
        <v>Corcelles-près-Payerne</v>
      </c>
      <c r="C246" s="98">
        <f>'B) D RI'!U248</f>
        <v>60753.42418367348</v>
      </c>
      <c r="D246" s="114">
        <f>'E) Fact soc'!G252/C246</f>
        <v>21.747019885397187</v>
      </c>
      <c r="E246" s="141">
        <f>'H) Péréquation directe'!I257/C246</f>
        <v>-10.446826137819441</v>
      </c>
      <c r="F246" s="114">
        <f>+'I) Dépenses thématiques'!O246/'K) Plafonnement aide'!C246</f>
        <v>-7.7380831837806436</v>
      </c>
      <c r="G246" s="141">
        <f t="shared" si="13"/>
        <v>3.562110563797102</v>
      </c>
      <c r="H246" s="114">
        <f t="shared" si="14"/>
        <v>11.300193747577746</v>
      </c>
      <c r="I246" s="141">
        <f t="shared" si="15"/>
        <v>0</v>
      </c>
      <c r="J246" s="57">
        <f t="shared" si="16"/>
        <v>0</v>
      </c>
      <c r="K246" s="36"/>
    </row>
    <row r="247" spans="1:11" x14ac:dyDescent="0.25">
      <c r="A247" s="49">
        <f>'A) Base RI'!A249</f>
        <v>5817</v>
      </c>
      <c r="B247" s="285" t="str">
        <f>'A) Base RI'!B249</f>
        <v>Grandcour</v>
      </c>
      <c r="C247" s="98">
        <f>'B) D RI'!U249</f>
        <v>21844.312857142857</v>
      </c>
      <c r="D247" s="114">
        <f>'E) Fact soc'!G253/C247</f>
        <v>15.788336850776794</v>
      </c>
      <c r="E247" s="141">
        <f>'H) Péréquation directe'!I258/C247</f>
        <v>-10.26190087237798</v>
      </c>
      <c r="F247" s="114">
        <f>+'I) Dépenses thématiques'!O247/'K) Plafonnement aide'!C247</f>
        <v>-6.9028951910295486</v>
      </c>
      <c r="G247" s="141">
        <f t="shared" si="13"/>
        <v>-1.3764592126307349</v>
      </c>
      <c r="H247" s="114">
        <f t="shared" si="14"/>
        <v>5.5264359783988137</v>
      </c>
      <c r="I247" s="141">
        <f t="shared" si="15"/>
        <v>0</v>
      </c>
      <c r="J247" s="57">
        <f t="shared" si="16"/>
        <v>0</v>
      </c>
      <c r="K247" s="36"/>
    </row>
    <row r="248" spans="1:11" x14ac:dyDescent="0.25">
      <c r="A248" s="49">
        <f>'A) Base RI'!A250</f>
        <v>5819</v>
      </c>
      <c r="B248" s="285" t="str">
        <f>'A) Base RI'!B250</f>
        <v>Henniez</v>
      </c>
      <c r="C248" s="98">
        <f>'B) D RI'!U250</f>
        <v>12524.767971014497</v>
      </c>
      <c r="D248" s="114">
        <f>'E) Fact soc'!G254/C248</f>
        <v>17.249683484390392</v>
      </c>
      <c r="E248" s="141">
        <f>'H) Péréquation directe'!I259/C248</f>
        <v>8.4176722327439659</v>
      </c>
      <c r="F248" s="114">
        <f>+'I) Dépenses thématiques'!O248/'K) Plafonnement aide'!C248</f>
        <v>-5.9860394413366844</v>
      </c>
      <c r="G248" s="141">
        <f t="shared" si="13"/>
        <v>19.68131627579767</v>
      </c>
      <c r="H248" s="114">
        <f t="shared" si="14"/>
        <v>25.667355717134356</v>
      </c>
      <c r="I248" s="141">
        <f t="shared" si="15"/>
        <v>0</v>
      </c>
      <c r="J248" s="57">
        <f t="shared" si="16"/>
        <v>0</v>
      </c>
      <c r="K248" s="36"/>
    </row>
    <row r="249" spans="1:11" x14ac:dyDescent="0.25">
      <c r="A249" s="49">
        <f>'A) Base RI'!A251</f>
        <v>5821</v>
      </c>
      <c r="B249" s="285" t="str">
        <f>'A) Base RI'!B251</f>
        <v>Missy</v>
      </c>
      <c r="C249" s="98">
        <f>'B) D RI'!U251</f>
        <v>8359.2275000000009</v>
      </c>
      <c r="D249" s="114">
        <f>'E) Fact soc'!G255/C249</f>
        <v>14.908296743082245</v>
      </c>
      <c r="E249" s="141">
        <f>'H) Péréquation directe'!I260/C249</f>
        <v>-6.7958840655657369</v>
      </c>
      <c r="F249" s="114">
        <f>+'I) Dépenses thématiques'!O249/'K) Plafonnement aide'!C249</f>
        <v>-2.2008493310547372</v>
      </c>
      <c r="G249" s="141">
        <f t="shared" si="13"/>
        <v>5.9115633464617705</v>
      </c>
      <c r="H249" s="114">
        <f t="shared" si="14"/>
        <v>8.1124126775165077</v>
      </c>
      <c r="I249" s="141">
        <f t="shared" si="15"/>
        <v>0</v>
      </c>
      <c r="J249" s="57">
        <f t="shared" si="16"/>
        <v>0</v>
      </c>
      <c r="K249" s="36"/>
    </row>
    <row r="250" spans="1:11" x14ac:dyDescent="0.25">
      <c r="A250" s="49">
        <f>'A) Base RI'!A252</f>
        <v>5822</v>
      </c>
      <c r="B250" s="285" t="str">
        <f>'A) Base RI'!B252</f>
        <v>Payerne</v>
      </c>
      <c r="C250" s="98">
        <f>'B) D RI'!U252</f>
        <v>246662.05359999998</v>
      </c>
      <c r="D250" s="114">
        <f>'E) Fact soc'!G256/C250</f>
        <v>17.153733781329567</v>
      </c>
      <c r="E250" s="141">
        <f>'H) Péréquation directe'!I261/C250</f>
        <v>-21.505571161691972</v>
      </c>
      <c r="F250" s="114">
        <f>+'I) Dépenses thématiques'!O250/'K) Plafonnement aide'!C250</f>
        <v>-6.8394892729441814</v>
      </c>
      <c r="G250" s="141">
        <f t="shared" si="13"/>
        <v>-11.191326653306586</v>
      </c>
      <c r="H250" s="114">
        <f t="shared" si="14"/>
        <v>-4.3518373803624044</v>
      </c>
      <c r="I250" s="141">
        <f t="shared" si="15"/>
        <v>0</v>
      </c>
      <c r="J250" s="57">
        <f t="shared" si="16"/>
        <v>0</v>
      </c>
      <c r="K250" s="36"/>
    </row>
    <row r="251" spans="1:11" x14ac:dyDescent="0.25">
      <c r="A251" s="49">
        <f>'A) Base RI'!A253</f>
        <v>5827</v>
      </c>
      <c r="B251" s="285" t="str">
        <f>'A) Base RI'!B253</f>
        <v>Trey</v>
      </c>
      <c r="C251" s="98">
        <f>'B) D RI'!U253</f>
        <v>6768.899124999999</v>
      </c>
      <c r="D251" s="114">
        <f>'E) Fact soc'!G257/C251</f>
        <v>16.190137468936058</v>
      </c>
      <c r="E251" s="141">
        <f>'H) Péréquation directe'!I262/C251</f>
        <v>-10.22157115283729</v>
      </c>
      <c r="F251" s="114">
        <f>+'I) Dépenses thématiques'!O251/'K) Plafonnement aide'!C251</f>
        <v>-7.9160695279002136</v>
      </c>
      <c r="G251" s="141">
        <f t="shared" si="13"/>
        <v>-1.9475032118014459</v>
      </c>
      <c r="H251" s="114">
        <f t="shared" si="14"/>
        <v>5.9685663160987676</v>
      </c>
      <c r="I251" s="141">
        <f t="shared" si="15"/>
        <v>0</v>
      </c>
      <c r="J251" s="57">
        <f t="shared" si="16"/>
        <v>0</v>
      </c>
      <c r="K251" s="36"/>
    </row>
    <row r="252" spans="1:11" x14ac:dyDescent="0.25">
      <c r="A252" s="49">
        <f>'A) Base RI'!A254</f>
        <v>5828</v>
      </c>
      <c r="B252" s="285" t="str">
        <f>'A) Base RI'!B254</f>
        <v>Treytorrens (Payerne)</v>
      </c>
      <c r="C252" s="98">
        <f>'B) D RI'!U254</f>
        <v>2424.4907539682545</v>
      </c>
      <c r="D252" s="114">
        <f>'E) Fact soc'!G258/C252</f>
        <v>21.282318433294929</v>
      </c>
      <c r="E252" s="141">
        <f>'H) Péréquation directe'!I263/C252</f>
        <v>-18.082822672932469</v>
      </c>
      <c r="F252" s="114">
        <f>+'I) Dépenses thématiques'!O252/'K) Plafonnement aide'!C252</f>
        <v>-13.167457944367776</v>
      </c>
      <c r="G252" s="141">
        <f t="shared" si="13"/>
        <v>-9.9679621840053159</v>
      </c>
      <c r="H252" s="114">
        <f t="shared" si="14"/>
        <v>3.1994957603624599</v>
      </c>
      <c r="I252" s="141">
        <f t="shared" si="15"/>
        <v>0</v>
      </c>
      <c r="J252" s="57">
        <f t="shared" si="16"/>
        <v>0</v>
      </c>
      <c r="K252" s="36"/>
    </row>
    <row r="253" spans="1:11" x14ac:dyDescent="0.25">
      <c r="A253" s="49">
        <f>'A) Base RI'!A255</f>
        <v>5830</v>
      </c>
      <c r="B253" s="285" t="str">
        <f>'A) Base RI'!B255</f>
        <v>Villarzel</v>
      </c>
      <c r="C253" s="98">
        <f>'B) D RI'!U255</f>
        <v>13652.802077922079</v>
      </c>
      <c r="D253" s="114">
        <f>'E) Fact soc'!G259/C253</f>
        <v>17.680513807062393</v>
      </c>
      <c r="E253" s="141">
        <f>'H) Péréquation directe'!I264/C253</f>
        <v>2.7881052520134353</v>
      </c>
      <c r="F253" s="114">
        <f>+'I) Dépenses thématiques'!O253/'K) Plafonnement aide'!C253</f>
        <v>-6.4404761908725199</v>
      </c>
      <c r="G253" s="141">
        <f t="shared" si="13"/>
        <v>14.028142868203307</v>
      </c>
      <c r="H253" s="114">
        <f t="shared" si="14"/>
        <v>20.468619059075827</v>
      </c>
      <c r="I253" s="141">
        <f t="shared" si="15"/>
        <v>0</v>
      </c>
      <c r="J253" s="57">
        <f t="shared" si="16"/>
        <v>0</v>
      </c>
      <c r="K253" s="36"/>
    </row>
    <row r="254" spans="1:11" x14ac:dyDescent="0.25">
      <c r="A254" s="49">
        <f>'A) Base RI'!A256</f>
        <v>5831</v>
      </c>
      <c r="B254" s="285" t="str">
        <f>'A) Base RI'!B256</f>
        <v>Valbroye</v>
      </c>
      <c r="C254" s="98">
        <f>'B) D RI'!U256</f>
        <v>90573.475753424646</v>
      </c>
      <c r="D254" s="114">
        <f>'E) Fact soc'!G260/C254</f>
        <v>17.949874724004793</v>
      </c>
      <c r="E254" s="141">
        <f>'H) Péréquation directe'!I265/C254</f>
        <v>-5.8738811473182269</v>
      </c>
      <c r="F254" s="114">
        <f>+'I) Dépenses thématiques'!O254/'K) Plafonnement aide'!C254</f>
        <v>-9.873305576122295</v>
      </c>
      <c r="G254" s="141">
        <f t="shared" si="13"/>
        <v>2.2026880005642724</v>
      </c>
      <c r="H254" s="114">
        <f t="shared" si="14"/>
        <v>12.075993576686567</v>
      </c>
      <c r="I254" s="141">
        <f t="shared" si="15"/>
        <v>0</v>
      </c>
      <c r="J254" s="57">
        <f t="shared" si="16"/>
        <v>0</v>
      </c>
      <c r="K254" s="36"/>
    </row>
    <row r="255" spans="1:11" x14ac:dyDescent="0.25">
      <c r="A255" s="49">
        <f>'A) Base RI'!A257</f>
        <v>5841</v>
      </c>
      <c r="B255" s="285" t="str">
        <f>'A) Base RI'!B257</f>
        <v>Château-d'Oex</v>
      </c>
      <c r="C255" s="98">
        <f>'B) D RI'!U257</f>
        <v>118643.61518072287</v>
      </c>
      <c r="D255" s="114">
        <f>'E) Fact soc'!G261/C255</f>
        <v>17.572690362902627</v>
      </c>
      <c r="E255" s="141">
        <f>'H) Péréquation directe'!I266/C255</f>
        <v>0.73975330610699563</v>
      </c>
      <c r="F255" s="114">
        <f>+'I) Dépenses thématiques'!O255/'K) Plafonnement aide'!C255</f>
        <v>-17.862621695038904</v>
      </c>
      <c r="G255" s="141">
        <f t="shared" si="13"/>
        <v>0.44982197397071744</v>
      </c>
      <c r="H255" s="114">
        <f t="shared" si="14"/>
        <v>18.312443669009621</v>
      </c>
      <c r="I255" s="141">
        <f t="shared" si="15"/>
        <v>0</v>
      </c>
      <c r="J255" s="57">
        <f t="shared" si="16"/>
        <v>0</v>
      </c>
      <c r="K255" s="36"/>
    </row>
    <row r="256" spans="1:11" x14ac:dyDescent="0.25">
      <c r="A256" s="49">
        <f>'A) Base RI'!A258</f>
        <v>5842</v>
      </c>
      <c r="B256" s="285" t="str">
        <f>'A) Base RI'!B258</f>
        <v>Rossinière</v>
      </c>
      <c r="C256" s="98">
        <f>'B) D RI'!U258</f>
        <v>13727.475720164608</v>
      </c>
      <c r="D256" s="114">
        <f>'E) Fact soc'!G262/C256</f>
        <v>16.431464059407876</v>
      </c>
      <c r="E256" s="141">
        <f>'H) Péréquation directe'!I267/C256</f>
        <v>-7.9003910838786</v>
      </c>
      <c r="F256" s="114">
        <f>+'I) Dépenses thématiques'!O256/'K) Plafonnement aide'!C256</f>
        <v>-20.35634353596355</v>
      </c>
      <c r="G256" s="141">
        <f t="shared" si="13"/>
        <v>-11.825270560434273</v>
      </c>
      <c r="H256" s="114">
        <f t="shared" si="14"/>
        <v>8.5310729755292769</v>
      </c>
      <c r="I256" s="141">
        <f t="shared" si="15"/>
        <v>0</v>
      </c>
      <c r="J256" s="57">
        <f t="shared" si="16"/>
        <v>0</v>
      </c>
      <c r="K256" s="36"/>
    </row>
    <row r="257" spans="1:11" x14ac:dyDescent="0.25">
      <c r="A257" s="49">
        <f>'A) Base RI'!A259</f>
        <v>5843</v>
      </c>
      <c r="B257" s="285" t="str">
        <f>'A) Base RI'!B259</f>
        <v>Rougemont</v>
      </c>
      <c r="C257" s="98">
        <f>'B) D RI'!U259</f>
        <v>86224.81779279279</v>
      </c>
      <c r="D257" s="114">
        <f>'E) Fact soc'!G263/C257</f>
        <v>38.955098802587301</v>
      </c>
      <c r="E257" s="141">
        <f>'H) Péréquation directe'!I268/C257</f>
        <v>18.756592734212866</v>
      </c>
      <c r="F257" s="114">
        <f>+'I) Dépenses thématiques'!O257/'K) Plafonnement aide'!C257</f>
        <v>-3.8673880641852176</v>
      </c>
      <c r="G257" s="141">
        <f t="shared" si="13"/>
        <v>53.844303472614946</v>
      </c>
      <c r="H257" s="114">
        <f t="shared" si="14"/>
        <v>57.711691536800167</v>
      </c>
      <c r="I257" s="141">
        <f t="shared" si="15"/>
        <v>0</v>
      </c>
      <c r="J257" s="57">
        <f t="shared" si="16"/>
        <v>0</v>
      </c>
      <c r="K257" s="36"/>
    </row>
    <row r="258" spans="1:11" x14ac:dyDescent="0.25">
      <c r="A258" s="49">
        <f>'A) Base RI'!A260</f>
        <v>5851</v>
      </c>
      <c r="B258" s="285" t="str">
        <f>'A) Base RI'!B260</f>
        <v>Allaman</v>
      </c>
      <c r="C258" s="98">
        <f>'B) D RI'!U260</f>
        <v>23662.073064516131</v>
      </c>
      <c r="D258" s="114">
        <f>'E) Fact soc'!G264/C258</f>
        <v>24.273364311277444</v>
      </c>
      <c r="E258" s="141">
        <f>'H) Péréquation directe'!I269/C258</f>
        <v>17.612201786249056</v>
      </c>
      <c r="F258" s="114">
        <f>+'I) Dépenses thématiques'!O258/'K) Plafonnement aide'!C258</f>
        <v>0</v>
      </c>
      <c r="G258" s="141">
        <f t="shared" si="13"/>
        <v>41.8855660975265</v>
      </c>
      <c r="H258" s="114">
        <f t="shared" si="14"/>
        <v>41.8855660975265</v>
      </c>
      <c r="I258" s="141">
        <f t="shared" si="15"/>
        <v>0</v>
      </c>
      <c r="J258" s="57">
        <f t="shared" si="16"/>
        <v>0</v>
      </c>
      <c r="K258" s="36"/>
    </row>
    <row r="259" spans="1:11" x14ac:dyDescent="0.25">
      <c r="A259" s="49">
        <f>'A) Base RI'!A261</f>
        <v>5852</v>
      </c>
      <c r="B259" s="285" t="str">
        <f>'A) Base RI'!B261</f>
        <v>Bursinel</v>
      </c>
      <c r="C259" s="98">
        <f>'B) D RI'!U261</f>
        <v>39686.843918575076</v>
      </c>
      <c r="D259" s="114">
        <f>'E) Fact soc'!G265/C259</f>
        <v>29.474805679776054</v>
      </c>
      <c r="E259" s="141">
        <f>'H) Péréquation directe'!I270/C259</f>
        <v>18.50940859113253</v>
      </c>
      <c r="F259" s="114">
        <f>+'I) Dépenses thématiques'!O259/'K) Plafonnement aide'!C259</f>
        <v>0</v>
      </c>
      <c r="G259" s="141">
        <f t="shared" si="13"/>
        <v>47.984214270908581</v>
      </c>
      <c r="H259" s="114">
        <f t="shared" si="14"/>
        <v>47.984214270908581</v>
      </c>
      <c r="I259" s="141">
        <f t="shared" si="15"/>
        <v>0</v>
      </c>
      <c r="J259" s="57">
        <f t="shared" si="16"/>
        <v>0</v>
      </c>
      <c r="K259" s="36"/>
    </row>
    <row r="260" spans="1:11" x14ac:dyDescent="0.25">
      <c r="A260" s="49">
        <f>'A) Base RI'!A262</f>
        <v>5853</v>
      </c>
      <c r="B260" s="285" t="str">
        <f>'A) Base RI'!B262</f>
        <v>Bursins</v>
      </c>
      <c r="C260" s="98">
        <f>'B) D RI'!U262</f>
        <v>36429.778873239433</v>
      </c>
      <c r="D260" s="114">
        <f>'E) Fact soc'!G266/C260</f>
        <v>19.659728750701642</v>
      </c>
      <c r="E260" s="141">
        <f>'H) Péréquation directe'!I271/C260</f>
        <v>17.078874486757432</v>
      </c>
      <c r="F260" s="114">
        <f>+'I) Dépenses thématiques'!O260/'K) Plafonnement aide'!C260</f>
        <v>-0.69335499983166726</v>
      </c>
      <c r="G260" s="141">
        <f t="shared" si="13"/>
        <v>36.045248237627405</v>
      </c>
      <c r="H260" s="114">
        <f t="shared" si="14"/>
        <v>36.738603237459074</v>
      </c>
      <c r="I260" s="141">
        <f t="shared" si="15"/>
        <v>0</v>
      </c>
      <c r="J260" s="57">
        <f t="shared" si="16"/>
        <v>0</v>
      </c>
      <c r="K260" s="36"/>
    </row>
    <row r="261" spans="1:11" x14ac:dyDescent="0.25">
      <c r="A261" s="49">
        <f>'A) Base RI'!A263</f>
        <v>5854</v>
      </c>
      <c r="B261" s="285" t="str">
        <f>'A) Base RI'!B263</f>
        <v>Burtigny</v>
      </c>
      <c r="C261" s="98">
        <f>'B) D RI'!U263</f>
        <v>11092.867583333333</v>
      </c>
      <c r="D261" s="114">
        <f>'E) Fact soc'!G267/C261</f>
        <v>23.501504206197243</v>
      </c>
      <c r="E261" s="141">
        <f>'H) Péréquation directe'!I272/C261</f>
        <v>-1.0535652746851416</v>
      </c>
      <c r="F261" s="114">
        <f>+'I) Dépenses thématiques'!O261/'K) Plafonnement aide'!C261</f>
        <v>-4.7448113276204289</v>
      </c>
      <c r="G261" s="141">
        <f t="shared" si="13"/>
        <v>17.703127603891673</v>
      </c>
      <c r="H261" s="114">
        <f t="shared" si="14"/>
        <v>22.447938931512102</v>
      </c>
      <c r="I261" s="141">
        <f t="shared" si="15"/>
        <v>0</v>
      </c>
      <c r="J261" s="57">
        <f t="shared" si="16"/>
        <v>0</v>
      </c>
      <c r="K261" s="36"/>
    </row>
    <row r="262" spans="1:11" x14ac:dyDescent="0.25">
      <c r="A262" s="49">
        <f>'A) Base RI'!A264</f>
        <v>5855</v>
      </c>
      <c r="B262" s="285" t="str">
        <f>'A) Base RI'!B264</f>
        <v>Dully</v>
      </c>
      <c r="C262" s="98">
        <f>'B) D RI'!U264</f>
        <v>79675.83</v>
      </c>
      <c r="D262" s="114">
        <f>'E) Fact soc'!G268/C262</f>
        <v>30.417116673261575</v>
      </c>
      <c r="E262" s="141">
        <f>'H) Péréquation directe'!I273/C262</f>
        <v>18.99914839447856</v>
      </c>
      <c r="F262" s="114">
        <f>+'I) Dépenses thématiques'!O262/'K) Plafonnement aide'!C262</f>
        <v>0</v>
      </c>
      <c r="G262" s="141">
        <f t="shared" ref="G262:G313" si="17">SUM(D262:F262)</f>
        <v>49.416265067740134</v>
      </c>
      <c r="H262" s="114">
        <f t="shared" ref="H262:H313" si="18">G262-F262</f>
        <v>49.416265067740134</v>
      </c>
      <c r="I262" s="141">
        <f t="shared" ref="I262:I313" si="19">IF(H262&lt;I$4,H262-I$4,0)</f>
        <v>0</v>
      </c>
      <c r="J262" s="57">
        <f t="shared" ref="J262:J313" si="20">-I262*C262</f>
        <v>0</v>
      </c>
      <c r="K262" s="36"/>
    </row>
    <row r="263" spans="1:11" x14ac:dyDescent="0.25">
      <c r="A263" s="49">
        <f>'A) Base RI'!A265</f>
        <v>5856</v>
      </c>
      <c r="B263" s="285" t="str">
        <f>'A) Base RI'!B265</f>
        <v>Essertines-sur-Rolle</v>
      </c>
      <c r="C263" s="98">
        <f>'B) D RI'!U265</f>
        <v>36504.775588235294</v>
      </c>
      <c r="D263" s="114">
        <f>'E) Fact soc'!G269/C263</f>
        <v>17.369764581331324</v>
      </c>
      <c r="E263" s="141">
        <f>'H) Péréquation directe'!I274/C263</f>
        <v>17.521975620099475</v>
      </c>
      <c r="F263" s="114">
        <f>+'I) Dépenses thématiques'!O263/'K) Plafonnement aide'!C263</f>
        <v>0</v>
      </c>
      <c r="G263" s="141">
        <f t="shared" si="17"/>
        <v>34.8917402014308</v>
      </c>
      <c r="H263" s="114">
        <f t="shared" si="18"/>
        <v>34.8917402014308</v>
      </c>
      <c r="I263" s="141">
        <f t="shared" si="19"/>
        <v>0</v>
      </c>
      <c r="J263" s="57">
        <f t="shared" si="20"/>
        <v>0</v>
      </c>
      <c r="K263" s="36"/>
    </row>
    <row r="264" spans="1:11" x14ac:dyDescent="0.25">
      <c r="A264" s="49">
        <f>'A) Base RI'!A266</f>
        <v>5857</v>
      </c>
      <c r="B264" s="285" t="str">
        <f>'A) Base RI'!B266</f>
        <v>Gilly</v>
      </c>
      <c r="C264" s="98">
        <f>'B) D RI'!U266</f>
        <v>85344.541363636366</v>
      </c>
      <c r="D264" s="114">
        <f>'E) Fact soc'!G270/C264</f>
        <v>21.254221136367978</v>
      </c>
      <c r="E264" s="141">
        <f>'H) Péréquation directe'!I275/C264</f>
        <v>17.009660549261238</v>
      </c>
      <c r="F264" s="114">
        <f>+'I) Dépenses thématiques'!O264/'K) Plafonnement aide'!C264</f>
        <v>0</v>
      </c>
      <c r="G264" s="141">
        <f t="shared" si="17"/>
        <v>38.263881685629215</v>
      </c>
      <c r="H264" s="114">
        <f t="shared" si="18"/>
        <v>38.263881685629215</v>
      </c>
      <c r="I264" s="141">
        <f t="shared" si="19"/>
        <v>0</v>
      </c>
      <c r="J264" s="57">
        <f t="shared" si="20"/>
        <v>0</v>
      </c>
      <c r="K264" s="36"/>
    </row>
    <row r="265" spans="1:11" x14ac:dyDescent="0.25">
      <c r="A265" s="49">
        <f>'A) Base RI'!A267</f>
        <v>5858</v>
      </c>
      <c r="B265" s="285" t="str">
        <f>'A) Base RI'!B267</f>
        <v>Luins</v>
      </c>
      <c r="C265" s="98">
        <f>'B) D RI'!U267</f>
        <v>46698.811277777771</v>
      </c>
      <c r="D265" s="114">
        <f>'E) Fact soc'!G271/C265</f>
        <v>21.553748988297006</v>
      </c>
      <c r="E265" s="141">
        <f>'H) Péréquation directe'!I276/C265</f>
        <v>18.336081617220451</v>
      </c>
      <c r="F265" s="114">
        <f>+'I) Dépenses thématiques'!O265/'K) Plafonnement aide'!C265</f>
        <v>0</v>
      </c>
      <c r="G265" s="141">
        <f t="shared" si="17"/>
        <v>39.88983060551746</v>
      </c>
      <c r="H265" s="114">
        <f t="shared" si="18"/>
        <v>39.88983060551746</v>
      </c>
      <c r="I265" s="141">
        <f t="shared" si="19"/>
        <v>0</v>
      </c>
      <c r="J265" s="57">
        <f t="shared" si="20"/>
        <v>0</v>
      </c>
      <c r="K265" s="36"/>
    </row>
    <row r="266" spans="1:11" x14ac:dyDescent="0.25">
      <c r="A266" s="49">
        <f>'A) Base RI'!A268</f>
        <v>5859</v>
      </c>
      <c r="B266" s="285" t="str">
        <f>'A) Base RI'!B268</f>
        <v>Mont-sur-Rolle</v>
      </c>
      <c r="C266" s="98">
        <f>'B) D RI'!U268</f>
        <v>136402.77030769232</v>
      </c>
      <c r="D266" s="114">
        <f>'E) Fact soc'!G272/C266</f>
        <v>20.639715710986501</v>
      </c>
      <c r="E266" s="141">
        <f>'H) Péréquation directe'!I277/C266</f>
        <v>14.760967259260347</v>
      </c>
      <c r="F266" s="114">
        <f>+'I) Dépenses thématiques'!O266/'K) Plafonnement aide'!C266</f>
        <v>0</v>
      </c>
      <c r="G266" s="141">
        <f t="shared" si="17"/>
        <v>35.400682970246848</v>
      </c>
      <c r="H266" s="114">
        <f t="shared" si="18"/>
        <v>35.400682970246848</v>
      </c>
      <c r="I266" s="141">
        <f t="shared" si="19"/>
        <v>0</v>
      </c>
      <c r="J266" s="57">
        <f t="shared" si="20"/>
        <v>0</v>
      </c>
      <c r="K266" s="36"/>
    </row>
    <row r="267" spans="1:11" x14ac:dyDescent="0.25">
      <c r="A267" s="49">
        <f>'A) Base RI'!A269</f>
        <v>5860</v>
      </c>
      <c r="B267" s="285" t="str">
        <f>'A) Base RI'!B269</f>
        <v>Perroy</v>
      </c>
      <c r="C267" s="98">
        <f>'B) D RI'!U269</f>
        <v>102583.41574358974</v>
      </c>
      <c r="D267" s="114">
        <f>'E) Fact soc'!G273/C267</f>
        <v>21.845321184017553</v>
      </c>
      <c r="E267" s="141">
        <f>'H) Péréquation directe'!I278/C267</f>
        <v>17.077818137892667</v>
      </c>
      <c r="F267" s="114">
        <f>+'I) Dépenses thématiques'!O267/'K) Plafonnement aide'!C267</f>
        <v>-19.702411613653489</v>
      </c>
      <c r="G267" s="141">
        <f t="shared" si="17"/>
        <v>19.220727708256732</v>
      </c>
      <c r="H267" s="114">
        <f t="shared" si="18"/>
        <v>38.92313932191022</v>
      </c>
      <c r="I267" s="141">
        <f t="shared" si="19"/>
        <v>0</v>
      </c>
      <c r="J267" s="57">
        <f t="shared" si="20"/>
        <v>0</v>
      </c>
      <c r="K267" s="36"/>
    </row>
    <row r="268" spans="1:11" x14ac:dyDescent="0.25">
      <c r="A268" s="49">
        <f>'A) Base RI'!A270</f>
        <v>5861</v>
      </c>
      <c r="B268" s="285" t="str">
        <f>'A) Base RI'!B270</f>
        <v>Rolle</v>
      </c>
      <c r="C268" s="98">
        <f>'B) D RI'!U270</f>
        <v>762445.16588235286</v>
      </c>
      <c r="D268" s="114">
        <f>'E) Fact soc'!G274/C268</f>
        <v>31.006662223177969</v>
      </c>
      <c r="E268" s="141">
        <f>'H) Péréquation directe'!I279/C268</f>
        <v>16.616364961428594</v>
      </c>
      <c r="F268" s="114">
        <f>+'I) Dépenses thématiques'!O268/'K) Plafonnement aide'!C268</f>
        <v>0</v>
      </c>
      <c r="G268" s="141">
        <f t="shared" si="17"/>
        <v>47.623027184606563</v>
      </c>
      <c r="H268" s="114">
        <f t="shared" si="18"/>
        <v>47.623027184606563</v>
      </c>
      <c r="I268" s="141">
        <f t="shared" si="19"/>
        <v>0</v>
      </c>
      <c r="J268" s="57">
        <f t="shared" si="20"/>
        <v>0</v>
      </c>
      <c r="K268" s="36"/>
    </row>
    <row r="269" spans="1:11" x14ac:dyDescent="0.25">
      <c r="A269" s="49">
        <f>'A) Base RI'!A271</f>
        <v>5862</v>
      </c>
      <c r="B269" s="285" t="str">
        <f>'A) Base RI'!B271</f>
        <v>Tartegnin</v>
      </c>
      <c r="C269" s="98">
        <f>'B) D RI'!U271</f>
        <v>10955.91814814815</v>
      </c>
      <c r="D269" s="114">
        <f>'E) Fact soc'!G275/C269</f>
        <v>14.975126623095091</v>
      </c>
      <c r="E269" s="141">
        <f>'H) Péréquation directe'!I280/C269</f>
        <v>17.277692883901132</v>
      </c>
      <c r="F269" s="114">
        <f>+'I) Dépenses thématiques'!O269/'K) Plafonnement aide'!C269</f>
        <v>0</v>
      </c>
      <c r="G269" s="141">
        <f t="shared" si="17"/>
        <v>32.252819506996225</v>
      </c>
      <c r="H269" s="114">
        <f t="shared" si="18"/>
        <v>32.252819506996225</v>
      </c>
      <c r="I269" s="141">
        <f t="shared" si="19"/>
        <v>0</v>
      </c>
      <c r="J269" s="57">
        <f t="shared" si="20"/>
        <v>0</v>
      </c>
      <c r="K269" s="36"/>
    </row>
    <row r="270" spans="1:11" x14ac:dyDescent="0.25">
      <c r="A270" s="49">
        <f>'A) Base RI'!A272</f>
        <v>5863</v>
      </c>
      <c r="B270" s="285" t="str">
        <f>'A) Base RI'!B272</f>
        <v>Vinzel</v>
      </c>
      <c r="C270" s="98">
        <f>'B) D RI'!U272</f>
        <v>17885.432686567161</v>
      </c>
      <c r="D270" s="114">
        <f>'E) Fact soc'!G276/C270</f>
        <v>18.301051975037549</v>
      </c>
      <c r="E270" s="141">
        <f>'H) Péréquation directe'!I281/C270</f>
        <v>17.513141261365952</v>
      </c>
      <c r="F270" s="114">
        <f>+'I) Dépenses thématiques'!O270/'K) Plafonnement aide'!C270</f>
        <v>0</v>
      </c>
      <c r="G270" s="141">
        <f t="shared" si="17"/>
        <v>35.814193236403497</v>
      </c>
      <c r="H270" s="114">
        <f t="shared" si="18"/>
        <v>35.814193236403497</v>
      </c>
      <c r="I270" s="141">
        <f t="shared" si="19"/>
        <v>0</v>
      </c>
      <c r="J270" s="57">
        <f t="shared" si="20"/>
        <v>0</v>
      </c>
      <c r="K270" s="36"/>
    </row>
    <row r="271" spans="1:11" x14ac:dyDescent="0.25">
      <c r="A271" s="49">
        <f>'A) Base RI'!A273</f>
        <v>5871</v>
      </c>
      <c r="B271" s="285" t="str">
        <f>'A) Base RI'!B273</f>
        <v>L'Abbaye</v>
      </c>
      <c r="C271" s="98">
        <f>'B) D RI'!U273</f>
        <v>46763.12603092783</v>
      </c>
      <c r="D271" s="114">
        <f>'E) Fact soc'!G277/C271</f>
        <v>21.747765853468586</v>
      </c>
      <c r="E271" s="141">
        <f>'H) Péréquation directe'!I282/C271</f>
        <v>1.9606733056631427</v>
      </c>
      <c r="F271" s="114">
        <f>+'I) Dépenses thématiques'!O271/'K) Plafonnement aide'!C271</f>
        <v>-8.4215745080584785</v>
      </c>
      <c r="G271" s="141">
        <f t="shared" si="17"/>
        <v>15.28686465107325</v>
      </c>
      <c r="H271" s="114">
        <f t="shared" si="18"/>
        <v>23.708439159131729</v>
      </c>
      <c r="I271" s="141">
        <f t="shared" si="19"/>
        <v>0</v>
      </c>
      <c r="J271" s="57">
        <f t="shared" si="20"/>
        <v>0</v>
      </c>
      <c r="K271" s="36"/>
    </row>
    <row r="272" spans="1:11" x14ac:dyDescent="0.25">
      <c r="A272" s="49">
        <f>'A) Base RI'!A274</f>
        <v>5872</v>
      </c>
      <c r="B272" s="285" t="str">
        <f>'A) Base RI'!B274</f>
        <v>Le Chenit</v>
      </c>
      <c r="C272" s="98">
        <f>'B) D RI'!U274</f>
        <v>269128.75712823507</v>
      </c>
      <c r="D272" s="114">
        <f>'E) Fact soc'!G278/C272</f>
        <v>27.275967038657576</v>
      </c>
      <c r="E272" s="141">
        <f>'H) Péréquation directe'!I283/C272</f>
        <v>13.831886612803022</v>
      </c>
      <c r="F272" s="114">
        <f>+'I) Dépenses thématiques'!O272/'K) Plafonnement aide'!C272</f>
        <v>-4.3615403742879542</v>
      </c>
      <c r="G272" s="141">
        <f t="shared" si="17"/>
        <v>36.746313277172646</v>
      </c>
      <c r="H272" s="114">
        <f t="shared" si="18"/>
        <v>41.107853651460601</v>
      </c>
      <c r="I272" s="141">
        <f t="shared" si="19"/>
        <v>0</v>
      </c>
      <c r="J272" s="57">
        <f t="shared" si="20"/>
        <v>0</v>
      </c>
      <c r="K272" s="36"/>
    </row>
    <row r="273" spans="1:11" x14ac:dyDescent="0.25">
      <c r="A273" s="49">
        <f>'A) Base RI'!A275</f>
        <v>5873</v>
      </c>
      <c r="B273" s="285" t="str">
        <f>'A) Base RI'!B275</f>
        <v>Le Lieu</v>
      </c>
      <c r="C273" s="98">
        <f>'B) D RI'!U275</f>
        <v>28965.792761904762</v>
      </c>
      <c r="D273" s="114">
        <f>'E) Fact soc'!G279/C273</f>
        <v>24.505037459794504</v>
      </c>
      <c r="E273" s="141">
        <f>'H) Péréquation directe'!I284/C273</f>
        <v>7.0968953844370768</v>
      </c>
      <c r="F273" s="114">
        <f>+'I) Dépenses thématiques'!O273/'K) Plafonnement aide'!C273</f>
        <v>-23.68210508958509</v>
      </c>
      <c r="G273" s="141">
        <f t="shared" si="17"/>
        <v>7.9198277546464908</v>
      </c>
      <c r="H273" s="114">
        <f t="shared" si="18"/>
        <v>31.60193284423158</v>
      </c>
      <c r="I273" s="141">
        <f t="shared" si="19"/>
        <v>0</v>
      </c>
      <c r="J273" s="57">
        <f t="shared" si="20"/>
        <v>0</v>
      </c>
      <c r="K273" s="36"/>
    </row>
    <row r="274" spans="1:11" x14ac:dyDescent="0.25">
      <c r="A274" s="49">
        <f>'A) Base RI'!A276</f>
        <v>5881</v>
      </c>
      <c r="B274" s="285" t="str">
        <f>'A) Base RI'!B276</f>
        <v>Blonay</v>
      </c>
      <c r="C274" s="98">
        <f>'B) D RI'!U276</f>
        <v>355898.72514285718</v>
      </c>
      <c r="D274" s="114">
        <f>'E) Fact soc'!G280/C274</f>
        <v>21.216181275702894</v>
      </c>
      <c r="E274" s="141">
        <f>'H) Péréquation directe'!I285/C274</f>
        <v>12.902833135217033</v>
      </c>
      <c r="F274" s="114">
        <f>+'I) Dépenses thématiques'!O274/'K) Plafonnement aide'!C274</f>
        <v>-1.6368224431483305</v>
      </c>
      <c r="G274" s="141">
        <f t="shared" si="17"/>
        <v>32.482191967771598</v>
      </c>
      <c r="H274" s="114">
        <f t="shared" si="18"/>
        <v>34.119014410919931</v>
      </c>
      <c r="I274" s="141">
        <f t="shared" si="19"/>
        <v>0</v>
      </c>
      <c r="J274" s="57">
        <f t="shared" si="20"/>
        <v>0</v>
      </c>
      <c r="K274" s="36"/>
    </row>
    <row r="275" spans="1:11" x14ac:dyDescent="0.25">
      <c r="A275" s="49">
        <f>'A) Base RI'!A277</f>
        <v>5882</v>
      </c>
      <c r="B275" s="285" t="str">
        <f>'A) Base RI'!B277</f>
        <v>Chardonne</v>
      </c>
      <c r="C275" s="98">
        <f>'B) D RI'!U277</f>
        <v>184082.76117647055</v>
      </c>
      <c r="D275" s="114">
        <f>'E) Fact soc'!G281/C275</f>
        <v>24.55298255945554</v>
      </c>
      <c r="E275" s="141">
        <f>'H) Péréquation directe'!I286/C275</f>
        <v>15.415112763419671</v>
      </c>
      <c r="F275" s="114">
        <f>+'I) Dépenses thématiques'!O275/'K) Plafonnement aide'!C275</f>
        <v>-2.1531316134288843</v>
      </c>
      <c r="G275" s="141">
        <f t="shared" si="17"/>
        <v>37.814963709446332</v>
      </c>
      <c r="H275" s="114">
        <f t="shared" si="18"/>
        <v>39.968095322875214</v>
      </c>
      <c r="I275" s="141">
        <f t="shared" si="19"/>
        <v>0</v>
      </c>
      <c r="J275" s="57">
        <f t="shared" si="20"/>
        <v>0</v>
      </c>
      <c r="K275" s="36"/>
    </row>
    <row r="276" spans="1:11" x14ac:dyDescent="0.25">
      <c r="A276" s="49">
        <f>'A) Base RI'!A278</f>
        <v>5883</v>
      </c>
      <c r="B276" s="285" t="str">
        <f>'A) Base RI'!B278</f>
        <v>Corseaux</v>
      </c>
      <c r="C276" s="98">
        <f>'B) D RI'!U278</f>
        <v>164555.95811594205</v>
      </c>
      <c r="D276" s="114">
        <f>'E) Fact soc'!G282/C276</f>
        <v>23.124239278784277</v>
      </c>
      <c r="E276" s="141">
        <f>'H) Péréquation directe'!I287/C276</f>
        <v>16.49211370903468</v>
      </c>
      <c r="F276" s="114">
        <f>+'I) Dépenses thématiques'!O276/'K) Plafonnement aide'!C276</f>
        <v>0</v>
      </c>
      <c r="G276" s="141">
        <f t="shared" si="17"/>
        <v>39.616352987818956</v>
      </c>
      <c r="H276" s="114">
        <f t="shared" si="18"/>
        <v>39.616352987818956</v>
      </c>
      <c r="I276" s="141">
        <f t="shared" si="19"/>
        <v>0</v>
      </c>
      <c r="J276" s="57">
        <f t="shared" si="20"/>
        <v>0</v>
      </c>
      <c r="K276" s="36"/>
    </row>
    <row r="277" spans="1:11" x14ac:dyDescent="0.25">
      <c r="A277" s="49">
        <f>'A) Base RI'!A279</f>
        <v>5884</v>
      </c>
      <c r="B277" s="285" t="str">
        <f>'A) Base RI'!B279</f>
        <v>Corsier-sur-Vevey</v>
      </c>
      <c r="C277" s="98">
        <f>'B) D RI'!U279</f>
        <v>127106.22217171718</v>
      </c>
      <c r="D277" s="114">
        <f>'E) Fact soc'!G283/C277</f>
        <v>17.663248578100497</v>
      </c>
      <c r="E277" s="141">
        <f>'H) Péréquation directe'!I288/C277</f>
        <v>7.7910745615787587</v>
      </c>
      <c r="F277" s="114">
        <f>+'I) Dépenses thématiques'!O277/'K) Plafonnement aide'!C277</f>
        <v>-11.181433038734399</v>
      </c>
      <c r="G277" s="141">
        <f t="shared" si="17"/>
        <v>14.272890100944855</v>
      </c>
      <c r="H277" s="114">
        <f t="shared" si="18"/>
        <v>25.454323139679254</v>
      </c>
      <c r="I277" s="141">
        <f t="shared" si="19"/>
        <v>0</v>
      </c>
      <c r="J277" s="57">
        <f t="shared" si="20"/>
        <v>0</v>
      </c>
      <c r="K277" s="36"/>
    </row>
    <row r="278" spans="1:11" x14ac:dyDescent="0.25">
      <c r="A278" s="49">
        <f>'A) Base RI'!A280</f>
        <v>5885</v>
      </c>
      <c r="B278" s="285" t="str">
        <f>'A) Base RI'!B280</f>
        <v>Jongny</v>
      </c>
      <c r="C278" s="98">
        <f>'B) D RI'!U280</f>
        <v>79120.74528169015</v>
      </c>
      <c r="D278" s="114">
        <f>'E) Fact soc'!G284/C278</f>
        <v>19.542458129371518</v>
      </c>
      <c r="E278" s="141">
        <f>'H) Péréquation directe'!I289/C278</f>
        <v>16.000326732652681</v>
      </c>
      <c r="F278" s="114">
        <f>+'I) Dépenses thématiques'!O278/'K) Plafonnement aide'!C278</f>
        <v>-1.472028031879542</v>
      </c>
      <c r="G278" s="141">
        <f t="shared" si="17"/>
        <v>34.07075683014466</v>
      </c>
      <c r="H278" s="114">
        <f t="shared" si="18"/>
        <v>35.542784862024199</v>
      </c>
      <c r="I278" s="141">
        <f t="shared" si="19"/>
        <v>0</v>
      </c>
      <c r="J278" s="57">
        <f t="shared" si="20"/>
        <v>0</v>
      </c>
      <c r="K278" s="36"/>
    </row>
    <row r="279" spans="1:11" x14ac:dyDescent="0.25">
      <c r="A279" s="49">
        <f>'A) Base RI'!A281</f>
        <v>5886</v>
      </c>
      <c r="B279" s="285" t="str">
        <f>'A) Base RI'!B281</f>
        <v>Montreux</v>
      </c>
      <c r="C279" s="98">
        <f>'B) D RI'!U281</f>
        <v>1142059.586051282</v>
      </c>
      <c r="D279" s="114">
        <f>'E) Fact soc'!G285/C279</f>
        <v>21.79335501023807</v>
      </c>
      <c r="E279" s="141">
        <f>'H) Péréquation directe'!I290/C279</f>
        <v>-8.30111839949432E-2</v>
      </c>
      <c r="F279" s="114">
        <f>+'I) Dépenses thématiques'!O279/'K) Plafonnement aide'!C279</f>
        <v>-4.6507042828903895</v>
      </c>
      <c r="G279" s="141">
        <f t="shared" si="17"/>
        <v>17.059639543352738</v>
      </c>
      <c r="H279" s="114">
        <f t="shared" si="18"/>
        <v>21.710343826243125</v>
      </c>
      <c r="I279" s="141">
        <f t="shared" si="19"/>
        <v>0</v>
      </c>
      <c r="J279" s="57">
        <f t="shared" si="20"/>
        <v>0</v>
      </c>
      <c r="K279" s="36"/>
    </row>
    <row r="280" spans="1:11" x14ac:dyDescent="0.25">
      <c r="A280" s="49">
        <f>'A) Base RI'!A282</f>
        <v>5888</v>
      </c>
      <c r="B280" s="285" t="str">
        <f>'A) Base RI'!B282</f>
        <v>Saint-Légier-La Chiésaz</v>
      </c>
      <c r="C280" s="98">
        <f>'B) D RI'!U282</f>
        <v>338249.0701666667</v>
      </c>
      <c r="D280" s="114">
        <f>'E) Fact soc'!G286/C280</f>
        <v>22.087358295312278</v>
      </c>
      <c r="E280" s="141">
        <f>'H) Péréquation directe'!I291/C280</f>
        <v>14.150906940201118</v>
      </c>
      <c r="F280" s="114">
        <f>+'I) Dépenses thématiques'!O280/'K) Plafonnement aide'!C280</f>
        <v>-0.61711077070485054</v>
      </c>
      <c r="G280" s="141">
        <f t="shared" si="17"/>
        <v>35.621154464808548</v>
      </c>
      <c r="H280" s="114">
        <f t="shared" si="18"/>
        <v>36.238265235513396</v>
      </c>
      <c r="I280" s="141">
        <f t="shared" si="19"/>
        <v>0</v>
      </c>
      <c r="J280" s="57">
        <f t="shared" si="20"/>
        <v>0</v>
      </c>
      <c r="K280" s="36"/>
    </row>
    <row r="281" spans="1:11" x14ac:dyDescent="0.25">
      <c r="A281" s="49">
        <f>'A) Base RI'!A283</f>
        <v>5889</v>
      </c>
      <c r="B281" s="285" t="str">
        <f>'A) Base RI'!B283</f>
        <v>La Tour-de-Peilz</v>
      </c>
      <c r="C281" s="98">
        <f>'B) D RI'!U283</f>
        <v>693156.74124999996</v>
      </c>
      <c r="D281" s="114">
        <f>'E) Fact soc'!G287/C281</f>
        <v>20.133939768252141</v>
      </c>
      <c r="E281" s="141">
        <f>'H) Péréquation directe'!I292/C281</f>
        <v>10.299250775538603</v>
      </c>
      <c r="F281" s="114">
        <f>+'I) Dépenses thématiques'!O281/'K) Plafonnement aide'!C281</f>
        <v>0</v>
      </c>
      <c r="G281" s="141">
        <f t="shared" si="17"/>
        <v>30.433190543790744</v>
      </c>
      <c r="H281" s="114">
        <f t="shared" si="18"/>
        <v>30.433190543790744</v>
      </c>
      <c r="I281" s="141">
        <f t="shared" si="19"/>
        <v>0</v>
      </c>
      <c r="J281" s="57">
        <f t="shared" si="20"/>
        <v>0</v>
      </c>
      <c r="K281" s="36"/>
    </row>
    <row r="282" spans="1:11" x14ac:dyDescent="0.25">
      <c r="A282" s="49">
        <f>'A) Base RI'!A284</f>
        <v>5890</v>
      </c>
      <c r="B282" s="285" t="str">
        <f>'A) Base RI'!B284</f>
        <v>Vevey</v>
      </c>
      <c r="C282" s="98">
        <f>'B) D RI'!U284</f>
        <v>976839.63723684219</v>
      </c>
      <c r="D282" s="114">
        <f>'E) Fact soc'!G288/C282</f>
        <v>17.082317675176878</v>
      </c>
      <c r="E282" s="141">
        <f>'H) Péréquation directe'!I293/C282</f>
        <v>4.6874444665503088</v>
      </c>
      <c r="F282" s="114">
        <f>+'I) Dépenses thématiques'!O282/'K) Plafonnement aide'!C282</f>
        <v>-2.7927295815254638</v>
      </c>
      <c r="G282" s="141">
        <f t="shared" si="17"/>
        <v>18.977032560201721</v>
      </c>
      <c r="H282" s="114">
        <f t="shared" si="18"/>
        <v>21.769762141727185</v>
      </c>
      <c r="I282" s="141">
        <f t="shared" si="19"/>
        <v>0</v>
      </c>
      <c r="J282" s="57">
        <f t="shared" si="20"/>
        <v>0</v>
      </c>
      <c r="K282" s="36"/>
    </row>
    <row r="283" spans="1:11" x14ac:dyDescent="0.25">
      <c r="A283" s="49">
        <f>'A) Base RI'!A285</f>
        <v>5891</v>
      </c>
      <c r="B283" s="285" t="str">
        <f>'A) Base RI'!B285</f>
        <v>Veytaux</v>
      </c>
      <c r="C283" s="98">
        <f>'B) D RI'!U285</f>
        <v>37197.97126760563</v>
      </c>
      <c r="D283" s="114">
        <f>'E) Fact soc'!G289/C283</f>
        <v>17.665793317464335</v>
      </c>
      <c r="E283" s="141">
        <f>'H) Péréquation directe'!I294/C283</f>
        <v>13.538689969061258</v>
      </c>
      <c r="F283" s="114">
        <f>+'I) Dépenses thématiques'!O283/'K) Plafonnement aide'!C283</f>
        <v>-23.670730783318618</v>
      </c>
      <c r="G283" s="141">
        <f t="shared" si="17"/>
        <v>7.5337525032069763</v>
      </c>
      <c r="H283" s="114">
        <f t="shared" si="18"/>
        <v>31.204483286525594</v>
      </c>
      <c r="I283" s="141">
        <f t="shared" si="19"/>
        <v>0</v>
      </c>
      <c r="J283" s="57">
        <f t="shared" si="20"/>
        <v>0</v>
      </c>
      <c r="K283" s="36"/>
    </row>
    <row r="284" spans="1:11" x14ac:dyDescent="0.25">
      <c r="A284" s="49">
        <f>'A) Base RI'!A286</f>
        <v>5902</v>
      </c>
      <c r="B284" s="285" t="str">
        <f>'A) Base RI'!B286</f>
        <v>Belmont-sur-Yverdon</v>
      </c>
      <c r="C284" s="98">
        <f>'B) D RI'!U286</f>
        <v>10777.690131578949</v>
      </c>
      <c r="D284" s="114">
        <f>'E) Fact soc'!G290/C284</f>
        <v>35.8029724817847</v>
      </c>
      <c r="E284" s="141">
        <f>'H) Péréquation directe'!I295/C284</f>
        <v>1.1183947873911675</v>
      </c>
      <c r="F284" s="114">
        <f>+'I) Dépenses thématiques'!O284/'K) Plafonnement aide'!C284</f>
        <v>-0.86106580102709862</v>
      </c>
      <c r="G284" s="141">
        <f t="shared" si="17"/>
        <v>36.060301468148772</v>
      </c>
      <c r="H284" s="114">
        <f t="shared" si="18"/>
        <v>36.921367269175867</v>
      </c>
      <c r="I284" s="141">
        <f t="shared" si="19"/>
        <v>0</v>
      </c>
      <c r="J284" s="57">
        <f t="shared" si="20"/>
        <v>0</v>
      </c>
      <c r="K284" s="36"/>
    </row>
    <row r="285" spans="1:11" x14ac:dyDescent="0.25">
      <c r="A285" s="49">
        <f>'A) Base RI'!A287</f>
        <v>5903</v>
      </c>
      <c r="B285" s="285" t="str">
        <f>'A) Base RI'!B287</f>
        <v>Bioley-Magnoux</v>
      </c>
      <c r="C285" s="98">
        <f>'B) D RI'!U287</f>
        <v>6482.7722393822396</v>
      </c>
      <c r="D285" s="114">
        <f>'E) Fact soc'!G291/C285</f>
        <v>15.847464546030368</v>
      </c>
      <c r="E285" s="141">
        <f>'H) Péréquation directe'!I296/C285</f>
        <v>1.3350883984807169</v>
      </c>
      <c r="F285" s="114">
        <f>+'I) Dépenses thématiques'!O285/'K) Plafonnement aide'!C285</f>
        <v>-32.256186188853228</v>
      </c>
      <c r="G285" s="141">
        <f t="shared" si="17"/>
        <v>-15.073633244342144</v>
      </c>
      <c r="H285" s="114">
        <f t="shared" si="18"/>
        <v>17.182552944511084</v>
      </c>
      <c r="I285" s="141">
        <f t="shared" si="19"/>
        <v>0</v>
      </c>
      <c r="J285" s="57">
        <f t="shared" si="20"/>
        <v>0</v>
      </c>
      <c r="K285" s="36"/>
    </row>
    <row r="286" spans="1:11" x14ac:dyDescent="0.25">
      <c r="A286" s="49">
        <f>'A) Base RI'!A288</f>
        <v>5904</v>
      </c>
      <c r="B286" s="285" t="str">
        <f>'A) Base RI'!B288</f>
        <v>Chamblon</v>
      </c>
      <c r="C286" s="98">
        <f>'B) D RI'!U288</f>
        <v>21977.410303030305</v>
      </c>
      <c r="D286" s="114">
        <f>'E) Fact soc'!G292/C286</f>
        <v>15.894073834841556</v>
      </c>
      <c r="E286" s="141">
        <f>'H) Péréquation directe'!I297/C286</f>
        <v>14.196800301561593</v>
      </c>
      <c r="F286" s="114">
        <f>+'I) Dépenses thématiques'!O286/'K) Plafonnement aide'!C286</f>
        <v>0</v>
      </c>
      <c r="G286" s="141">
        <f t="shared" si="17"/>
        <v>30.090874136403151</v>
      </c>
      <c r="H286" s="114">
        <f t="shared" si="18"/>
        <v>30.090874136403151</v>
      </c>
      <c r="I286" s="141">
        <f t="shared" si="19"/>
        <v>0</v>
      </c>
      <c r="J286" s="57">
        <f t="shared" si="20"/>
        <v>0</v>
      </c>
      <c r="K286" s="36"/>
    </row>
    <row r="287" spans="1:11" x14ac:dyDescent="0.25">
      <c r="A287" s="49">
        <f>'A) Base RI'!A289</f>
        <v>5905</v>
      </c>
      <c r="B287" s="285" t="str">
        <f>'A) Base RI'!B289</f>
        <v>Champvent</v>
      </c>
      <c r="C287" s="98">
        <f>'B) D RI'!U289</f>
        <v>23661.341690140842</v>
      </c>
      <c r="D287" s="114">
        <f>'E) Fact soc'!G293/C287</f>
        <v>22.154939418978497</v>
      </c>
      <c r="E287" s="141">
        <f>'H) Péréquation directe'!I298/C287</f>
        <v>8.9188744456980604</v>
      </c>
      <c r="F287" s="114">
        <f>+'I) Dépenses thématiques'!O287/'K) Plafonnement aide'!C287</f>
        <v>-1.2884974914824314</v>
      </c>
      <c r="G287" s="141">
        <f t="shared" si="17"/>
        <v>29.785316373194128</v>
      </c>
      <c r="H287" s="114">
        <f t="shared" si="18"/>
        <v>31.073813864676559</v>
      </c>
      <c r="I287" s="141">
        <f t="shared" si="19"/>
        <v>0</v>
      </c>
      <c r="J287" s="57">
        <f t="shared" si="20"/>
        <v>0</v>
      </c>
      <c r="K287" s="36"/>
    </row>
    <row r="288" spans="1:11" x14ac:dyDescent="0.25">
      <c r="A288" s="49">
        <f>'A) Base RI'!A290</f>
        <v>5907</v>
      </c>
      <c r="B288" s="285" t="str">
        <f>'A) Base RI'!B290</f>
        <v>Chavannes-le-Chêne</v>
      </c>
      <c r="C288" s="98">
        <f>'B) D RI'!U290</f>
        <v>9481.5466666666634</v>
      </c>
      <c r="D288" s="114">
        <f>'E) Fact soc'!G294/C288</f>
        <v>15.272132012348846</v>
      </c>
      <c r="E288" s="141">
        <f>'H) Péréquation directe'!I299/C288</f>
        <v>2.7401720415810411</v>
      </c>
      <c r="F288" s="114">
        <f>+'I) Dépenses thématiques'!O288/'K) Plafonnement aide'!C288</f>
        <v>-8.5425860548775834</v>
      </c>
      <c r="G288" s="141">
        <f t="shared" si="17"/>
        <v>9.469717999052305</v>
      </c>
      <c r="H288" s="114">
        <f t="shared" si="18"/>
        <v>18.012304053929888</v>
      </c>
      <c r="I288" s="141">
        <f t="shared" si="19"/>
        <v>0</v>
      </c>
      <c r="J288" s="57">
        <f t="shared" si="20"/>
        <v>0</v>
      </c>
      <c r="K288" s="36"/>
    </row>
    <row r="289" spans="1:11" x14ac:dyDescent="0.25">
      <c r="A289" s="49">
        <f>'A) Base RI'!A291</f>
        <v>5908</v>
      </c>
      <c r="B289" s="285" t="str">
        <f>'A) Base RI'!B291</f>
        <v>Chêne-Pâquier</v>
      </c>
      <c r="C289" s="98">
        <f>'B) D RI'!U291</f>
        <v>3375.4056962025325</v>
      </c>
      <c r="D289" s="114">
        <f>'E) Fact soc'!G295/C289</f>
        <v>15.383243780718825</v>
      </c>
      <c r="E289" s="141">
        <f>'H) Péréquation directe'!I300/C289</f>
        <v>-13.760745515901394</v>
      </c>
      <c r="F289" s="114">
        <f>+'I) Dépenses thématiques'!O289/'K) Plafonnement aide'!C289</f>
        <v>-7.0963538765161154</v>
      </c>
      <c r="G289" s="141">
        <f t="shared" si="17"/>
        <v>-5.473855611698685</v>
      </c>
      <c r="H289" s="114">
        <f t="shared" si="18"/>
        <v>1.6224982648174304</v>
      </c>
      <c r="I289" s="141">
        <f t="shared" si="19"/>
        <v>0</v>
      </c>
      <c r="J289" s="57">
        <f t="shared" si="20"/>
        <v>0</v>
      </c>
      <c r="K289" s="36"/>
    </row>
    <row r="290" spans="1:11" x14ac:dyDescent="0.25">
      <c r="A290" s="49">
        <f>'A) Base RI'!A292</f>
        <v>5909</v>
      </c>
      <c r="B290" s="285" t="str">
        <f>'A) Base RI'!B292</f>
        <v>Cheseaux-Noréaz</v>
      </c>
      <c r="C290" s="98">
        <f>'B) D RI'!U292</f>
        <v>32349.342000000001</v>
      </c>
      <c r="D290" s="114">
        <f>'E) Fact soc'!G296/C290</f>
        <v>18.140210658272903</v>
      </c>
      <c r="E290" s="141">
        <f>'H) Péréquation directe'!I301/C290</f>
        <v>16.101976462602341</v>
      </c>
      <c r="F290" s="114">
        <f>+'I) Dépenses thématiques'!O290/'K) Plafonnement aide'!C290</f>
        <v>-3.3758030412015736</v>
      </c>
      <c r="G290" s="141">
        <f t="shared" si="17"/>
        <v>30.866384079673669</v>
      </c>
      <c r="H290" s="114">
        <f t="shared" si="18"/>
        <v>34.242187120875244</v>
      </c>
      <c r="I290" s="141">
        <f t="shared" si="19"/>
        <v>0</v>
      </c>
      <c r="J290" s="57">
        <f t="shared" si="20"/>
        <v>0</v>
      </c>
      <c r="K290" s="36"/>
    </row>
    <row r="291" spans="1:11" x14ac:dyDescent="0.25">
      <c r="A291" s="49">
        <f>'A) Base RI'!A293</f>
        <v>5910</v>
      </c>
      <c r="B291" s="285" t="str">
        <f>'A) Base RI'!B293</f>
        <v>Cronay</v>
      </c>
      <c r="C291" s="98">
        <f>'B) D RI'!U293</f>
        <v>10200.577848101264</v>
      </c>
      <c r="D291" s="114">
        <f>'E) Fact soc'!G297/C291</f>
        <v>22.222899142632162</v>
      </c>
      <c r="E291" s="141">
        <f>'H) Péréquation directe'!I302/C291</f>
        <v>-5.1135981608245737</v>
      </c>
      <c r="F291" s="114">
        <f>+'I) Dépenses thématiques'!O291/'K) Plafonnement aide'!C291</f>
        <v>-9.5104191637927257E-2</v>
      </c>
      <c r="G291" s="141">
        <f t="shared" si="17"/>
        <v>17.014196790169663</v>
      </c>
      <c r="H291" s="114">
        <f t="shared" si="18"/>
        <v>17.109300981807589</v>
      </c>
      <c r="I291" s="141">
        <f t="shared" si="19"/>
        <v>0</v>
      </c>
      <c r="J291" s="57">
        <f t="shared" si="20"/>
        <v>0</v>
      </c>
      <c r="K291" s="36"/>
    </row>
    <row r="292" spans="1:11" x14ac:dyDescent="0.25">
      <c r="A292" s="49">
        <f>'A) Base RI'!A294</f>
        <v>5911</v>
      </c>
      <c r="B292" s="285" t="str">
        <f>'A) Base RI'!B294</f>
        <v>Cuarny</v>
      </c>
      <c r="C292" s="98">
        <f>'B) D RI'!U294</f>
        <v>7836.9853164556971</v>
      </c>
      <c r="D292" s="114">
        <f>'E) Fact soc'!G298/C292</f>
        <v>13.71482915092527</v>
      </c>
      <c r="E292" s="141">
        <f>'H) Péréquation directe'!I303/C292</f>
        <v>5.3735363300824339</v>
      </c>
      <c r="F292" s="114">
        <f>+'I) Dépenses thématiques'!O292/'K) Plafonnement aide'!C292</f>
        <v>-1.8505131389879159</v>
      </c>
      <c r="G292" s="141">
        <f t="shared" si="17"/>
        <v>17.237852342019789</v>
      </c>
      <c r="H292" s="114">
        <f t="shared" si="18"/>
        <v>19.088365481007706</v>
      </c>
      <c r="I292" s="141">
        <f t="shared" si="19"/>
        <v>0</v>
      </c>
      <c r="J292" s="57">
        <f t="shared" si="20"/>
        <v>0</v>
      </c>
      <c r="K292" s="36"/>
    </row>
    <row r="293" spans="1:11" x14ac:dyDescent="0.25">
      <c r="A293" s="49">
        <f>'A) Base RI'!A295</f>
        <v>5912</v>
      </c>
      <c r="B293" s="285" t="str">
        <f>'A) Base RI'!B295</f>
        <v>Démoret</v>
      </c>
      <c r="C293" s="98">
        <f>'B) D RI'!U295</f>
        <v>3965.4814814814822</v>
      </c>
      <c r="D293" s="114">
        <f>'E) Fact soc'!G299/C293</f>
        <v>14.691171416609194</v>
      </c>
      <c r="E293" s="141">
        <f>'H) Péréquation directe'!I304/C293</f>
        <v>-7.1168812266613557</v>
      </c>
      <c r="F293" s="114">
        <f>+'I) Dépenses thématiques'!O293/'K) Plafonnement aide'!C293</f>
        <v>-4.3311223118628437</v>
      </c>
      <c r="G293" s="141">
        <f t="shared" si="17"/>
        <v>3.2431678780849946</v>
      </c>
      <c r="H293" s="114">
        <f t="shared" si="18"/>
        <v>7.5742901899478383</v>
      </c>
      <c r="I293" s="141">
        <f t="shared" si="19"/>
        <v>0</v>
      </c>
      <c r="J293" s="57">
        <f t="shared" si="20"/>
        <v>0</v>
      </c>
      <c r="K293" s="36"/>
    </row>
    <row r="294" spans="1:11" x14ac:dyDescent="0.25">
      <c r="A294" s="49">
        <f>'A) Base RI'!A296</f>
        <v>5913</v>
      </c>
      <c r="B294" s="285" t="str">
        <f>'A) Base RI'!B296</f>
        <v>Donneloye</v>
      </c>
      <c r="C294" s="98">
        <f>'B) D RI'!U296</f>
        <v>21603.148082191776</v>
      </c>
      <c r="D294" s="114">
        <f>'E) Fact soc'!G300/C294</f>
        <v>18.534562883635427</v>
      </c>
      <c r="E294" s="141">
        <f>'H) Péréquation directe'!I305/C294</f>
        <v>-1.5594383009091033</v>
      </c>
      <c r="F294" s="114">
        <f>+'I) Dépenses thématiques'!O294/'K) Plafonnement aide'!C294</f>
        <v>-2.5594740475472286</v>
      </c>
      <c r="G294" s="141">
        <f t="shared" si="17"/>
        <v>14.415650535179095</v>
      </c>
      <c r="H294" s="114">
        <f t="shared" si="18"/>
        <v>16.975124582726323</v>
      </c>
      <c r="I294" s="141">
        <f t="shared" si="19"/>
        <v>0</v>
      </c>
      <c r="J294" s="57">
        <f t="shared" si="20"/>
        <v>0</v>
      </c>
      <c r="K294" s="36"/>
    </row>
    <row r="295" spans="1:11" x14ac:dyDescent="0.25">
      <c r="A295" s="49">
        <f>'A) Base RI'!A297</f>
        <v>5914</v>
      </c>
      <c r="B295" s="285" t="str">
        <f>'A) Base RI'!B297</f>
        <v>Ependes</v>
      </c>
      <c r="C295" s="98">
        <f>'B) D RI'!U297</f>
        <v>10115.447866666666</v>
      </c>
      <c r="D295" s="114">
        <f>'E) Fact soc'!G301/C295</f>
        <v>15.802085648793659</v>
      </c>
      <c r="E295" s="141">
        <f>'H) Péréquation directe'!I306/C295</f>
        <v>0.8034027719993746</v>
      </c>
      <c r="F295" s="114">
        <f>+'I) Dépenses thématiques'!O295/'K) Plafonnement aide'!C295</f>
        <v>-4.6344244499956195</v>
      </c>
      <c r="G295" s="141">
        <f t="shared" si="17"/>
        <v>11.971063970797413</v>
      </c>
      <c r="H295" s="114">
        <f t="shared" si="18"/>
        <v>16.605488420793034</v>
      </c>
      <c r="I295" s="141">
        <f t="shared" si="19"/>
        <v>0</v>
      </c>
      <c r="J295" s="57">
        <f t="shared" si="20"/>
        <v>0</v>
      </c>
      <c r="K295" s="36"/>
    </row>
    <row r="296" spans="1:11" x14ac:dyDescent="0.25">
      <c r="A296" s="49">
        <f>'A) Base RI'!A298</f>
        <v>5919</v>
      </c>
      <c r="B296" s="285" t="str">
        <f>'A) Base RI'!B298</f>
        <v>Mathod</v>
      </c>
      <c r="C296" s="98">
        <f>'B) D RI'!U298</f>
        <v>17475.442962962959</v>
      </c>
      <c r="D296" s="114">
        <f>'E) Fact soc'!G302/C296</f>
        <v>16.445638531690641</v>
      </c>
      <c r="E296" s="141">
        <f>'H) Péréquation directe'!I307/C296</f>
        <v>2.9465086843002122</v>
      </c>
      <c r="F296" s="114">
        <f>+'I) Dépenses thématiques'!O296/'K) Plafonnement aide'!C296</f>
        <v>-5.194526279944033</v>
      </c>
      <c r="G296" s="141">
        <f t="shared" si="17"/>
        <v>14.197620936046821</v>
      </c>
      <c r="H296" s="114">
        <f t="shared" si="18"/>
        <v>19.392147215990853</v>
      </c>
      <c r="I296" s="141">
        <f t="shared" si="19"/>
        <v>0</v>
      </c>
      <c r="J296" s="57">
        <f t="shared" si="20"/>
        <v>0</v>
      </c>
      <c r="K296" s="36"/>
    </row>
    <row r="297" spans="1:11" x14ac:dyDescent="0.25">
      <c r="A297" s="49">
        <f>'A) Base RI'!A299</f>
        <v>5921</v>
      </c>
      <c r="B297" s="285" t="str">
        <f>'A) Base RI'!B299</f>
        <v>Molondin</v>
      </c>
      <c r="C297" s="98">
        <f>'B) D RI'!U299</f>
        <v>5665.6146913580242</v>
      </c>
      <c r="D297" s="114">
        <f>'E) Fact soc'!G303/C297</f>
        <v>18.504552872456372</v>
      </c>
      <c r="E297" s="141">
        <f>'H) Péréquation directe'!I308/C297</f>
        <v>-11.195124751904125</v>
      </c>
      <c r="F297" s="114">
        <f>+'I) Dépenses thématiques'!O297/'K) Plafonnement aide'!C297</f>
        <v>-6.529063831034418</v>
      </c>
      <c r="G297" s="141">
        <f t="shared" si="17"/>
        <v>0.78036428951782977</v>
      </c>
      <c r="H297" s="114">
        <f t="shared" si="18"/>
        <v>7.3094281205522478</v>
      </c>
      <c r="I297" s="141">
        <f t="shared" si="19"/>
        <v>0</v>
      </c>
      <c r="J297" s="57">
        <f t="shared" si="20"/>
        <v>0</v>
      </c>
      <c r="K297" s="36"/>
    </row>
    <row r="298" spans="1:11" x14ac:dyDescent="0.25">
      <c r="A298" s="49">
        <f>'A) Base RI'!A300</f>
        <v>5922</v>
      </c>
      <c r="B298" s="285" t="str">
        <f>'A) Base RI'!B300</f>
        <v>Montagny-près-Yverdon</v>
      </c>
      <c r="C298" s="98">
        <f>'B) D RI'!U300</f>
        <v>37619.371576923077</v>
      </c>
      <c r="D298" s="114">
        <f>'E) Fact soc'!G304/C298</f>
        <v>19.857881198774127</v>
      </c>
      <c r="E298" s="141">
        <f>'H) Péréquation directe'!I309/C298</f>
        <v>17.512106618790956</v>
      </c>
      <c r="F298" s="114">
        <f>+'I) Dépenses thématiques'!O298/'K) Plafonnement aide'!C298</f>
        <v>-5.3506434981837732</v>
      </c>
      <c r="G298" s="141">
        <f t="shared" si="17"/>
        <v>32.019344319381311</v>
      </c>
      <c r="H298" s="114">
        <f t="shared" si="18"/>
        <v>37.369987817565082</v>
      </c>
      <c r="I298" s="141">
        <f t="shared" si="19"/>
        <v>0</v>
      </c>
      <c r="J298" s="57">
        <f t="shared" si="20"/>
        <v>0</v>
      </c>
      <c r="K298" s="36"/>
    </row>
    <row r="299" spans="1:11" x14ac:dyDescent="0.25">
      <c r="A299" s="49">
        <f>'A) Base RI'!A301</f>
        <v>5923</v>
      </c>
      <c r="B299" s="285" t="str">
        <f>'A) Base RI'!B301</f>
        <v>Oppens</v>
      </c>
      <c r="C299" s="98">
        <f>'B) D RI'!U301</f>
        <v>5399.502592592592</v>
      </c>
      <c r="D299" s="114">
        <f>'E) Fact soc'!G305/C299</f>
        <v>17.336070600395466</v>
      </c>
      <c r="E299" s="141">
        <f>'H) Péréquation directe'!I310/C299</f>
        <v>-4.5135720323351647</v>
      </c>
      <c r="F299" s="114">
        <f>+'I) Dépenses thématiques'!O299/'K) Plafonnement aide'!C299</f>
        <v>-5.684358699107813</v>
      </c>
      <c r="G299" s="141">
        <f t="shared" si="17"/>
        <v>7.1381398689524875</v>
      </c>
      <c r="H299" s="114">
        <f t="shared" si="18"/>
        <v>12.822498568060301</v>
      </c>
      <c r="I299" s="141">
        <f t="shared" si="19"/>
        <v>0</v>
      </c>
      <c r="J299" s="57">
        <f t="shared" si="20"/>
        <v>0</v>
      </c>
      <c r="K299" s="36"/>
    </row>
    <row r="300" spans="1:11" x14ac:dyDescent="0.25">
      <c r="A300" s="49">
        <f>'A) Base RI'!A302</f>
        <v>5924</v>
      </c>
      <c r="B300" s="285" t="str">
        <f>'A) Base RI'!B302</f>
        <v>Orges</v>
      </c>
      <c r="C300" s="98">
        <f>'B) D RI'!U302</f>
        <v>11911.353243243244</v>
      </c>
      <c r="D300" s="114">
        <f>'E) Fact soc'!G306/C300</f>
        <v>18.702736183786691</v>
      </c>
      <c r="E300" s="141">
        <f>'H) Péréquation directe'!I311/C300</f>
        <v>9.7081435195070185</v>
      </c>
      <c r="F300" s="114">
        <f>+'I) Dépenses thématiques'!O300/'K) Plafonnement aide'!C300</f>
        <v>0</v>
      </c>
      <c r="G300" s="141">
        <f t="shared" si="17"/>
        <v>28.410879703293709</v>
      </c>
      <c r="H300" s="114">
        <f t="shared" si="18"/>
        <v>28.410879703293709</v>
      </c>
      <c r="I300" s="141">
        <f t="shared" si="19"/>
        <v>0</v>
      </c>
      <c r="J300" s="57">
        <f t="shared" si="20"/>
        <v>0</v>
      </c>
      <c r="K300" s="36"/>
    </row>
    <row r="301" spans="1:11" x14ac:dyDescent="0.25">
      <c r="A301" s="49">
        <f>'A) Base RI'!A303</f>
        <v>5925</v>
      </c>
      <c r="B301" s="285" t="str">
        <f>'A) Base RI'!B303</f>
        <v>Orzens</v>
      </c>
      <c r="C301" s="98">
        <f>'B) D RI'!U303</f>
        <v>5348.3883544303808</v>
      </c>
      <c r="D301" s="114">
        <f>'E) Fact soc'!G307/C301</f>
        <v>32.520573225288437</v>
      </c>
      <c r="E301" s="141">
        <f>'H) Péréquation directe'!I312/C301</f>
        <v>-5.4554232689020798</v>
      </c>
      <c r="F301" s="114">
        <f>+'I) Dépenses thématiques'!O301/'K) Plafonnement aide'!C301</f>
        <v>-8.06478219229861</v>
      </c>
      <c r="G301" s="141">
        <f t="shared" si="17"/>
        <v>19.000367764087748</v>
      </c>
      <c r="H301" s="114">
        <f t="shared" si="18"/>
        <v>27.065149956386357</v>
      </c>
      <c r="I301" s="141">
        <f t="shared" si="19"/>
        <v>0</v>
      </c>
      <c r="J301" s="57">
        <f t="shared" si="20"/>
        <v>0</v>
      </c>
      <c r="K301" s="36"/>
    </row>
    <row r="302" spans="1:11" x14ac:dyDescent="0.25">
      <c r="A302" s="49">
        <f>'A) Base RI'!A304</f>
        <v>5926</v>
      </c>
      <c r="B302" s="285" t="str">
        <f>'A) Base RI'!B304</f>
        <v>Pomy</v>
      </c>
      <c r="C302" s="98">
        <f>'B) D RI'!U304</f>
        <v>27563.954929577467</v>
      </c>
      <c r="D302" s="114">
        <f>'E) Fact soc'!G308/C302</f>
        <v>16.404802139075482</v>
      </c>
      <c r="E302" s="141">
        <f>'H) Péréquation directe'!I313/C302</f>
        <v>9.2918044407939764</v>
      </c>
      <c r="F302" s="114">
        <f>+'I) Dépenses thématiques'!O302/'K) Plafonnement aide'!C302</f>
        <v>-1.2449064934383363</v>
      </c>
      <c r="G302" s="141">
        <f t="shared" si="17"/>
        <v>24.451700086431124</v>
      </c>
      <c r="H302" s="114">
        <f t="shared" si="18"/>
        <v>25.69660657986946</v>
      </c>
      <c r="I302" s="141">
        <f t="shared" si="19"/>
        <v>0</v>
      </c>
      <c r="J302" s="57">
        <f t="shared" si="20"/>
        <v>0</v>
      </c>
      <c r="K302" s="36"/>
    </row>
    <row r="303" spans="1:11" x14ac:dyDescent="0.25">
      <c r="A303" s="49">
        <f>'A) Base RI'!A305</f>
        <v>5928</v>
      </c>
      <c r="B303" s="285" t="str">
        <f>'A) Base RI'!B305</f>
        <v>Rovray</v>
      </c>
      <c r="C303" s="98">
        <f>'B) D RI'!U305</f>
        <v>6002.0193150684927</v>
      </c>
      <c r="D303" s="114">
        <f>'E) Fact soc'!G309/C303</f>
        <v>19.472787151824885</v>
      </c>
      <c r="E303" s="141">
        <f>'H) Péréquation directe'!I314/C303</f>
        <v>6.5863197153395729</v>
      </c>
      <c r="F303" s="114">
        <f>+'I) Dépenses thématiques'!O303/'K) Plafonnement aide'!C303</f>
        <v>-0.40083203105195192</v>
      </c>
      <c r="G303" s="141">
        <f t="shared" si="17"/>
        <v>25.658274836112508</v>
      </c>
      <c r="H303" s="114">
        <f t="shared" si="18"/>
        <v>26.059106867164459</v>
      </c>
      <c r="I303" s="141">
        <f t="shared" si="19"/>
        <v>0</v>
      </c>
      <c r="J303" s="57">
        <f t="shared" si="20"/>
        <v>0</v>
      </c>
      <c r="K303" s="36"/>
    </row>
    <row r="304" spans="1:11" x14ac:dyDescent="0.25">
      <c r="A304" s="49">
        <f>'A) Base RI'!A306</f>
        <v>5929</v>
      </c>
      <c r="B304" s="285" t="str">
        <f>'A) Base RI'!B306</f>
        <v>Suchy</v>
      </c>
      <c r="C304" s="98">
        <f>'B) D RI'!U306</f>
        <v>17258.460214285715</v>
      </c>
      <c r="D304" s="114">
        <f>'E) Fact soc'!G310/C304</f>
        <v>20.82994154352372</v>
      </c>
      <c r="E304" s="141">
        <f>'H) Péréquation directe'!I315/C304</f>
        <v>0.54359825641213777</v>
      </c>
      <c r="F304" s="114">
        <f>+'I) Dépenses thématiques'!O304/'K) Plafonnement aide'!C304</f>
        <v>-1.5404735539812848</v>
      </c>
      <c r="G304" s="141">
        <f t="shared" si="17"/>
        <v>19.833066245954573</v>
      </c>
      <c r="H304" s="114">
        <f t="shared" si="18"/>
        <v>21.373539799935859</v>
      </c>
      <c r="I304" s="141">
        <f t="shared" si="19"/>
        <v>0</v>
      </c>
      <c r="J304" s="57">
        <f t="shared" si="20"/>
        <v>0</v>
      </c>
      <c r="K304" s="36"/>
    </row>
    <row r="305" spans="1:13" x14ac:dyDescent="0.25">
      <c r="A305" s="49">
        <f>'A) Base RI'!A307</f>
        <v>5930</v>
      </c>
      <c r="B305" s="285" t="str">
        <f>'A) Base RI'!B307</f>
        <v>Suscévaz</v>
      </c>
      <c r="C305" s="98">
        <f>'B) D RI'!U307</f>
        <v>5852.6869444444428</v>
      </c>
      <c r="D305" s="114">
        <f>'E) Fact soc'!G311/C305</f>
        <v>14.921954305361192</v>
      </c>
      <c r="E305" s="141">
        <f>'H) Péréquation directe'!I316/C305</f>
        <v>0.3846080412541823</v>
      </c>
      <c r="F305" s="114">
        <f>+'I) Dépenses thématiques'!O305/'K) Plafonnement aide'!C305</f>
        <v>-5.7943079347266622</v>
      </c>
      <c r="G305" s="141">
        <f t="shared" si="17"/>
        <v>9.512254411888712</v>
      </c>
      <c r="H305" s="114">
        <f t="shared" si="18"/>
        <v>15.306562346615374</v>
      </c>
      <c r="I305" s="141">
        <f t="shared" si="19"/>
        <v>0</v>
      </c>
      <c r="J305" s="57">
        <f t="shared" si="20"/>
        <v>0</v>
      </c>
      <c r="K305" s="36"/>
    </row>
    <row r="306" spans="1:13" x14ac:dyDescent="0.25">
      <c r="A306" s="49">
        <f>'A) Base RI'!A308</f>
        <v>5931</v>
      </c>
      <c r="B306" s="285" t="str">
        <f>'A) Base RI'!B308</f>
        <v>Treycovagnes</v>
      </c>
      <c r="C306" s="98">
        <f>'B) D RI'!U308</f>
        <v>12202.115733333332</v>
      </c>
      <c r="D306" s="114">
        <f>'E) Fact soc'!G312/C306</f>
        <v>16.568407750094007</v>
      </c>
      <c r="E306" s="141">
        <f>'H) Péréquation directe'!I317/C306</f>
        <v>-5.1057647321938084</v>
      </c>
      <c r="F306" s="114">
        <f>+'I) Dépenses thématiques'!O306/'K) Plafonnement aide'!C306</f>
        <v>-0.55105019215961182</v>
      </c>
      <c r="G306" s="141">
        <f t="shared" si="17"/>
        <v>10.911592825740588</v>
      </c>
      <c r="H306" s="114">
        <f t="shared" si="18"/>
        <v>11.462643017900199</v>
      </c>
      <c r="I306" s="141">
        <f t="shared" si="19"/>
        <v>0</v>
      </c>
      <c r="J306" s="57">
        <f t="shared" si="20"/>
        <v>0</v>
      </c>
      <c r="K306" s="36"/>
    </row>
    <row r="307" spans="1:13" x14ac:dyDescent="0.25">
      <c r="A307" s="49">
        <f>'A) Base RI'!A309</f>
        <v>5932</v>
      </c>
      <c r="B307" s="285" t="str">
        <f>'A) Base RI'!B309</f>
        <v>Ursins</v>
      </c>
      <c r="C307" s="98">
        <f>'B) D RI'!U309</f>
        <v>8278.3758441558457</v>
      </c>
      <c r="D307" s="114">
        <f>'E) Fact soc'!G313/C307</f>
        <v>17.501127794274968</v>
      </c>
      <c r="E307" s="141">
        <f>'H) Péréquation directe'!I318/C307</f>
        <v>9.9999728738313909</v>
      </c>
      <c r="F307" s="114">
        <f>+'I) Dépenses thématiques'!O307/'K) Plafonnement aide'!C307</f>
        <v>-1.3654173073142464</v>
      </c>
      <c r="G307" s="141">
        <f t="shared" si="17"/>
        <v>26.135683360792115</v>
      </c>
      <c r="H307" s="114">
        <f t="shared" si="18"/>
        <v>27.501100668106361</v>
      </c>
      <c r="I307" s="141">
        <f t="shared" si="19"/>
        <v>0</v>
      </c>
      <c r="J307" s="57">
        <f t="shared" si="20"/>
        <v>0</v>
      </c>
      <c r="K307" s="36"/>
    </row>
    <row r="308" spans="1:13" x14ac:dyDescent="0.25">
      <c r="A308" s="49">
        <f>'A) Base RI'!A310</f>
        <v>5933</v>
      </c>
      <c r="B308" s="285" t="str">
        <f>'A) Base RI'!B310</f>
        <v>Valeyres-sous-Montagny</v>
      </c>
      <c r="C308" s="98">
        <f>'B) D RI'!U310</f>
        <v>22135.641944444447</v>
      </c>
      <c r="D308" s="114">
        <f>'E) Fact soc'!G314/C308</f>
        <v>17.785405826973342</v>
      </c>
      <c r="E308" s="141">
        <f>'H) Péréquation directe'!I319/C308</f>
        <v>5.5271829481389876</v>
      </c>
      <c r="F308" s="114">
        <f>+'I) Dépenses thématiques'!O308/'K) Plafonnement aide'!C308</f>
        <v>-5.2614845746894439</v>
      </c>
      <c r="G308" s="141">
        <f t="shared" si="17"/>
        <v>18.051104200422888</v>
      </c>
      <c r="H308" s="114">
        <f t="shared" si="18"/>
        <v>23.312588775112332</v>
      </c>
      <c r="I308" s="141">
        <f t="shared" si="19"/>
        <v>0</v>
      </c>
      <c r="J308" s="57">
        <f t="shared" si="20"/>
        <v>0</v>
      </c>
      <c r="K308" s="36"/>
    </row>
    <row r="309" spans="1:13" x14ac:dyDescent="0.25">
      <c r="A309" s="49">
        <f>'A) Base RI'!A311</f>
        <v>5934</v>
      </c>
      <c r="B309" s="285" t="str">
        <f>'A) Base RI'!B311</f>
        <v>Valeyres-sous-Ursins</v>
      </c>
      <c r="C309" s="98">
        <f>'B) D RI'!U311</f>
        <v>7563.0520253164568</v>
      </c>
      <c r="D309" s="114">
        <f>'E) Fact soc'!G315/C309</f>
        <v>17.171542427836645</v>
      </c>
      <c r="E309" s="141">
        <f>'H) Péréquation directe'!I320/C309</f>
        <v>5.9954778110534157</v>
      </c>
      <c r="F309" s="114">
        <f>+'I) Dépenses thématiques'!O309/'K) Plafonnement aide'!C309</f>
        <v>-19.906841504075629</v>
      </c>
      <c r="G309" s="141">
        <f t="shared" si="17"/>
        <v>3.2601787348144313</v>
      </c>
      <c r="H309" s="114">
        <f t="shared" si="18"/>
        <v>23.167020238890061</v>
      </c>
      <c r="I309" s="141">
        <f t="shared" si="19"/>
        <v>0</v>
      </c>
      <c r="J309" s="57">
        <f t="shared" si="20"/>
        <v>0</v>
      </c>
      <c r="K309" s="36"/>
    </row>
    <row r="310" spans="1:13" x14ac:dyDescent="0.25">
      <c r="A310" s="49">
        <f>'A) Base RI'!A312</f>
        <v>5935</v>
      </c>
      <c r="B310" s="285" t="str">
        <f>'A) Base RI'!B312</f>
        <v>Villars-Epeney</v>
      </c>
      <c r="C310" s="98">
        <f>'B) D RI'!U312</f>
        <v>4858.9101666666666</v>
      </c>
      <c r="D310" s="114">
        <f>'E) Fact soc'!G316/C310</f>
        <v>14.933254197780922</v>
      </c>
      <c r="E310" s="141">
        <f>'H) Péréquation directe'!I321/C310</f>
        <v>17.369446260894517</v>
      </c>
      <c r="F310" s="114">
        <f>+'I) Dépenses thématiques'!O310/'K) Plafonnement aide'!C310</f>
        <v>-0.44266906851198817</v>
      </c>
      <c r="G310" s="141">
        <f t="shared" si="17"/>
        <v>31.860031390163449</v>
      </c>
      <c r="H310" s="114">
        <f t="shared" si="18"/>
        <v>32.302700458675439</v>
      </c>
      <c r="I310" s="141">
        <f t="shared" si="19"/>
        <v>0</v>
      </c>
      <c r="J310" s="57">
        <f t="shared" si="20"/>
        <v>0</v>
      </c>
      <c r="K310" s="36"/>
    </row>
    <row r="311" spans="1:13" x14ac:dyDescent="0.25">
      <c r="A311" s="49">
        <f>'A) Base RI'!A313</f>
        <v>5937</v>
      </c>
      <c r="B311" s="285" t="str">
        <f>'A) Base RI'!B313</f>
        <v>Vugelles-La Mothe</v>
      </c>
      <c r="C311" s="98">
        <f>'B) D RI'!U313</f>
        <v>2984.3882040816329</v>
      </c>
      <c r="D311" s="114">
        <f>'E) Fact soc'!G317/C311</f>
        <v>20.463227135245457</v>
      </c>
      <c r="E311" s="141">
        <f>'H) Péréquation directe'!I322/C311</f>
        <v>-7.6325543633549335</v>
      </c>
      <c r="F311" s="114">
        <f>+'I) Dépenses thématiques'!O311/'K) Plafonnement aide'!C311</f>
        <v>-10.214155092269388</v>
      </c>
      <c r="G311" s="141">
        <f t="shared" si="17"/>
        <v>2.6165176796211345</v>
      </c>
      <c r="H311" s="114">
        <f t="shared" si="18"/>
        <v>12.830672771890523</v>
      </c>
      <c r="I311" s="141">
        <f t="shared" si="19"/>
        <v>0</v>
      </c>
      <c r="J311" s="57">
        <f t="shared" si="20"/>
        <v>0</v>
      </c>
      <c r="K311" s="36"/>
    </row>
    <row r="312" spans="1:13" x14ac:dyDescent="0.25">
      <c r="A312" s="49">
        <f>'A) Base RI'!A314</f>
        <v>5938</v>
      </c>
      <c r="B312" s="285" t="str">
        <f>'A) Base RI'!B314</f>
        <v>Yverdon-les-Bains</v>
      </c>
      <c r="C312" s="98">
        <f>'B) D RI'!U314</f>
        <v>788422.31346405216</v>
      </c>
      <c r="D312" s="114">
        <f>'E) Fact soc'!G318/C312</f>
        <v>18.735720315776536</v>
      </c>
      <c r="E312" s="141">
        <f>'H) Péréquation directe'!I323/C312</f>
        <v>-31.423618200900915</v>
      </c>
      <c r="F312" s="114">
        <f>+'I) Dépenses thématiques'!O312/'K) Plafonnement aide'!C312</f>
        <v>-12.707251617708414</v>
      </c>
      <c r="G312" s="141">
        <f t="shared" si="17"/>
        <v>-25.395149502832794</v>
      </c>
      <c r="H312" s="114">
        <f t="shared" si="18"/>
        <v>-12.68789788512438</v>
      </c>
      <c r="I312" s="141">
        <f t="shared" si="19"/>
        <v>-4.6878978851243804</v>
      </c>
      <c r="J312" s="57">
        <f t="shared" si="20"/>
        <v>3696043.2958730017</v>
      </c>
      <c r="K312" s="36"/>
    </row>
    <row r="313" spans="1:13" x14ac:dyDescent="0.25">
      <c r="A313" s="49">
        <f>'A) Base RI'!A315</f>
        <v>5939</v>
      </c>
      <c r="B313" s="285" t="str">
        <f>'A) Base RI'!B315</f>
        <v>Yvonand</v>
      </c>
      <c r="C313" s="98">
        <f>'B) D RI'!U315</f>
        <v>95122.764246575331</v>
      </c>
      <c r="D313" s="114">
        <f>'E) Fact soc'!G319/C313</f>
        <v>21.570644591964903</v>
      </c>
      <c r="E313" s="141">
        <f>'H) Péréquation directe'!I324/C313</f>
        <v>-5.7985694134581118</v>
      </c>
      <c r="F313" s="114">
        <f>+'I) Dépenses thématiques'!O313/'K) Plafonnement aide'!C313</f>
        <v>-3.5827681771068862</v>
      </c>
      <c r="G313" s="141">
        <f t="shared" si="17"/>
        <v>12.189307001399907</v>
      </c>
      <c r="H313" s="114">
        <f t="shared" si="18"/>
        <v>15.772075178506793</v>
      </c>
      <c r="I313" s="141">
        <f t="shared" si="19"/>
        <v>0</v>
      </c>
      <c r="J313" s="57">
        <f t="shared" si="20"/>
        <v>0</v>
      </c>
      <c r="K313" s="36"/>
    </row>
    <row r="314" spans="1:13" x14ac:dyDescent="0.25">
      <c r="A314" s="30"/>
      <c r="B314" s="292">
        <f>COUNTA(B5:B313)</f>
        <v>309</v>
      </c>
      <c r="C314" s="100">
        <f>'B) D RI'!U316</f>
        <v>37986675.400474928</v>
      </c>
      <c r="D314" s="300">
        <f>'E) Fact soc'!G320/C314</f>
        <v>21.735409885058729</v>
      </c>
      <c r="E314" s="113">
        <f>'H) Péréquation directe'!I325/C314</f>
        <v>5.0560159228809765</v>
      </c>
      <c r="F314" s="300">
        <f>'I) Dépenses thématiques'!P314</f>
        <v>-4.4999999999999982</v>
      </c>
      <c r="G314" s="113">
        <f t="shared" ref="G314" si="21">SUM(D314:F314)</f>
        <v>22.29142580793971</v>
      </c>
      <c r="H314" s="300">
        <f t="shared" ref="H314" si="22">G314-F314</f>
        <v>26.79142580793971</v>
      </c>
      <c r="I314" s="113"/>
      <c r="J314" s="37">
        <f>SUM(J5:J313)</f>
        <v>4088252.3142886814</v>
      </c>
      <c r="L314" s="12"/>
      <c r="M314" s="12"/>
    </row>
    <row r="315" spans="1:13" x14ac:dyDescent="0.25">
      <c r="B315" s="12"/>
      <c r="C315" s="483"/>
      <c r="D315" s="383"/>
      <c r="E315" s="383"/>
      <c r="F315" s="383"/>
      <c r="G315" s="383"/>
      <c r="H315" s="383"/>
      <c r="I315" s="383"/>
      <c r="J315" s="464"/>
    </row>
    <row r="316" spans="1:13" x14ac:dyDescent="0.25">
      <c r="I316" s="28"/>
    </row>
  </sheetData>
  <mergeCells count="9">
    <mergeCell ref="C3:C4"/>
    <mergeCell ref="B3:B4"/>
    <mergeCell ref="A3:A4"/>
    <mergeCell ref="J3:J4"/>
    <mergeCell ref="H3:H4"/>
    <mergeCell ref="G3:G4"/>
    <mergeCell ref="F3:F4"/>
    <mergeCell ref="E3:E4"/>
    <mergeCell ref="D3:D4"/>
  </mergeCells>
  <phoneticPr fontId="15"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00B050"/>
  </sheetPr>
  <dimension ref="A1:V320"/>
  <sheetViews>
    <sheetView workbookViewId="0">
      <pane ySplit="5" topLeftCell="A6" activePane="bottomLeft" state="frozen"/>
      <selection pane="bottomLeft"/>
    </sheetView>
  </sheetViews>
  <sheetFormatPr baseColWidth="10" defaultColWidth="10.75" defaultRowHeight="15" x14ac:dyDescent="0.25"/>
  <cols>
    <col min="1" max="1" width="7.25" style="13" customWidth="1"/>
    <col min="2" max="2" width="18" style="13" customWidth="1"/>
    <col min="3" max="3" width="11.125" style="6" customWidth="1"/>
    <col min="4" max="4" width="11.25" style="6" customWidth="1"/>
    <col min="5" max="6" width="10.125" style="6" customWidth="1"/>
    <col min="7" max="7" width="11" style="6" customWidth="1"/>
    <col min="8" max="8" width="11" style="13" customWidth="1"/>
    <col min="9" max="9" width="9.125" style="13" customWidth="1"/>
    <col min="10" max="10" width="12.125" style="13" bestFit="1" customWidth="1"/>
    <col min="11" max="11" width="10" style="13" customWidth="1"/>
    <col min="12" max="12" width="8.875" style="15" bestFit="1" customWidth="1"/>
    <col min="13" max="14" width="10.375" style="15" customWidth="1"/>
    <col min="15" max="15" width="6.75" style="13" customWidth="1"/>
    <col min="16" max="16" width="12.25" style="13" customWidth="1"/>
    <col min="17" max="17" width="12.625" style="13" customWidth="1"/>
    <col min="18" max="18" width="8.25" style="13" customWidth="1"/>
    <col min="19" max="19" width="8.125" style="13" customWidth="1"/>
    <col min="20" max="20" width="9.625" style="13" customWidth="1"/>
    <col min="21" max="21" width="11.25" style="6" bestFit="1" customWidth="1"/>
    <col min="22" max="16384" width="10.75" style="13"/>
  </cols>
  <sheetData>
    <row r="1" spans="1:22" s="43" customFormat="1" ht="21" x14ac:dyDescent="0.25">
      <c r="A1" s="51" t="s">
        <v>126</v>
      </c>
      <c r="B1" s="42"/>
      <c r="C1" s="44"/>
      <c r="D1" s="44"/>
      <c r="E1" s="44"/>
      <c r="F1" s="44"/>
      <c r="G1" s="44"/>
      <c r="H1" s="71"/>
      <c r="I1" s="71"/>
      <c r="J1" s="71"/>
      <c r="K1" s="71"/>
      <c r="L1" s="139"/>
      <c r="M1" s="139"/>
      <c r="N1" s="139"/>
      <c r="O1" s="71"/>
      <c r="P1" s="71"/>
      <c r="Q1" s="71"/>
      <c r="R1" s="71"/>
      <c r="S1" s="71"/>
      <c r="T1" s="71"/>
      <c r="U1" s="6"/>
    </row>
    <row r="2" spans="1:22" x14ac:dyDescent="0.25">
      <c r="F2" s="492"/>
      <c r="H2" s="147"/>
      <c r="I2" s="147"/>
    </row>
    <row r="3" spans="1:22" x14ac:dyDescent="0.25">
      <c r="C3" s="588" t="str">
        <f>Paramètres!B6</f>
        <v>Décompte 2018</v>
      </c>
      <c r="D3" s="589"/>
      <c r="E3" s="589"/>
      <c r="F3" s="589"/>
      <c r="G3" s="589"/>
      <c r="H3" s="589"/>
      <c r="I3" s="590"/>
    </row>
    <row r="4" spans="1:22" ht="30" x14ac:dyDescent="0.25">
      <c r="A4" s="559" t="s">
        <v>46</v>
      </c>
      <c r="B4" s="559" t="s">
        <v>96</v>
      </c>
      <c r="C4" s="556" t="s">
        <v>93</v>
      </c>
      <c r="D4" s="556" t="s">
        <v>145</v>
      </c>
      <c r="E4" s="556" t="s">
        <v>438</v>
      </c>
      <c r="F4" s="556" t="s">
        <v>253</v>
      </c>
      <c r="G4" s="556" t="s">
        <v>254</v>
      </c>
      <c r="H4" s="559" t="s">
        <v>360</v>
      </c>
      <c r="I4" s="64" t="s">
        <v>371</v>
      </c>
      <c r="J4" s="64" t="s">
        <v>371</v>
      </c>
      <c r="K4" s="573" t="s">
        <v>456</v>
      </c>
      <c r="L4" s="581" t="s">
        <v>359</v>
      </c>
      <c r="M4" s="581" t="s">
        <v>263</v>
      </c>
      <c r="N4" s="581" t="s">
        <v>264</v>
      </c>
      <c r="O4" s="575" t="s">
        <v>125</v>
      </c>
      <c r="P4" s="116" t="s">
        <v>126</v>
      </c>
      <c r="Q4" s="573" t="s">
        <v>372</v>
      </c>
      <c r="R4" s="559" t="s">
        <v>127</v>
      </c>
      <c r="S4" s="559" t="s">
        <v>257</v>
      </c>
      <c r="T4" s="148"/>
    </row>
    <row r="5" spans="1:22" ht="30" x14ac:dyDescent="0.25">
      <c r="A5" s="561"/>
      <c r="B5" s="561"/>
      <c r="C5" s="557"/>
      <c r="D5" s="558"/>
      <c r="E5" s="557"/>
      <c r="F5" s="558"/>
      <c r="G5" s="557"/>
      <c r="H5" s="561"/>
      <c r="I5" s="349" t="str">
        <f>Paramètres!B6</f>
        <v>Décompte 2018</v>
      </c>
      <c r="J5" s="357" t="str">
        <f>Paramètres!B5</f>
        <v>Décompte 2019</v>
      </c>
      <c r="K5" s="574"/>
      <c r="L5" s="587"/>
      <c r="M5" s="587"/>
      <c r="N5" s="587"/>
      <c r="O5" s="576"/>
      <c r="P5" s="121">
        <f>Paramètres!B50</f>
        <v>93.407859588714757</v>
      </c>
      <c r="Q5" s="574"/>
      <c r="R5" s="561"/>
      <c r="S5" s="561"/>
      <c r="T5" s="142"/>
    </row>
    <row r="6" spans="1:22" x14ac:dyDescent="0.25">
      <c r="A6" s="46">
        <f>'A) Base RI'!A7</f>
        <v>5401</v>
      </c>
      <c r="B6" s="353" t="str">
        <f>'A) Base RI'!B7</f>
        <v>Aigle</v>
      </c>
      <c r="C6" s="410">
        <v>5260827.5786436517</v>
      </c>
      <c r="D6" s="410">
        <v>-3175942.0392084271</v>
      </c>
      <c r="E6" s="411">
        <v>0</v>
      </c>
      <c r="F6" s="411">
        <v>0</v>
      </c>
      <c r="G6" s="411">
        <v>0</v>
      </c>
      <c r="H6" s="352">
        <f>SUM(C6:G6)</f>
        <v>2084885.5394352246</v>
      </c>
      <c r="I6" s="412">
        <v>276325.40780246921</v>
      </c>
      <c r="J6" s="354">
        <f>'B) D RI'!U7</f>
        <v>277789.63254320994</v>
      </c>
      <c r="K6" s="70">
        <f>H6/I6</f>
        <v>7.5450374108399103</v>
      </c>
      <c r="L6" s="90">
        <f>'B) D RI'!S7</f>
        <v>67.5</v>
      </c>
      <c r="M6" s="90">
        <f>L6-K6</f>
        <v>59.95496258916009</v>
      </c>
      <c r="N6" s="90">
        <f>'J) Plafonnement effort'!G5+'J) Plafonnement effort'!H5-'K) Plafonnement aide'!I5</f>
        <v>-4.2244962614811428</v>
      </c>
      <c r="O6" s="128">
        <f>M6+N6</f>
        <v>55.730466327678947</v>
      </c>
      <c r="P6" s="47">
        <f>IF(O6&gt;$P$5,$P$5-O6,0)</f>
        <v>0</v>
      </c>
      <c r="Q6" s="103">
        <f>P6*J6</f>
        <v>0</v>
      </c>
      <c r="R6" s="149">
        <f>O6+P6</f>
        <v>55.730466327678947</v>
      </c>
      <c r="S6" s="128">
        <f>R6-L6</f>
        <v>-11.769533672321053</v>
      </c>
      <c r="T6" s="150"/>
      <c r="V6" s="12"/>
    </row>
    <row r="7" spans="1:22" x14ac:dyDescent="0.25">
      <c r="A7" s="49">
        <f>'A) Base RI'!A8</f>
        <v>5402</v>
      </c>
      <c r="B7" s="350" t="str">
        <f>'A) Base RI'!B8</f>
        <v>Bex</v>
      </c>
      <c r="C7" s="410">
        <v>3027604.6396933645</v>
      </c>
      <c r="D7" s="410">
        <v>-3716560.4729800015</v>
      </c>
      <c r="E7" s="411">
        <v>0</v>
      </c>
      <c r="F7" s="411">
        <v>0</v>
      </c>
      <c r="G7" s="411">
        <v>0</v>
      </c>
      <c r="H7" s="352">
        <f t="shared" ref="H7:H70" si="0">SUM(C7:G7)</f>
        <v>-688955.83328663697</v>
      </c>
      <c r="I7" s="412">
        <v>172586.81591549295</v>
      </c>
      <c r="J7" s="355">
        <f>'B) D RI'!U8</f>
        <v>185729.53788732394</v>
      </c>
      <c r="K7" s="65">
        <f t="shared" ref="K7:K61" si="1">H7/I7</f>
        <v>-3.9919377945067591</v>
      </c>
      <c r="L7" s="33">
        <f>'B) D RI'!S8</f>
        <v>71</v>
      </c>
      <c r="M7" s="33">
        <f t="shared" ref="M7:M60" si="2">L7-K7</f>
        <v>74.991937794506754</v>
      </c>
      <c r="N7" s="33">
        <f>'J) Plafonnement effort'!G6+'J) Plafonnement effort'!H6-'K) Plafonnement aide'!I6</f>
        <v>-11.403210695791325</v>
      </c>
      <c r="O7" s="130">
        <f t="shared" ref="O7:O60" si="3">M7+N7</f>
        <v>63.588727098715431</v>
      </c>
      <c r="P7" s="47">
        <f t="shared" ref="P7:P60" si="4">IF(O7&gt;$P$5,$P$5-O7,0)</f>
        <v>0</v>
      </c>
      <c r="Q7" s="57">
        <f t="shared" ref="Q7:Q62" si="5">P7*J7</f>
        <v>0</v>
      </c>
      <c r="R7" s="151">
        <f t="shared" ref="R7:R60" si="6">O7+P7</f>
        <v>63.588727098715431</v>
      </c>
      <c r="S7" s="130">
        <f t="shared" ref="S7:S60" si="7">R7-L7</f>
        <v>-7.4112729012845691</v>
      </c>
      <c r="T7" s="150"/>
      <c r="V7" s="12"/>
    </row>
    <row r="8" spans="1:22" x14ac:dyDescent="0.25">
      <c r="A8" s="49">
        <f>'A) Base RI'!A9</f>
        <v>5403</v>
      </c>
      <c r="B8" s="350" t="str">
        <f>'A) Base RI'!B9</f>
        <v>Chessel</v>
      </c>
      <c r="C8" s="410">
        <v>181036.62000155236</v>
      </c>
      <c r="D8" s="410">
        <v>-45541.005570100475</v>
      </c>
      <c r="E8" s="411">
        <v>0</v>
      </c>
      <c r="F8" s="411">
        <v>0</v>
      </c>
      <c r="G8" s="411">
        <v>0</v>
      </c>
      <c r="H8" s="352">
        <f t="shared" si="0"/>
        <v>135495.61443145189</v>
      </c>
      <c r="I8" s="412">
        <v>10175.556621621625</v>
      </c>
      <c r="J8" s="355">
        <f>'B) D RI'!U9</f>
        <v>10653.993243243245</v>
      </c>
      <c r="K8" s="65">
        <f t="shared" si="1"/>
        <v>13.315793864636632</v>
      </c>
      <c r="L8" s="33">
        <f>'B) D RI'!S9</f>
        <v>74</v>
      </c>
      <c r="M8" s="33">
        <f t="shared" si="2"/>
        <v>60.684206135363368</v>
      </c>
      <c r="N8" s="33">
        <f>'J) Plafonnement effort'!G7+'J) Plafonnement effort'!H7-'K) Plafonnement aide'!I7</f>
        <v>10.285697170005513</v>
      </c>
      <c r="O8" s="130">
        <f t="shared" si="3"/>
        <v>70.969903305368888</v>
      </c>
      <c r="P8" s="47">
        <f t="shared" si="4"/>
        <v>0</v>
      </c>
      <c r="Q8" s="57">
        <f t="shared" si="5"/>
        <v>0</v>
      </c>
      <c r="R8" s="151">
        <f t="shared" si="6"/>
        <v>70.969903305368888</v>
      </c>
      <c r="S8" s="130">
        <f t="shared" si="7"/>
        <v>-3.0300966946311121</v>
      </c>
      <c r="T8" s="150">
        <f t="shared" ref="T8:T70" si="8">+C8+D8+E8+F8+G8-H8</f>
        <v>0</v>
      </c>
      <c r="V8" s="12"/>
    </row>
    <row r="9" spans="1:22" x14ac:dyDescent="0.25">
      <c r="A9" s="49">
        <f>'A) Base RI'!A10</f>
        <v>5404</v>
      </c>
      <c r="B9" s="350" t="str">
        <f>'A) Base RI'!B10</f>
        <v>Corbeyrier</v>
      </c>
      <c r="C9" s="410">
        <v>212853.32983987691</v>
      </c>
      <c r="D9" s="410">
        <v>36750.246462897572</v>
      </c>
      <c r="E9" s="411">
        <v>0</v>
      </c>
      <c r="F9" s="411">
        <v>0</v>
      </c>
      <c r="G9" s="411">
        <v>0</v>
      </c>
      <c r="H9" s="352">
        <f t="shared" si="0"/>
        <v>249603.57630277448</v>
      </c>
      <c r="I9" s="412">
        <v>12084.741666666667</v>
      </c>
      <c r="J9" s="355">
        <f>'B) D RI'!U10</f>
        <v>14595.552612612611</v>
      </c>
      <c r="K9" s="65">
        <f t="shared" si="1"/>
        <v>20.654440383384927</v>
      </c>
      <c r="L9" s="33">
        <f>'B) D RI'!S10</f>
        <v>74</v>
      </c>
      <c r="M9" s="33">
        <f t="shared" si="2"/>
        <v>53.345559616615077</v>
      </c>
      <c r="N9" s="33">
        <f>'J) Plafonnement effort'!G8+'J) Plafonnement effort'!H8-'K) Plafonnement aide'!I8</f>
        <v>18.944860100539479</v>
      </c>
      <c r="O9" s="130">
        <f t="shared" si="3"/>
        <v>72.290419717154549</v>
      </c>
      <c r="P9" s="47">
        <f t="shared" si="4"/>
        <v>0</v>
      </c>
      <c r="Q9" s="57">
        <f t="shared" si="5"/>
        <v>0</v>
      </c>
      <c r="R9" s="151">
        <f t="shared" si="6"/>
        <v>72.290419717154549</v>
      </c>
      <c r="S9" s="130">
        <f t="shared" si="7"/>
        <v>-1.7095802828454509</v>
      </c>
      <c r="T9" s="150">
        <f t="shared" si="8"/>
        <v>0</v>
      </c>
      <c r="V9" s="12"/>
    </row>
    <row r="10" spans="1:22" x14ac:dyDescent="0.25">
      <c r="A10" s="49">
        <f>'A) Base RI'!A11</f>
        <v>5405</v>
      </c>
      <c r="B10" s="350" t="str">
        <f>'A) Base RI'!B11</f>
        <v>Gryon</v>
      </c>
      <c r="C10" s="410">
        <v>1776866.6268886912</v>
      </c>
      <c r="D10" s="410">
        <v>1066756.9828756647</v>
      </c>
      <c r="E10" s="411">
        <v>0</v>
      </c>
      <c r="F10" s="411">
        <v>0</v>
      </c>
      <c r="G10" s="411">
        <v>0</v>
      </c>
      <c r="H10" s="352">
        <f t="shared" si="0"/>
        <v>2843623.6097643562</v>
      </c>
      <c r="I10" s="412">
        <v>67578.882888888897</v>
      </c>
      <c r="J10" s="355">
        <f>'B) D RI'!U11</f>
        <v>65705.555822222203</v>
      </c>
      <c r="K10" s="65">
        <f t="shared" si="1"/>
        <v>42.078582660795888</v>
      </c>
      <c r="L10" s="33">
        <f>'B) D RI'!S11</f>
        <v>75</v>
      </c>
      <c r="M10" s="33">
        <f t="shared" si="2"/>
        <v>32.921417339204112</v>
      </c>
      <c r="N10" s="33">
        <f>'J) Plafonnement effort'!G9+'J) Plafonnement effort'!H9-'K) Plafonnement aide'!I9</f>
        <v>20.244166064654685</v>
      </c>
      <c r="O10" s="130">
        <f t="shared" si="3"/>
        <v>53.165583403858797</v>
      </c>
      <c r="P10" s="47">
        <f t="shared" si="4"/>
        <v>0</v>
      </c>
      <c r="Q10" s="57">
        <f t="shared" si="5"/>
        <v>0</v>
      </c>
      <c r="R10" s="151">
        <f t="shared" si="6"/>
        <v>53.165583403858797</v>
      </c>
      <c r="S10" s="130">
        <f t="shared" si="7"/>
        <v>-21.834416596141203</v>
      </c>
      <c r="T10" s="150">
        <f t="shared" si="8"/>
        <v>0</v>
      </c>
      <c r="V10" s="12"/>
    </row>
    <row r="11" spans="1:22" x14ac:dyDescent="0.25">
      <c r="A11" s="49">
        <f>'A) Base RI'!A12</f>
        <v>5406</v>
      </c>
      <c r="B11" s="350" t="str">
        <f>'A) Base RI'!B12</f>
        <v>Lavey-Morcles</v>
      </c>
      <c r="C11" s="410">
        <v>341022.5278879205</v>
      </c>
      <c r="D11" s="410">
        <v>-105930.60879013693</v>
      </c>
      <c r="E11" s="411">
        <v>0</v>
      </c>
      <c r="F11" s="411">
        <v>0</v>
      </c>
      <c r="G11" s="411">
        <v>0</v>
      </c>
      <c r="H11" s="352">
        <f t="shared" si="0"/>
        <v>235091.91909778357</v>
      </c>
      <c r="I11" s="412">
        <v>21586.094615384616</v>
      </c>
      <c r="J11" s="355">
        <f>'B) D RI'!U12</f>
        <v>24857.219750812561</v>
      </c>
      <c r="K11" s="65">
        <f t="shared" si="1"/>
        <v>10.890896351868639</v>
      </c>
      <c r="L11" s="33">
        <f>'B) D RI'!S12</f>
        <v>71</v>
      </c>
      <c r="M11" s="33">
        <f t="shared" si="2"/>
        <v>60.109103648131359</v>
      </c>
      <c r="N11" s="33">
        <f>'J) Plafonnement effort'!G10+'J) Plafonnement effort'!H10-'K) Plafonnement aide'!I10</f>
        <v>10.889128332123452</v>
      </c>
      <c r="O11" s="130">
        <f t="shared" si="3"/>
        <v>70.998231980254815</v>
      </c>
      <c r="P11" s="47">
        <f t="shared" si="4"/>
        <v>0</v>
      </c>
      <c r="Q11" s="57">
        <f t="shared" si="5"/>
        <v>0</v>
      </c>
      <c r="R11" s="151">
        <f t="shared" si="6"/>
        <v>70.998231980254815</v>
      </c>
      <c r="S11" s="130">
        <f t="shared" si="7"/>
        <v>-1.7680197451852564E-3</v>
      </c>
      <c r="T11" s="150">
        <f t="shared" si="8"/>
        <v>0</v>
      </c>
      <c r="V11" s="12"/>
    </row>
    <row r="12" spans="1:22" x14ac:dyDescent="0.25">
      <c r="A12" s="49">
        <f>'A) Base RI'!A13</f>
        <v>5407</v>
      </c>
      <c r="B12" s="350" t="str">
        <f>'A) Base RI'!B13</f>
        <v>Leysin</v>
      </c>
      <c r="C12" s="410">
        <v>1534486.4139272748</v>
      </c>
      <c r="D12" s="410">
        <v>-1690059.7487696793</v>
      </c>
      <c r="E12" s="411">
        <v>0</v>
      </c>
      <c r="F12" s="411">
        <v>0</v>
      </c>
      <c r="G12" s="411">
        <v>0</v>
      </c>
      <c r="H12" s="352">
        <f t="shared" si="0"/>
        <v>-155573.33484240458</v>
      </c>
      <c r="I12" s="412">
        <v>89616.305299145315</v>
      </c>
      <c r="J12" s="355">
        <f>'B) D RI'!U13</f>
        <v>90593.766196581171</v>
      </c>
      <c r="K12" s="65">
        <f t="shared" si="1"/>
        <v>-1.7359936266407126</v>
      </c>
      <c r="L12" s="33">
        <f>'B) D RI'!S13</f>
        <v>78</v>
      </c>
      <c r="M12" s="33">
        <f t="shared" si="2"/>
        <v>79.735993626640706</v>
      </c>
      <c r="N12" s="33">
        <f>'J) Plafonnement effort'!G11+'J) Plafonnement effort'!H11-'K) Plafonnement aide'!I11</f>
        <v>-21.407161206679767</v>
      </c>
      <c r="O12" s="130">
        <f t="shared" si="3"/>
        <v>58.328832419960939</v>
      </c>
      <c r="P12" s="47">
        <f t="shared" si="4"/>
        <v>0</v>
      </c>
      <c r="Q12" s="57">
        <f t="shared" si="5"/>
        <v>0</v>
      </c>
      <c r="R12" s="151">
        <f t="shared" si="6"/>
        <v>58.328832419960939</v>
      </c>
      <c r="S12" s="130">
        <f t="shared" si="7"/>
        <v>-19.671167580039061</v>
      </c>
      <c r="T12" s="150">
        <f t="shared" si="8"/>
        <v>0</v>
      </c>
      <c r="V12" s="12"/>
    </row>
    <row r="13" spans="1:22" x14ac:dyDescent="0.25">
      <c r="A13" s="49">
        <f>'A) Base RI'!A14</f>
        <v>5408</v>
      </c>
      <c r="B13" s="350" t="str">
        <f>'A) Base RI'!B14</f>
        <v>Noville</v>
      </c>
      <c r="C13" s="410">
        <v>827851.96909378935</v>
      </c>
      <c r="D13" s="410">
        <v>317679.68063826853</v>
      </c>
      <c r="E13" s="411">
        <v>0</v>
      </c>
      <c r="F13" s="411">
        <v>0</v>
      </c>
      <c r="G13" s="411">
        <v>0</v>
      </c>
      <c r="H13" s="352">
        <f t="shared" si="0"/>
        <v>1145531.6497320579</v>
      </c>
      <c r="I13" s="412">
        <v>38763.706581740975</v>
      </c>
      <c r="J13" s="355">
        <f>'B) D RI'!U14</f>
        <v>28671.623864118894</v>
      </c>
      <c r="K13" s="65">
        <f t="shared" si="1"/>
        <v>29.551654130816331</v>
      </c>
      <c r="L13" s="33">
        <f>'B) D RI'!S14</f>
        <v>78.5</v>
      </c>
      <c r="M13" s="33">
        <f t="shared" si="2"/>
        <v>48.948345869183669</v>
      </c>
      <c r="N13" s="33">
        <f>'J) Plafonnement effort'!G12+'J) Plafonnement effort'!H12-'K) Plafonnement aide'!I12</f>
        <v>8.432234615067296</v>
      </c>
      <c r="O13" s="130">
        <f t="shared" si="3"/>
        <v>57.380580484250963</v>
      </c>
      <c r="P13" s="47">
        <f t="shared" si="4"/>
        <v>0</v>
      </c>
      <c r="Q13" s="57">
        <f t="shared" si="5"/>
        <v>0</v>
      </c>
      <c r="R13" s="151">
        <f t="shared" si="6"/>
        <v>57.380580484250963</v>
      </c>
      <c r="S13" s="130">
        <f t="shared" si="7"/>
        <v>-21.119419515749037</v>
      </c>
      <c r="T13" s="150">
        <f t="shared" si="8"/>
        <v>0</v>
      </c>
      <c r="V13" s="12"/>
    </row>
    <row r="14" spans="1:22" x14ac:dyDescent="0.25">
      <c r="A14" s="49">
        <f>'A) Base RI'!A15</f>
        <v>5409</v>
      </c>
      <c r="B14" s="350" t="str">
        <f>'A) Base RI'!B15</f>
        <v>Ollon</v>
      </c>
      <c r="C14" s="410">
        <v>7472621.3673177278</v>
      </c>
      <c r="D14" s="410">
        <v>3731868.659865031</v>
      </c>
      <c r="E14" s="411">
        <v>0</v>
      </c>
      <c r="F14" s="411">
        <v>0</v>
      </c>
      <c r="G14" s="411">
        <v>0</v>
      </c>
      <c r="H14" s="352">
        <f t="shared" si="0"/>
        <v>11204490.027182758</v>
      </c>
      <c r="I14" s="412">
        <v>369055.23328054306</v>
      </c>
      <c r="J14" s="355">
        <f>'B) D RI'!U15</f>
        <v>399776.03154977376</v>
      </c>
      <c r="K14" s="65">
        <f t="shared" si="1"/>
        <v>30.359927232532943</v>
      </c>
      <c r="L14" s="33">
        <f>'B) D RI'!S15</f>
        <v>68</v>
      </c>
      <c r="M14" s="33">
        <f t="shared" si="2"/>
        <v>37.640072767467061</v>
      </c>
      <c r="N14" s="33">
        <f>'J) Plafonnement effort'!G13+'J) Plafonnement effort'!H13-'K) Plafonnement aide'!I13</f>
        <v>25.711894535955011</v>
      </c>
      <c r="O14" s="130">
        <f t="shared" si="3"/>
        <v>63.351967303422072</v>
      </c>
      <c r="P14" s="47">
        <f t="shared" si="4"/>
        <v>0</v>
      </c>
      <c r="Q14" s="57">
        <f t="shared" si="5"/>
        <v>0</v>
      </c>
      <c r="R14" s="151">
        <f t="shared" si="6"/>
        <v>63.351967303422072</v>
      </c>
      <c r="S14" s="130">
        <f t="shared" si="7"/>
        <v>-4.6480326965779284</v>
      </c>
      <c r="T14" s="150">
        <f t="shared" si="8"/>
        <v>0</v>
      </c>
      <c r="V14" s="12"/>
    </row>
    <row r="15" spans="1:22" x14ac:dyDescent="0.25">
      <c r="A15" s="49">
        <f>'A) Base RI'!A16</f>
        <v>5410</v>
      </c>
      <c r="B15" s="350" t="str">
        <f>'A) Base RI'!B16</f>
        <v>Ormont-Dessous</v>
      </c>
      <c r="C15" s="410">
        <v>797690.64907908998</v>
      </c>
      <c r="D15" s="410">
        <v>511452.98268282122</v>
      </c>
      <c r="E15" s="411">
        <v>0</v>
      </c>
      <c r="F15" s="411">
        <v>0</v>
      </c>
      <c r="G15" s="411">
        <v>0</v>
      </c>
      <c r="H15" s="352">
        <f t="shared" si="0"/>
        <v>1309143.6317619113</v>
      </c>
      <c r="I15" s="412">
        <v>43491.149554140131</v>
      </c>
      <c r="J15" s="355">
        <f>'B) D RI'!U16</f>
        <v>38431.903864118896</v>
      </c>
      <c r="K15" s="65">
        <f t="shared" si="1"/>
        <v>30.101380285021406</v>
      </c>
      <c r="L15" s="33">
        <f>'B) D RI'!S16</f>
        <v>78.5</v>
      </c>
      <c r="M15" s="33">
        <f t="shared" si="2"/>
        <v>48.398619714978594</v>
      </c>
      <c r="N15" s="33">
        <f>'J) Plafonnement effort'!G14+'J) Plafonnement effort'!H14-'K) Plafonnement aide'!I14</f>
        <v>-0.72482236284935198</v>
      </c>
      <c r="O15" s="130">
        <f t="shared" si="3"/>
        <v>47.673797352129242</v>
      </c>
      <c r="P15" s="47">
        <f t="shared" si="4"/>
        <v>0</v>
      </c>
      <c r="Q15" s="57">
        <f t="shared" si="5"/>
        <v>0</v>
      </c>
      <c r="R15" s="151">
        <f t="shared" si="6"/>
        <v>47.673797352129242</v>
      </c>
      <c r="S15" s="130">
        <f t="shared" si="7"/>
        <v>-30.826202647870758</v>
      </c>
      <c r="T15" s="150">
        <f t="shared" si="8"/>
        <v>0</v>
      </c>
      <c r="V15" s="12"/>
    </row>
    <row r="16" spans="1:22" x14ac:dyDescent="0.25">
      <c r="A16" s="49">
        <f>'A) Base RI'!A17</f>
        <v>5411</v>
      </c>
      <c r="B16" s="350" t="str">
        <f>'A) Base RI'!B17</f>
        <v>Ormont-Dessus</v>
      </c>
      <c r="C16" s="410">
        <v>1438636.4957075645</v>
      </c>
      <c r="D16" s="410">
        <v>1128132.6109523824</v>
      </c>
      <c r="E16" s="411">
        <v>0</v>
      </c>
      <c r="F16" s="411">
        <v>0</v>
      </c>
      <c r="G16" s="411">
        <v>0</v>
      </c>
      <c r="H16" s="352">
        <f t="shared" si="0"/>
        <v>2566769.106659947</v>
      </c>
      <c r="I16" s="412">
        <v>72912.297236842089</v>
      </c>
      <c r="J16" s="355">
        <f>'B) D RI'!U17</f>
        <v>73250.08368421052</v>
      </c>
      <c r="K16" s="65">
        <f t="shared" si="1"/>
        <v>35.203514412970328</v>
      </c>
      <c r="L16" s="33">
        <f>'B) D RI'!S17</f>
        <v>76</v>
      </c>
      <c r="M16" s="33">
        <f t="shared" si="2"/>
        <v>40.796485587029672</v>
      </c>
      <c r="N16" s="33">
        <f>'J) Plafonnement effort'!G15+'J) Plafonnement effort'!H15-'K) Plafonnement aide'!I15</f>
        <v>24.211167671258778</v>
      </c>
      <c r="O16" s="130">
        <f t="shared" si="3"/>
        <v>65.007653258288457</v>
      </c>
      <c r="P16" s="47">
        <f t="shared" si="4"/>
        <v>0</v>
      </c>
      <c r="Q16" s="57">
        <f t="shared" si="5"/>
        <v>0</v>
      </c>
      <c r="R16" s="151">
        <f t="shared" si="6"/>
        <v>65.007653258288457</v>
      </c>
      <c r="S16" s="130">
        <f t="shared" si="7"/>
        <v>-10.992346741711543</v>
      </c>
      <c r="T16" s="150">
        <f t="shared" si="8"/>
        <v>0</v>
      </c>
      <c r="V16" s="12"/>
    </row>
    <row r="17" spans="1:22" x14ac:dyDescent="0.25">
      <c r="A17" s="49">
        <f>'A) Base RI'!A18</f>
        <v>5412</v>
      </c>
      <c r="B17" s="350" t="str">
        <f>'A) Base RI'!B18</f>
        <v>Rennaz</v>
      </c>
      <c r="C17" s="410">
        <v>850687.91946018953</v>
      </c>
      <c r="D17" s="410">
        <v>285541.164839315</v>
      </c>
      <c r="E17" s="411">
        <v>0</v>
      </c>
      <c r="F17" s="411">
        <v>0</v>
      </c>
      <c r="G17" s="411">
        <v>0</v>
      </c>
      <c r="H17" s="352">
        <f t="shared" si="0"/>
        <v>1136229.0842995045</v>
      </c>
      <c r="I17" s="412">
        <v>28091.749629629627</v>
      </c>
      <c r="J17" s="355">
        <f>'B) D RI'!U18</f>
        <v>24302.490518518523</v>
      </c>
      <c r="K17" s="65">
        <f t="shared" si="1"/>
        <v>40.447074293338879</v>
      </c>
      <c r="L17" s="33">
        <f>'B) D RI'!S18</f>
        <v>67.5</v>
      </c>
      <c r="M17" s="33">
        <f t="shared" si="2"/>
        <v>27.052925706661121</v>
      </c>
      <c r="N17" s="33">
        <f>'J) Plafonnement effort'!G16+'J) Plafonnement effort'!H16-'K) Plafonnement aide'!I16</f>
        <v>16.581729233895306</v>
      </c>
      <c r="O17" s="130">
        <f t="shared" si="3"/>
        <v>43.63465494055643</v>
      </c>
      <c r="P17" s="47">
        <f t="shared" si="4"/>
        <v>0</v>
      </c>
      <c r="Q17" s="57">
        <f t="shared" si="5"/>
        <v>0</v>
      </c>
      <c r="R17" s="151">
        <f t="shared" si="6"/>
        <v>43.63465494055643</v>
      </c>
      <c r="S17" s="130">
        <f t="shared" si="7"/>
        <v>-23.86534505944357</v>
      </c>
      <c r="T17" s="150">
        <f t="shared" si="8"/>
        <v>0</v>
      </c>
      <c r="V17" s="12"/>
    </row>
    <row r="18" spans="1:22" x14ac:dyDescent="0.25">
      <c r="A18" s="49">
        <f>'A) Base RI'!A19</f>
        <v>5413</v>
      </c>
      <c r="B18" s="350" t="str">
        <f>'A) Base RI'!B19</f>
        <v>Roche</v>
      </c>
      <c r="C18" s="410">
        <v>828116.82240755495</v>
      </c>
      <c r="D18" s="410">
        <v>-362127.33876613493</v>
      </c>
      <c r="E18" s="411">
        <v>0</v>
      </c>
      <c r="F18" s="411">
        <v>0</v>
      </c>
      <c r="G18" s="411">
        <v>0</v>
      </c>
      <c r="H18" s="352">
        <f t="shared" si="0"/>
        <v>465989.48364142003</v>
      </c>
      <c r="I18" s="412">
        <v>39560.237499999996</v>
      </c>
      <c r="J18" s="355">
        <f>'B) D RI'!U19</f>
        <v>45084.327818627447</v>
      </c>
      <c r="K18" s="65">
        <f t="shared" si="1"/>
        <v>11.779238778367295</v>
      </c>
      <c r="L18" s="33">
        <f>'B) D RI'!S19</f>
        <v>68</v>
      </c>
      <c r="M18" s="33">
        <f t="shared" si="2"/>
        <v>56.220761221632706</v>
      </c>
      <c r="N18" s="33">
        <f>'J) Plafonnement effort'!G17+'J) Plafonnement effort'!H17-'K) Plafonnement aide'!I17</f>
        <v>14.831302408112986</v>
      </c>
      <c r="O18" s="130">
        <f t="shared" si="3"/>
        <v>71.052063629745689</v>
      </c>
      <c r="P18" s="47">
        <f t="shared" si="4"/>
        <v>0</v>
      </c>
      <c r="Q18" s="57">
        <f t="shared" si="5"/>
        <v>0</v>
      </c>
      <c r="R18" s="151">
        <f t="shared" si="6"/>
        <v>71.052063629745689</v>
      </c>
      <c r="S18" s="130">
        <f t="shared" si="7"/>
        <v>3.0520636297456889</v>
      </c>
      <c r="T18" s="150">
        <f t="shared" si="8"/>
        <v>0</v>
      </c>
      <c r="V18" s="12"/>
    </row>
    <row r="19" spans="1:22" x14ac:dyDescent="0.25">
      <c r="A19" s="49">
        <f>'A) Base RI'!A20</f>
        <v>5414</v>
      </c>
      <c r="B19" s="350" t="str">
        <f>'A) Base RI'!B20</f>
        <v>Villeneuve</v>
      </c>
      <c r="C19" s="410">
        <v>3673292.2412578398</v>
      </c>
      <c r="D19" s="410">
        <v>-900925.50363844959</v>
      </c>
      <c r="E19" s="411">
        <v>0</v>
      </c>
      <c r="F19" s="411">
        <v>0</v>
      </c>
      <c r="G19" s="411">
        <v>0</v>
      </c>
      <c r="H19" s="352">
        <f t="shared" si="0"/>
        <v>2772366.7376193902</v>
      </c>
      <c r="I19" s="412">
        <v>165641.09797101447</v>
      </c>
      <c r="J19" s="355">
        <f>'B) D RI'!U20</f>
        <v>167595.35260869566</v>
      </c>
      <c r="K19" s="65">
        <f t="shared" si="1"/>
        <v>16.73719126218619</v>
      </c>
      <c r="L19" s="33">
        <f>'B) D RI'!S20</f>
        <v>69</v>
      </c>
      <c r="M19" s="33">
        <f t="shared" si="2"/>
        <v>52.262808737813813</v>
      </c>
      <c r="N19" s="33">
        <f>'J) Plafonnement effort'!G18+'J) Plafonnement effort'!H18-'K) Plafonnement aide'!I18</f>
        <v>5.7507258586125118</v>
      </c>
      <c r="O19" s="130">
        <f t="shared" si="3"/>
        <v>58.013534596426325</v>
      </c>
      <c r="P19" s="47">
        <f t="shared" si="4"/>
        <v>0</v>
      </c>
      <c r="Q19" s="57">
        <f t="shared" si="5"/>
        <v>0</v>
      </c>
      <c r="R19" s="151">
        <f t="shared" si="6"/>
        <v>58.013534596426325</v>
      </c>
      <c r="S19" s="130">
        <f t="shared" si="7"/>
        <v>-10.986465403573675</v>
      </c>
      <c r="T19" s="150">
        <f t="shared" si="8"/>
        <v>0</v>
      </c>
      <c r="V19" s="12"/>
    </row>
    <row r="20" spans="1:22" x14ac:dyDescent="0.25">
      <c r="A20" s="49">
        <f>'A) Base RI'!A21</f>
        <v>5415</v>
      </c>
      <c r="B20" s="350" t="str">
        <f>'A) Base RI'!B21</f>
        <v>Yvorne</v>
      </c>
      <c r="C20" s="410">
        <v>587224.80917261972</v>
      </c>
      <c r="D20" s="410">
        <v>260684.28524821112</v>
      </c>
      <c r="E20" s="411">
        <v>0</v>
      </c>
      <c r="F20" s="411">
        <v>0</v>
      </c>
      <c r="G20" s="411">
        <v>0</v>
      </c>
      <c r="H20" s="352">
        <f t="shared" si="0"/>
        <v>847909.09442083084</v>
      </c>
      <c r="I20" s="412">
        <v>34590.752587412586</v>
      </c>
      <c r="J20" s="355">
        <f>'B) D RI'!U21</f>
        <v>39170.690675990678</v>
      </c>
      <c r="K20" s="65">
        <f t="shared" si="1"/>
        <v>24.512594580823922</v>
      </c>
      <c r="L20" s="33">
        <f>'B) D RI'!S21</f>
        <v>71.5</v>
      </c>
      <c r="M20" s="33">
        <f t="shared" si="2"/>
        <v>46.987405419176078</v>
      </c>
      <c r="N20" s="33">
        <f>'J) Plafonnement effort'!G19+'J) Plafonnement effort'!H19-'K) Plafonnement aide'!I19</f>
        <v>25.229897599112892</v>
      </c>
      <c r="O20" s="130">
        <f t="shared" si="3"/>
        <v>72.217303018288973</v>
      </c>
      <c r="P20" s="47">
        <f t="shared" si="4"/>
        <v>0</v>
      </c>
      <c r="Q20" s="57">
        <f t="shared" si="5"/>
        <v>0</v>
      </c>
      <c r="R20" s="151">
        <f t="shared" si="6"/>
        <v>72.217303018288973</v>
      </c>
      <c r="S20" s="130">
        <f t="shared" si="7"/>
        <v>0.71730301828897325</v>
      </c>
      <c r="T20" s="150">
        <f t="shared" si="8"/>
        <v>0</v>
      </c>
      <c r="V20" s="12"/>
    </row>
    <row r="21" spans="1:22" x14ac:dyDescent="0.25">
      <c r="A21" s="49">
        <f>'A) Base RI'!A22</f>
        <v>5421</v>
      </c>
      <c r="B21" s="350" t="str">
        <f>'A) Base RI'!B22</f>
        <v>Apples</v>
      </c>
      <c r="C21" s="410">
        <v>1089196.7473636433</v>
      </c>
      <c r="D21" s="410">
        <v>1019861.8541880084</v>
      </c>
      <c r="E21" s="411">
        <v>0</v>
      </c>
      <c r="F21" s="411">
        <v>0</v>
      </c>
      <c r="G21" s="411">
        <v>0</v>
      </c>
      <c r="H21" s="352">
        <f t="shared" si="0"/>
        <v>2109058.6015516515</v>
      </c>
      <c r="I21" s="412">
        <v>67631.915526315803</v>
      </c>
      <c r="J21" s="355">
        <f>'B) D RI'!U22</f>
        <v>70612.156710526324</v>
      </c>
      <c r="K21" s="65">
        <f t="shared" si="1"/>
        <v>31.184368875830668</v>
      </c>
      <c r="L21" s="33">
        <f>'B) D RI'!S22</f>
        <v>76</v>
      </c>
      <c r="M21" s="33">
        <f t="shared" si="2"/>
        <v>44.815631124169329</v>
      </c>
      <c r="N21" s="33">
        <f>'J) Plafonnement effort'!G20+'J) Plafonnement effort'!H20-'K) Plafonnement aide'!I20</f>
        <v>30.193050650396295</v>
      </c>
      <c r="O21" s="130">
        <f t="shared" si="3"/>
        <v>75.008681774565616</v>
      </c>
      <c r="P21" s="47">
        <f t="shared" si="4"/>
        <v>0</v>
      </c>
      <c r="Q21" s="57">
        <f t="shared" si="5"/>
        <v>0</v>
      </c>
      <c r="R21" s="151">
        <f t="shared" si="6"/>
        <v>75.008681774565616</v>
      </c>
      <c r="S21" s="130">
        <f t="shared" si="7"/>
        <v>-0.99131822543438375</v>
      </c>
      <c r="T21" s="150">
        <f t="shared" si="8"/>
        <v>0</v>
      </c>
      <c r="V21" s="12"/>
    </row>
    <row r="22" spans="1:22" x14ac:dyDescent="0.25">
      <c r="A22" s="49">
        <f>'A) Base RI'!A23</f>
        <v>5422</v>
      </c>
      <c r="B22" s="350" t="str">
        <f>'A) Base RI'!B23</f>
        <v>Aubonne</v>
      </c>
      <c r="C22" s="410">
        <v>6301970.4613599787</v>
      </c>
      <c r="D22" s="410">
        <v>3397271.7682914827</v>
      </c>
      <c r="E22" s="411">
        <v>0</v>
      </c>
      <c r="F22" s="411">
        <v>0</v>
      </c>
      <c r="G22" s="411">
        <v>0</v>
      </c>
      <c r="H22" s="352">
        <f t="shared" si="0"/>
        <v>9699242.2296514623</v>
      </c>
      <c r="I22" s="412">
        <v>238709.58323529412</v>
      </c>
      <c r="J22" s="355">
        <f>'B) D RI'!U23</f>
        <v>231171.83385714272</v>
      </c>
      <c r="K22" s="65">
        <f t="shared" si="1"/>
        <v>40.631976723326595</v>
      </c>
      <c r="L22" s="33">
        <f>'B) D RI'!S23</f>
        <v>70</v>
      </c>
      <c r="M22" s="33">
        <f t="shared" si="2"/>
        <v>29.368023276673405</v>
      </c>
      <c r="N22" s="33">
        <f>'J) Plafonnement effort'!G21+'J) Plafonnement effort'!H21-'K) Plafonnement aide'!I21</f>
        <v>39.593035409463141</v>
      </c>
      <c r="O22" s="130">
        <f t="shared" si="3"/>
        <v>68.961058686136539</v>
      </c>
      <c r="P22" s="47">
        <f t="shared" si="4"/>
        <v>0</v>
      </c>
      <c r="Q22" s="57">
        <f t="shared" si="5"/>
        <v>0</v>
      </c>
      <c r="R22" s="151">
        <f t="shared" si="6"/>
        <v>68.961058686136539</v>
      </c>
      <c r="S22" s="130">
        <f t="shared" si="7"/>
        <v>-1.0389413138634609</v>
      </c>
      <c r="T22" s="150">
        <f t="shared" si="8"/>
        <v>0</v>
      </c>
      <c r="V22" s="12"/>
    </row>
    <row r="23" spans="1:22" x14ac:dyDescent="0.25">
      <c r="A23" s="49">
        <f>'A) Base RI'!A24</f>
        <v>5423</v>
      </c>
      <c r="B23" s="350" t="str">
        <f>'A) Base RI'!B24</f>
        <v>Ballens</v>
      </c>
      <c r="C23" s="410">
        <v>225408.94784142531</v>
      </c>
      <c r="D23" s="410">
        <v>-9796.3854967502994</v>
      </c>
      <c r="E23" s="411">
        <v>0</v>
      </c>
      <c r="F23" s="411">
        <v>0</v>
      </c>
      <c r="G23" s="411">
        <v>0</v>
      </c>
      <c r="H23" s="352">
        <f t="shared" si="0"/>
        <v>215612.56234467501</v>
      </c>
      <c r="I23" s="412">
        <v>13821.516027397261</v>
      </c>
      <c r="J23" s="355">
        <f>'B) D RI'!U24</f>
        <v>16262.42684931507</v>
      </c>
      <c r="K23" s="65">
        <f t="shared" si="1"/>
        <v>15.599776603180421</v>
      </c>
      <c r="L23" s="33">
        <f>'B) D RI'!S24</f>
        <v>73</v>
      </c>
      <c r="M23" s="33">
        <f t="shared" si="2"/>
        <v>57.400223396819577</v>
      </c>
      <c r="N23" s="33">
        <f>'J) Plafonnement effort'!G22+'J) Plafonnement effort'!H22-'K) Plafonnement aide'!I22</f>
        <v>16.369341702959922</v>
      </c>
      <c r="O23" s="130">
        <f t="shared" si="3"/>
        <v>73.769565099779498</v>
      </c>
      <c r="P23" s="47">
        <f t="shared" si="4"/>
        <v>0</v>
      </c>
      <c r="Q23" s="57">
        <f t="shared" si="5"/>
        <v>0</v>
      </c>
      <c r="R23" s="151">
        <f t="shared" si="6"/>
        <v>73.769565099779498</v>
      </c>
      <c r="S23" s="130">
        <f t="shared" si="7"/>
        <v>0.7695650997794985</v>
      </c>
      <c r="T23" s="150">
        <f t="shared" si="8"/>
        <v>0</v>
      </c>
      <c r="V23" s="12"/>
    </row>
    <row r="24" spans="1:22" x14ac:dyDescent="0.25">
      <c r="A24" s="49">
        <f>'A) Base RI'!A25</f>
        <v>5424</v>
      </c>
      <c r="B24" s="350" t="str">
        <f>'A) Base RI'!B25</f>
        <v>Berolle</v>
      </c>
      <c r="C24" s="410">
        <v>140310.73124882783</v>
      </c>
      <c r="D24" s="410">
        <v>39021.189925021812</v>
      </c>
      <c r="E24" s="411">
        <v>0</v>
      </c>
      <c r="F24" s="411">
        <v>0</v>
      </c>
      <c r="G24" s="411">
        <v>0</v>
      </c>
      <c r="H24" s="352">
        <f t="shared" si="0"/>
        <v>179331.92117384964</v>
      </c>
      <c r="I24" s="412">
        <v>9297.6342857142881</v>
      </c>
      <c r="J24" s="355">
        <f>'B) D RI'!U25</f>
        <v>9281.7425974025955</v>
      </c>
      <c r="K24" s="65">
        <f t="shared" si="1"/>
        <v>19.287908694084813</v>
      </c>
      <c r="L24" s="33">
        <f>'B) D RI'!S25</f>
        <v>77</v>
      </c>
      <c r="M24" s="33">
        <f t="shared" si="2"/>
        <v>57.712091305915187</v>
      </c>
      <c r="N24" s="33">
        <f>'J) Plafonnement effort'!G23+'J) Plafonnement effort'!H23-'K) Plafonnement aide'!I23</f>
        <v>14.551928711983162</v>
      </c>
      <c r="O24" s="130">
        <f t="shared" si="3"/>
        <v>72.264020017898346</v>
      </c>
      <c r="P24" s="47">
        <f t="shared" si="4"/>
        <v>0</v>
      </c>
      <c r="Q24" s="57">
        <f t="shared" si="5"/>
        <v>0</v>
      </c>
      <c r="R24" s="151">
        <f t="shared" si="6"/>
        <v>72.264020017898346</v>
      </c>
      <c r="S24" s="130">
        <f t="shared" si="7"/>
        <v>-4.7359799821016537</v>
      </c>
      <c r="T24" s="150">
        <f t="shared" si="8"/>
        <v>0</v>
      </c>
      <c r="V24" s="12"/>
    </row>
    <row r="25" spans="1:22" x14ac:dyDescent="0.25">
      <c r="A25" s="49">
        <f>'A) Base RI'!A26</f>
        <v>5425</v>
      </c>
      <c r="B25" s="350" t="str">
        <f>'A) Base RI'!B26</f>
        <v>Bière</v>
      </c>
      <c r="C25" s="410">
        <v>670850.14856350399</v>
      </c>
      <c r="D25" s="410">
        <v>-190870.10161699331</v>
      </c>
      <c r="E25" s="411">
        <v>0</v>
      </c>
      <c r="F25" s="411">
        <v>0</v>
      </c>
      <c r="G25" s="411">
        <v>0</v>
      </c>
      <c r="H25" s="352">
        <f t="shared" si="0"/>
        <v>479980.04694651067</v>
      </c>
      <c r="I25" s="412">
        <v>39425.527551724139</v>
      </c>
      <c r="J25" s="355">
        <f>'B) D RI'!U26</f>
        <v>39522.239817733993</v>
      </c>
      <c r="K25" s="65">
        <f t="shared" si="1"/>
        <v>12.174346844612366</v>
      </c>
      <c r="L25" s="33">
        <f>'B) D RI'!S26</f>
        <v>70</v>
      </c>
      <c r="M25" s="33">
        <f t="shared" si="2"/>
        <v>57.825653155387634</v>
      </c>
      <c r="N25" s="33">
        <f>'J) Plafonnement effort'!G24+'J) Plafonnement effort'!H24-'K) Plafonnement aide'!I24</f>
        <v>-1.6958376489900022</v>
      </c>
      <c r="O25" s="130">
        <f t="shared" si="3"/>
        <v>56.129815506397634</v>
      </c>
      <c r="P25" s="47">
        <f t="shared" si="4"/>
        <v>0</v>
      </c>
      <c r="Q25" s="57">
        <f t="shared" si="5"/>
        <v>0</v>
      </c>
      <c r="R25" s="151">
        <f t="shared" si="6"/>
        <v>56.129815506397634</v>
      </c>
      <c r="S25" s="130">
        <f t="shared" si="7"/>
        <v>-13.870184493602366</v>
      </c>
      <c r="T25" s="150">
        <f t="shared" si="8"/>
        <v>0</v>
      </c>
      <c r="V25" s="12"/>
    </row>
    <row r="26" spans="1:22" x14ac:dyDescent="0.25">
      <c r="A26" s="49">
        <f>'A) Base RI'!A27</f>
        <v>5426</v>
      </c>
      <c r="B26" s="350" t="str">
        <f>'A) Base RI'!B27</f>
        <v>Bougy-Villars</v>
      </c>
      <c r="C26" s="410">
        <v>2514377.337031682</v>
      </c>
      <c r="D26" s="410">
        <v>813140.84565114731</v>
      </c>
      <c r="E26" s="411">
        <v>0</v>
      </c>
      <c r="F26" s="411">
        <v>-1042875.4497282845</v>
      </c>
      <c r="G26" s="411">
        <v>0</v>
      </c>
      <c r="H26" s="352">
        <f t="shared" si="0"/>
        <v>2284642.7329545449</v>
      </c>
      <c r="I26" s="412">
        <v>50769.838510101006</v>
      </c>
      <c r="J26" s="355">
        <f>'B) D RI'!U27</f>
        <v>52073.160505050502</v>
      </c>
      <c r="K26" s="65">
        <f t="shared" si="1"/>
        <v>44.999999999999993</v>
      </c>
      <c r="L26" s="33">
        <f>'B) D RI'!S27</f>
        <v>66</v>
      </c>
      <c r="M26" s="33">
        <f t="shared" si="2"/>
        <v>21.000000000000007</v>
      </c>
      <c r="N26" s="33">
        <f>'J) Plafonnement effort'!G25+'J) Plafonnement effort'!H25-'K) Plafonnement aide'!I25</f>
        <v>45</v>
      </c>
      <c r="O26" s="130">
        <f t="shared" si="3"/>
        <v>66</v>
      </c>
      <c r="P26" s="47">
        <f t="shared" si="4"/>
        <v>0</v>
      </c>
      <c r="Q26" s="57">
        <f t="shared" si="5"/>
        <v>0</v>
      </c>
      <c r="R26" s="151">
        <f t="shared" si="6"/>
        <v>66</v>
      </c>
      <c r="S26" s="130">
        <f t="shared" si="7"/>
        <v>0</v>
      </c>
      <c r="T26" s="150">
        <f t="shared" si="8"/>
        <v>0</v>
      </c>
      <c r="V26" s="12"/>
    </row>
    <row r="27" spans="1:22" x14ac:dyDescent="0.25">
      <c r="A27" s="49">
        <f>'A) Base RI'!A28</f>
        <v>5427</v>
      </c>
      <c r="B27" s="350" t="str">
        <f>'A) Base RI'!B28</f>
        <v>Féchy</v>
      </c>
      <c r="C27" s="410">
        <v>1875694.8237199374</v>
      </c>
      <c r="D27" s="410">
        <v>1201158.8401076724</v>
      </c>
      <c r="E27" s="411">
        <v>0</v>
      </c>
      <c r="F27" s="411">
        <v>0</v>
      </c>
      <c r="G27" s="411">
        <v>0</v>
      </c>
      <c r="H27" s="352">
        <f t="shared" si="0"/>
        <v>3076853.6638276097</v>
      </c>
      <c r="I27" s="412">
        <v>73025.207608173092</v>
      </c>
      <c r="J27" s="355">
        <f>'B) D RI'!U28</f>
        <v>86749.440144230772</v>
      </c>
      <c r="K27" s="65">
        <f t="shared" si="1"/>
        <v>42.134131002227285</v>
      </c>
      <c r="L27" s="33">
        <f>'B) D RI'!S28</f>
        <v>64</v>
      </c>
      <c r="M27" s="33">
        <f t="shared" si="2"/>
        <v>21.865868997772715</v>
      </c>
      <c r="N27" s="33">
        <f>'J) Plafonnement effort'!G26+'J) Plafonnement effort'!H26-'K) Plafonnement aide'!I26</f>
        <v>45</v>
      </c>
      <c r="O27" s="130">
        <f t="shared" si="3"/>
        <v>66.865868997772708</v>
      </c>
      <c r="P27" s="47">
        <f t="shared" si="4"/>
        <v>0</v>
      </c>
      <c r="Q27" s="57">
        <f t="shared" si="5"/>
        <v>0</v>
      </c>
      <c r="R27" s="151">
        <f t="shared" si="6"/>
        <v>66.865868997772708</v>
      </c>
      <c r="S27" s="130">
        <f t="shared" si="7"/>
        <v>2.8658689977727079</v>
      </c>
      <c r="T27" s="150">
        <f t="shared" si="8"/>
        <v>0</v>
      </c>
      <c r="V27" s="12"/>
    </row>
    <row r="28" spans="1:22" x14ac:dyDescent="0.25">
      <c r="A28" s="49">
        <f>'A) Base RI'!A29</f>
        <v>5428</v>
      </c>
      <c r="B28" s="350" t="str">
        <f>'A) Base RI'!B29</f>
        <v>Gimel</v>
      </c>
      <c r="C28" s="410">
        <v>1295950.6159311985</v>
      </c>
      <c r="D28" s="410">
        <v>-164453.03062276565</v>
      </c>
      <c r="E28" s="411">
        <v>0</v>
      </c>
      <c r="F28" s="411">
        <v>0</v>
      </c>
      <c r="G28" s="411">
        <v>0</v>
      </c>
      <c r="H28" s="352">
        <f t="shared" si="0"/>
        <v>1131497.5853084328</v>
      </c>
      <c r="I28" s="412">
        <v>59817.35356643358</v>
      </c>
      <c r="J28" s="355">
        <f>'B) D RI'!U29</f>
        <v>66171.009865771834</v>
      </c>
      <c r="K28" s="65">
        <f t="shared" si="1"/>
        <v>18.915875040372416</v>
      </c>
      <c r="L28" s="33">
        <f>'B) D RI'!S29</f>
        <v>74.5</v>
      </c>
      <c r="M28" s="33">
        <f t="shared" si="2"/>
        <v>55.584124959627587</v>
      </c>
      <c r="N28" s="33">
        <f>'J) Plafonnement effort'!G27+'J) Plafonnement effort'!H27-'K) Plafonnement aide'!I27</f>
        <v>12.962933305234268</v>
      </c>
      <c r="O28" s="130">
        <f t="shared" si="3"/>
        <v>68.54705826486186</v>
      </c>
      <c r="P28" s="47">
        <f t="shared" si="4"/>
        <v>0</v>
      </c>
      <c r="Q28" s="57">
        <f t="shared" si="5"/>
        <v>0</v>
      </c>
      <c r="R28" s="151">
        <f t="shared" si="6"/>
        <v>68.54705826486186</v>
      </c>
      <c r="S28" s="130">
        <f t="shared" si="7"/>
        <v>-5.9529417351381397</v>
      </c>
      <c r="T28" s="150">
        <f t="shared" si="8"/>
        <v>0</v>
      </c>
      <c r="V28" s="12"/>
    </row>
    <row r="29" spans="1:22" x14ac:dyDescent="0.25">
      <c r="A29" s="49">
        <f>'A) Base RI'!A30</f>
        <v>5429</v>
      </c>
      <c r="B29" s="350" t="str">
        <f>'A) Base RI'!B30</f>
        <v>Longirod</v>
      </c>
      <c r="C29" s="410">
        <v>238204.95186419465</v>
      </c>
      <c r="D29" s="410">
        <v>12274.037788651593</v>
      </c>
      <c r="E29" s="411">
        <v>0</v>
      </c>
      <c r="F29" s="411">
        <v>0</v>
      </c>
      <c r="G29" s="411">
        <v>0</v>
      </c>
      <c r="H29" s="352">
        <f t="shared" si="0"/>
        <v>250478.98965284624</v>
      </c>
      <c r="I29" s="412">
        <v>13793.381358024693</v>
      </c>
      <c r="J29" s="355">
        <f>'B) D RI'!U30</f>
        <v>15311.416666666666</v>
      </c>
      <c r="K29" s="65">
        <f t="shared" si="1"/>
        <v>18.159360866733589</v>
      </c>
      <c r="L29" s="33">
        <f>'B) D RI'!S30</f>
        <v>81</v>
      </c>
      <c r="M29" s="33">
        <f t="shared" si="2"/>
        <v>62.840639133266407</v>
      </c>
      <c r="N29" s="33">
        <f>'J) Plafonnement effort'!G28+'J) Plafonnement effort'!H28-'K) Plafonnement aide'!I28</f>
        <v>15.958040325621903</v>
      </c>
      <c r="O29" s="130">
        <f t="shared" si="3"/>
        <v>78.798679458888316</v>
      </c>
      <c r="P29" s="47">
        <f t="shared" si="4"/>
        <v>0</v>
      </c>
      <c r="Q29" s="57">
        <f t="shared" si="5"/>
        <v>0</v>
      </c>
      <c r="R29" s="151">
        <f t="shared" si="6"/>
        <v>78.798679458888316</v>
      </c>
      <c r="S29" s="130">
        <f t="shared" si="7"/>
        <v>-2.2013205411116843</v>
      </c>
      <c r="T29" s="150">
        <f t="shared" si="8"/>
        <v>0</v>
      </c>
      <c r="V29" s="12"/>
    </row>
    <row r="30" spans="1:22" x14ac:dyDescent="0.25">
      <c r="A30" s="49">
        <f>'A) Base RI'!A31</f>
        <v>5430</v>
      </c>
      <c r="B30" s="350" t="str">
        <f>'A) Base RI'!B31</f>
        <v>Marchissy</v>
      </c>
      <c r="C30" s="410">
        <v>236050.54726042808</v>
      </c>
      <c r="D30" s="410">
        <v>32620.691410902422</v>
      </c>
      <c r="E30" s="411">
        <v>0</v>
      </c>
      <c r="F30" s="411">
        <v>0</v>
      </c>
      <c r="G30" s="411">
        <v>0</v>
      </c>
      <c r="H30" s="352">
        <f t="shared" si="0"/>
        <v>268671.2386713305</v>
      </c>
      <c r="I30" s="412">
        <v>13616.452025316456</v>
      </c>
      <c r="J30" s="355">
        <f>'B) D RI'!U31</f>
        <v>14827.393037974683</v>
      </c>
      <c r="K30" s="65">
        <f t="shared" si="1"/>
        <v>19.731368947784794</v>
      </c>
      <c r="L30" s="33">
        <f>'B) D RI'!S31</f>
        <v>79</v>
      </c>
      <c r="M30" s="33">
        <f t="shared" si="2"/>
        <v>59.268631052215206</v>
      </c>
      <c r="N30" s="33">
        <f>'J) Plafonnement effort'!G29+'J) Plafonnement effort'!H29-'K) Plafonnement aide'!I29</f>
        <v>15.494437848974194</v>
      </c>
      <c r="O30" s="130">
        <f t="shared" si="3"/>
        <v>74.763068901189399</v>
      </c>
      <c r="P30" s="47">
        <f t="shared" si="4"/>
        <v>0</v>
      </c>
      <c r="Q30" s="57">
        <f t="shared" si="5"/>
        <v>0</v>
      </c>
      <c r="R30" s="151">
        <f t="shared" si="6"/>
        <v>74.763068901189399</v>
      </c>
      <c r="S30" s="130">
        <f t="shared" si="7"/>
        <v>-4.2369310988106008</v>
      </c>
      <c r="T30" s="150">
        <f t="shared" si="8"/>
        <v>0</v>
      </c>
      <c r="V30" s="12"/>
    </row>
    <row r="31" spans="1:22" x14ac:dyDescent="0.25">
      <c r="A31" s="49">
        <f>'A) Base RI'!A32</f>
        <v>5431</v>
      </c>
      <c r="B31" s="350" t="str">
        <f>'A) Base RI'!B32</f>
        <v>Mollens</v>
      </c>
      <c r="C31" s="410">
        <v>173861.84461220918</v>
      </c>
      <c r="D31" s="410">
        <v>45842.295270877948</v>
      </c>
      <c r="E31" s="411">
        <v>0</v>
      </c>
      <c r="F31" s="411">
        <v>0</v>
      </c>
      <c r="G31" s="411">
        <v>0</v>
      </c>
      <c r="H31" s="352">
        <f t="shared" si="0"/>
        <v>219704.13988308713</v>
      </c>
      <c r="I31" s="412">
        <v>8628.4962162162174</v>
      </c>
      <c r="J31" s="355">
        <f>'B) D RI'!U32</f>
        <v>10626.755405405405</v>
      </c>
      <c r="K31" s="65">
        <f t="shared" si="1"/>
        <v>25.46262226669112</v>
      </c>
      <c r="L31" s="33">
        <f>'B) D RI'!S32</f>
        <v>74</v>
      </c>
      <c r="M31" s="33">
        <f t="shared" si="2"/>
        <v>48.53737773330888</v>
      </c>
      <c r="N31" s="33">
        <f>'J) Plafonnement effort'!G30+'J) Plafonnement effort'!H30-'K) Plafonnement aide'!I30</f>
        <v>26.032555599520148</v>
      </c>
      <c r="O31" s="130">
        <f t="shared" si="3"/>
        <v>74.569933332829024</v>
      </c>
      <c r="P31" s="47">
        <f t="shared" si="4"/>
        <v>0</v>
      </c>
      <c r="Q31" s="57">
        <f t="shared" si="5"/>
        <v>0</v>
      </c>
      <c r="R31" s="151">
        <f t="shared" si="6"/>
        <v>74.569933332829024</v>
      </c>
      <c r="S31" s="130">
        <f t="shared" si="7"/>
        <v>0.5699333328290237</v>
      </c>
      <c r="T31" s="150">
        <f t="shared" si="8"/>
        <v>0</v>
      </c>
      <c r="V31" s="12"/>
    </row>
    <row r="32" spans="1:22" x14ac:dyDescent="0.25">
      <c r="A32" s="49">
        <f>'A) Base RI'!A33</f>
        <v>5432</v>
      </c>
      <c r="B32" s="350" t="str">
        <f>'A) Base RI'!B33</f>
        <v>Montherod</v>
      </c>
      <c r="C32" s="410">
        <v>294815.87484045548</v>
      </c>
      <c r="D32" s="410">
        <v>150809.46437604559</v>
      </c>
      <c r="E32" s="411">
        <v>0</v>
      </c>
      <c r="F32" s="411">
        <v>0</v>
      </c>
      <c r="G32" s="411">
        <v>0</v>
      </c>
      <c r="H32" s="352">
        <f t="shared" si="0"/>
        <v>445625.3392165011</v>
      </c>
      <c r="I32" s="412">
        <v>18262.77307692308</v>
      </c>
      <c r="J32" s="355">
        <f>'B) D RI'!U33</f>
        <v>16078.014230769231</v>
      </c>
      <c r="K32" s="65">
        <f t="shared" si="1"/>
        <v>24.400748853392656</v>
      </c>
      <c r="L32" s="33">
        <f>'B) D RI'!S33</f>
        <v>78</v>
      </c>
      <c r="M32" s="33">
        <f t="shared" si="2"/>
        <v>53.599251146607344</v>
      </c>
      <c r="N32" s="33">
        <f>'J) Plafonnement effort'!G31+'J) Plafonnement effort'!H31-'K) Plafonnement aide'!I31</f>
        <v>15.284594746496873</v>
      </c>
      <c r="O32" s="130">
        <f t="shared" si="3"/>
        <v>68.883845893104223</v>
      </c>
      <c r="P32" s="47">
        <f t="shared" si="4"/>
        <v>0</v>
      </c>
      <c r="Q32" s="57">
        <f t="shared" si="5"/>
        <v>0</v>
      </c>
      <c r="R32" s="151">
        <f t="shared" si="6"/>
        <v>68.883845893104223</v>
      </c>
      <c r="S32" s="130">
        <f t="shared" si="7"/>
        <v>-9.1161541068957774</v>
      </c>
      <c r="T32" s="150">
        <f t="shared" si="8"/>
        <v>0</v>
      </c>
      <c r="V32" s="12"/>
    </row>
    <row r="33" spans="1:22" x14ac:dyDescent="0.25">
      <c r="A33" s="49">
        <f>'A) Base RI'!A34</f>
        <v>5434</v>
      </c>
      <c r="B33" s="350" t="str">
        <f>'A) Base RI'!B34</f>
        <v>Saint-George</v>
      </c>
      <c r="C33" s="410">
        <v>712105.91592040891</v>
      </c>
      <c r="D33" s="410">
        <v>393941.24515186268</v>
      </c>
      <c r="E33" s="411">
        <v>0</v>
      </c>
      <c r="F33" s="411">
        <v>0</v>
      </c>
      <c r="G33" s="411">
        <v>0</v>
      </c>
      <c r="H33" s="352">
        <f t="shared" si="0"/>
        <v>1106047.1610722716</v>
      </c>
      <c r="I33" s="412">
        <v>36787.196197183097</v>
      </c>
      <c r="J33" s="355">
        <f>'B) D RI'!U34</f>
        <v>39905.96180751174</v>
      </c>
      <c r="K33" s="65">
        <f t="shared" si="1"/>
        <v>30.066090254439256</v>
      </c>
      <c r="L33" s="33">
        <f>'B) D RI'!S34</f>
        <v>71</v>
      </c>
      <c r="M33" s="33">
        <f t="shared" si="2"/>
        <v>40.93390974556074</v>
      </c>
      <c r="N33" s="33">
        <f>'J) Plafonnement effort'!G32+'J) Plafonnement effort'!H32-'K) Plafonnement aide'!I32</f>
        <v>27.250804269198845</v>
      </c>
      <c r="O33" s="130">
        <f t="shared" si="3"/>
        <v>68.184714014759578</v>
      </c>
      <c r="P33" s="47">
        <f t="shared" si="4"/>
        <v>0</v>
      </c>
      <c r="Q33" s="57">
        <f t="shared" si="5"/>
        <v>0</v>
      </c>
      <c r="R33" s="151">
        <f t="shared" si="6"/>
        <v>68.184714014759578</v>
      </c>
      <c r="S33" s="130">
        <f t="shared" si="7"/>
        <v>-2.815285985240422</v>
      </c>
      <c r="T33" s="150">
        <f t="shared" si="8"/>
        <v>0</v>
      </c>
      <c r="V33" s="12"/>
    </row>
    <row r="34" spans="1:22" x14ac:dyDescent="0.25">
      <c r="A34" s="49">
        <f>'A) Base RI'!A35</f>
        <v>5435</v>
      </c>
      <c r="B34" s="350" t="str">
        <f>'A) Base RI'!B35</f>
        <v>Saint-Livres</v>
      </c>
      <c r="C34" s="410">
        <v>397584.51334110874</v>
      </c>
      <c r="D34" s="410">
        <v>258042.12234210814</v>
      </c>
      <c r="E34" s="411">
        <v>0</v>
      </c>
      <c r="F34" s="411">
        <v>0</v>
      </c>
      <c r="G34" s="411">
        <v>0</v>
      </c>
      <c r="H34" s="352">
        <f t="shared" si="0"/>
        <v>655626.63568321685</v>
      </c>
      <c r="I34" s="412">
        <v>24145.271449275358</v>
      </c>
      <c r="J34" s="355">
        <f>'B) D RI'!U35</f>
        <v>24331.716956521734</v>
      </c>
      <c r="K34" s="65">
        <f t="shared" si="1"/>
        <v>27.153417473916754</v>
      </c>
      <c r="L34" s="33">
        <f>'B) D RI'!S35</f>
        <v>69</v>
      </c>
      <c r="M34" s="33">
        <f t="shared" si="2"/>
        <v>41.846582526083246</v>
      </c>
      <c r="N34" s="33">
        <f>'J) Plafonnement effort'!G33+'J) Plafonnement effort'!H33-'K) Plafonnement aide'!I33</f>
        <v>23.311769994073121</v>
      </c>
      <c r="O34" s="130">
        <f t="shared" si="3"/>
        <v>65.15835252015637</v>
      </c>
      <c r="P34" s="47">
        <f t="shared" si="4"/>
        <v>0</v>
      </c>
      <c r="Q34" s="57">
        <f t="shared" si="5"/>
        <v>0</v>
      </c>
      <c r="R34" s="151">
        <f t="shared" si="6"/>
        <v>65.15835252015637</v>
      </c>
      <c r="S34" s="130">
        <f t="shared" si="7"/>
        <v>-3.8416474798436298</v>
      </c>
      <c r="T34" s="150">
        <f t="shared" si="8"/>
        <v>0</v>
      </c>
      <c r="V34" s="12"/>
    </row>
    <row r="35" spans="1:22" x14ac:dyDescent="0.25">
      <c r="A35" s="49">
        <f>'A) Base RI'!A36</f>
        <v>5436</v>
      </c>
      <c r="B35" s="350" t="str">
        <f>'A) Base RI'!B36</f>
        <v>Saint-Oyens</v>
      </c>
      <c r="C35" s="410">
        <v>277835.18668153818</v>
      </c>
      <c r="D35" s="410">
        <v>108300.75486680298</v>
      </c>
      <c r="E35" s="411">
        <v>0</v>
      </c>
      <c r="F35" s="411">
        <v>0</v>
      </c>
      <c r="G35" s="411">
        <v>0</v>
      </c>
      <c r="H35" s="352">
        <f t="shared" si="0"/>
        <v>386135.94154834119</v>
      </c>
      <c r="I35" s="412">
        <v>15077.325709876546</v>
      </c>
      <c r="J35" s="355">
        <f>'B) D RI'!U36</f>
        <v>16564.840617283953</v>
      </c>
      <c r="K35" s="65">
        <f t="shared" si="1"/>
        <v>25.610373416248425</v>
      </c>
      <c r="L35" s="33">
        <f>'B) D RI'!S36</f>
        <v>81</v>
      </c>
      <c r="M35" s="33">
        <f t="shared" si="2"/>
        <v>55.389626583751578</v>
      </c>
      <c r="N35" s="33">
        <f>'J) Plafonnement effort'!G34+'J) Plafonnement effort'!H34-'K) Plafonnement aide'!I34</f>
        <v>25.707666713943354</v>
      </c>
      <c r="O35" s="130">
        <f t="shared" si="3"/>
        <v>81.097293297694932</v>
      </c>
      <c r="P35" s="47">
        <f t="shared" si="4"/>
        <v>0</v>
      </c>
      <c r="Q35" s="57">
        <f t="shared" si="5"/>
        <v>0</v>
      </c>
      <c r="R35" s="151">
        <f t="shared" si="6"/>
        <v>81.097293297694932</v>
      </c>
      <c r="S35" s="130">
        <f t="shared" si="7"/>
        <v>9.7293297694932335E-2</v>
      </c>
      <c r="T35" s="150">
        <f t="shared" si="8"/>
        <v>0</v>
      </c>
      <c r="V35" s="12"/>
    </row>
    <row r="36" spans="1:22" x14ac:dyDescent="0.25">
      <c r="A36" s="49">
        <f>'A) Base RI'!A37</f>
        <v>5437</v>
      </c>
      <c r="B36" s="350" t="str">
        <f>'A) Base RI'!B37</f>
        <v>Saubraz</v>
      </c>
      <c r="C36" s="410">
        <v>208081.8305467038</v>
      </c>
      <c r="D36" s="410">
        <v>-13335.351369118551</v>
      </c>
      <c r="E36" s="411">
        <v>0</v>
      </c>
      <c r="F36" s="411">
        <v>0</v>
      </c>
      <c r="G36" s="411">
        <v>0</v>
      </c>
      <c r="H36" s="352">
        <f t="shared" si="0"/>
        <v>194746.47917758525</v>
      </c>
      <c r="I36" s="412">
        <v>11422.239624999998</v>
      </c>
      <c r="J36" s="355">
        <f>'B) D RI'!U37</f>
        <v>13155.785124999999</v>
      </c>
      <c r="K36" s="65">
        <f t="shared" si="1"/>
        <v>17.049763056217206</v>
      </c>
      <c r="L36" s="33">
        <f>'B) D RI'!S37</f>
        <v>80</v>
      </c>
      <c r="M36" s="33">
        <f t="shared" si="2"/>
        <v>62.950236943782798</v>
      </c>
      <c r="N36" s="33">
        <f>'J) Plafonnement effort'!G35+'J) Plafonnement effort'!H35-'K) Plafonnement aide'!I35</f>
        <v>18.101187228168385</v>
      </c>
      <c r="O36" s="130">
        <f>M36+N36</f>
        <v>81.051424171951183</v>
      </c>
      <c r="P36" s="47">
        <f t="shared" si="4"/>
        <v>0</v>
      </c>
      <c r="Q36" s="57">
        <f t="shared" si="5"/>
        <v>0</v>
      </c>
      <c r="R36" s="151">
        <f t="shared" si="6"/>
        <v>81.051424171951183</v>
      </c>
      <c r="S36" s="130">
        <f t="shared" si="7"/>
        <v>1.051424171951183</v>
      </c>
      <c r="T36" s="150">
        <f t="shared" si="8"/>
        <v>0</v>
      </c>
      <c r="V36" s="12"/>
    </row>
    <row r="37" spans="1:22" x14ac:dyDescent="0.25">
      <c r="A37" s="49">
        <f>'A) Base RI'!A38</f>
        <v>5451</v>
      </c>
      <c r="B37" s="350" t="str">
        <f>'A) Base RI'!B38</f>
        <v>Avenches</v>
      </c>
      <c r="C37" s="410">
        <v>2897818.4814556595</v>
      </c>
      <c r="D37" s="410">
        <v>647272.58578581316</v>
      </c>
      <c r="E37" s="411">
        <v>0</v>
      </c>
      <c r="F37" s="411">
        <v>0</v>
      </c>
      <c r="G37" s="411">
        <v>0</v>
      </c>
      <c r="H37" s="352">
        <f t="shared" si="0"/>
        <v>3545091.0672414727</v>
      </c>
      <c r="I37" s="412">
        <v>150757.73362745097</v>
      </c>
      <c r="J37" s="355">
        <f>'B) D RI'!U38</f>
        <v>129378.19823529426</v>
      </c>
      <c r="K37" s="65">
        <f t="shared" si="1"/>
        <v>23.515152303907804</v>
      </c>
      <c r="L37" s="33">
        <f>'B) D RI'!S38</f>
        <v>68</v>
      </c>
      <c r="M37" s="33">
        <f t="shared" si="2"/>
        <v>44.484847696092196</v>
      </c>
      <c r="N37" s="33">
        <f>'J) Plafonnement effort'!G36+'J) Plafonnement effort'!H36-'K) Plafonnement aide'!I36</f>
        <v>6.0236219284560466</v>
      </c>
      <c r="O37" s="130">
        <f t="shared" si="3"/>
        <v>50.508469624548241</v>
      </c>
      <c r="P37" s="47">
        <f t="shared" si="4"/>
        <v>0</v>
      </c>
      <c r="Q37" s="57">
        <f t="shared" si="5"/>
        <v>0</v>
      </c>
      <c r="R37" s="151">
        <f t="shared" si="6"/>
        <v>50.508469624548241</v>
      </c>
      <c r="S37" s="130">
        <f t="shared" si="7"/>
        <v>-17.491530375451759</v>
      </c>
      <c r="T37" s="150">
        <f t="shared" si="8"/>
        <v>0</v>
      </c>
      <c r="V37" s="12"/>
    </row>
    <row r="38" spans="1:22" x14ac:dyDescent="0.25">
      <c r="A38" s="49">
        <f>'A) Base RI'!A39</f>
        <v>5456</v>
      </c>
      <c r="B38" s="350" t="str">
        <f>'A) Base RI'!B39</f>
        <v>Cudrefin</v>
      </c>
      <c r="C38" s="410">
        <v>1126301.4520630981</v>
      </c>
      <c r="D38" s="410">
        <v>609426.84115402505</v>
      </c>
      <c r="E38" s="411">
        <v>0</v>
      </c>
      <c r="F38" s="411">
        <v>0</v>
      </c>
      <c r="G38" s="411">
        <v>0</v>
      </c>
      <c r="H38" s="352">
        <f t="shared" si="0"/>
        <v>1735728.293217123</v>
      </c>
      <c r="I38" s="412">
        <v>59376.955254237291</v>
      </c>
      <c r="J38" s="355">
        <f>'B) D RI'!U39</f>
        <v>57755.250790960446</v>
      </c>
      <c r="K38" s="65">
        <f t="shared" si="1"/>
        <v>29.23235598365002</v>
      </c>
      <c r="L38" s="33">
        <f>'B) D RI'!S39</f>
        <v>59</v>
      </c>
      <c r="M38" s="33">
        <f t="shared" si="2"/>
        <v>29.76764401634998</v>
      </c>
      <c r="N38" s="33">
        <f>'J) Plafonnement effort'!G37+'J) Plafonnement effort'!H37-'K) Plafonnement aide'!I37</f>
        <v>26.447725212635063</v>
      </c>
      <c r="O38" s="130">
        <f t="shared" si="3"/>
        <v>56.21536922898504</v>
      </c>
      <c r="P38" s="47">
        <f t="shared" si="4"/>
        <v>0</v>
      </c>
      <c r="Q38" s="57">
        <f t="shared" si="5"/>
        <v>0</v>
      </c>
      <c r="R38" s="151">
        <f t="shared" si="6"/>
        <v>56.21536922898504</v>
      </c>
      <c r="S38" s="130">
        <f t="shared" si="7"/>
        <v>-2.7846307710149603</v>
      </c>
      <c r="T38" s="150">
        <f t="shared" si="8"/>
        <v>0</v>
      </c>
      <c r="V38" s="12"/>
    </row>
    <row r="39" spans="1:22" x14ac:dyDescent="0.25">
      <c r="A39" s="49">
        <f>'A) Base RI'!A40</f>
        <v>5458</v>
      </c>
      <c r="B39" s="350" t="str">
        <f>'A) Base RI'!B40</f>
        <v>Faoug</v>
      </c>
      <c r="C39" s="410">
        <v>571820.85525296233</v>
      </c>
      <c r="D39" s="410">
        <v>323195.6467992015</v>
      </c>
      <c r="E39" s="411">
        <v>0</v>
      </c>
      <c r="F39" s="411">
        <v>0</v>
      </c>
      <c r="G39" s="411">
        <v>0</v>
      </c>
      <c r="H39" s="352">
        <f t="shared" si="0"/>
        <v>895016.50205216382</v>
      </c>
      <c r="I39" s="412">
        <v>30529.72296875</v>
      </c>
      <c r="J39" s="355">
        <f>'B) D RI'!U40</f>
        <v>33143.605656565654</v>
      </c>
      <c r="K39" s="65">
        <f t="shared" si="1"/>
        <v>29.316233985100229</v>
      </c>
      <c r="L39" s="33">
        <f>'B) D RI'!S40</f>
        <v>66</v>
      </c>
      <c r="M39" s="33">
        <f t="shared" si="2"/>
        <v>36.683766014899774</v>
      </c>
      <c r="N39" s="33">
        <f>'J) Plafonnement effort'!G38+'J) Plafonnement effort'!H38-'K) Plafonnement aide'!I38</f>
        <v>31.773021834080311</v>
      </c>
      <c r="O39" s="130">
        <f t="shared" si="3"/>
        <v>68.456787848980085</v>
      </c>
      <c r="P39" s="47">
        <f t="shared" si="4"/>
        <v>0</v>
      </c>
      <c r="Q39" s="57">
        <f t="shared" si="5"/>
        <v>0</v>
      </c>
      <c r="R39" s="151">
        <f t="shared" si="6"/>
        <v>68.456787848980085</v>
      </c>
      <c r="S39" s="130">
        <f t="shared" si="7"/>
        <v>2.4567878489800847</v>
      </c>
      <c r="T39" s="150">
        <f t="shared" si="8"/>
        <v>0</v>
      </c>
      <c r="V39" s="12"/>
    </row>
    <row r="40" spans="1:22" x14ac:dyDescent="0.25">
      <c r="A40" s="49">
        <f>'A) Base RI'!A41</f>
        <v>5464</v>
      </c>
      <c r="B40" s="350" t="str">
        <f>'A) Base RI'!B41</f>
        <v>Vully-les-Lacs</v>
      </c>
      <c r="C40" s="410">
        <v>1910962.335613104</v>
      </c>
      <c r="D40" s="410">
        <v>405314.04271706683</v>
      </c>
      <c r="E40" s="411">
        <v>0</v>
      </c>
      <c r="F40" s="411">
        <v>0</v>
      </c>
      <c r="G40" s="411">
        <v>0</v>
      </c>
      <c r="H40" s="352">
        <f t="shared" si="0"/>
        <v>2316276.3783301711</v>
      </c>
      <c r="I40" s="412">
        <v>103962.98910447762</v>
      </c>
      <c r="J40" s="355">
        <f>'B) D RI'!U41</f>
        <v>112741.2284079602</v>
      </c>
      <c r="K40" s="65">
        <f t="shared" si="1"/>
        <v>22.279817060689059</v>
      </c>
      <c r="L40" s="33">
        <f>'B) D RI'!S41</f>
        <v>67</v>
      </c>
      <c r="M40" s="33">
        <f t="shared" si="2"/>
        <v>44.720182939310945</v>
      </c>
      <c r="N40" s="33">
        <f>'J) Plafonnement effort'!G39+'J) Plafonnement effort'!H39-'K) Plafonnement aide'!I39</f>
        <v>18.402753683620357</v>
      </c>
      <c r="O40" s="130">
        <f t="shared" si="3"/>
        <v>63.122936622931306</v>
      </c>
      <c r="P40" s="47">
        <f t="shared" si="4"/>
        <v>0</v>
      </c>
      <c r="Q40" s="57">
        <f t="shared" si="5"/>
        <v>0</v>
      </c>
      <c r="R40" s="151">
        <f t="shared" si="6"/>
        <v>63.122936622931306</v>
      </c>
      <c r="S40" s="130">
        <f t="shared" si="7"/>
        <v>-3.8770633770686942</v>
      </c>
      <c r="T40" s="150">
        <f t="shared" si="8"/>
        <v>0</v>
      </c>
      <c r="V40" s="12"/>
    </row>
    <row r="41" spans="1:22" x14ac:dyDescent="0.25">
      <c r="A41" s="49">
        <f>'A) Base RI'!A42</f>
        <v>5471</v>
      </c>
      <c r="B41" s="350" t="str">
        <f>'A) Base RI'!B42</f>
        <v>Bettens</v>
      </c>
      <c r="C41" s="410">
        <v>308380.79950997222</v>
      </c>
      <c r="D41" s="410">
        <v>136203.20410405085</v>
      </c>
      <c r="E41" s="411">
        <v>0</v>
      </c>
      <c r="F41" s="411">
        <v>0</v>
      </c>
      <c r="G41" s="411">
        <v>0</v>
      </c>
      <c r="H41" s="352">
        <f t="shared" si="0"/>
        <v>444584.00361402309</v>
      </c>
      <c r="I41" s="412">
        <v>18585.086968253971</v>
      </c>
      <c r="J41" s="355">
        <f>'B) D RI'!U42</f>
        <v>21708.019984126982</v>
      </c>
      <c r="K41" s="65">
        <f t="shared" si="1"/>
        <v>23.921545504384088</v>
      </c>
      <c r="L41" s="33">
        <f>'B) D RI'!S42</f>
        <v>70</v>
      </c>
      <c r="M41" s="33">
        <f t="shared" si="2"/>
        <v>46.078454495615915</v>
      </c>
      <c r="N41" s="33">
        <f>'J) Plafonnement effort'!G40+'J) Plafonnement effort'!H40-'K) Plafonnement aide'!I40</f>
        <v>24.367176520028426</v>
      </c>
      <c r="O41" s="130">
        <f t="shared" si="3"/>
        <v>70.445631015644338</v>
      </c>
      <c r="P41" s="47">
        <f t="shared" si="4"/>
        <v>0</v>
      </c>
      <c r="Q41" s="57">
        <f t="shared" si="5"/>
        <v>0</v>
      </c>
      <c r="R41" s="151">
        <f t="shared" si="6"/>
        <v>70.445631015644338</v>
      </c>
      <c r="S41" s="130">
        <f t="shared" si="7"/>
        <v>0.44563101564433794</v>
      </c>
      <c r="T41" s="150">
        <f t="shared" si="8"/>
        <v>0</v>
      </c>
      <c r="V41" s="12"/>
    </row>
    <row r="42" spans="1:22" x14ac:dyDescent="0.25">
      <c r="A42" s="49">
        <f>'A) Base RI'!A43</f>
        <v>5472</v>
      </c>
      <c r="B42" s="350" t="str">
        <f>'A) Base RI'!B43</f>
        <v>Bournens</v>
      </c>
      <c r="C42" s="410">
        <v>262945.76231326681</v>
      </c>
      <c r="D42" s="410">
        <v>235509.8455825274</v>
      </c>
      <c r="E42" s="411">
        <v>0</v>
      </c>
      <c r="F42" s="411">
        <v>0</v>
      </c>
      <c r="G42" s="411">
        <v>0</v>
      </c>
      <c r="H42" s="352">
        <f t="shared" si="0"/>
        <v>498455.60789579421</v>
      </c>
      <c r="I42" s="412">
        <v>16542.658815789473</v>
      </c>
      <c r="J42" s="355">
        <f>'B) D RI'!U43</f>
        <v>15065.660131578947</v>
      </c>
      <c r="K42" s="65">
        <f t="shared" si="1"/>
        <v>30.131529244865597</v>
      </c>
      <c r="L42" s="33">
        <f>'B) D RI'!S43</f>
        <v>76</v>
      </c>
      <c r="M42" s="33">
        <f t="shared" si="2"/>
        <v>45.868470755134403</v>
      </c>
      <c r="N42" s="33">
        <f>'J) Plafonnement effort'!G41+'J) Plafonnement effort'!H41-'K) Plafonnement aide'!I41</f>
        <v>25.553766821694502</v>
      </c>
      <c r="O42" s="130">
        <f t="shared" si="3"/>
        <v>71.422237576828906</v>
      </c>
      <c r="P42" s="47">
        <f t="shared" si="4"/>
        <v>0</v>
      </c>
      <c r="Q42" s="57">
        <f t="shared" si="5"/>
        <v>0</v>
      </c>
      <c r="R42" s="151">
        <f t="shared" si="6"/>
        <v>71.422237576828906</v>
      </c>
      <c r="S42" s="130">
        <f t="shared" si="7"/>
        <v>-4.5777624231710945</v>
      </c>
      <c r="T42" s="150">
        <f t="shared" si="8"/>
        <v>0</v>
      </c>
      <c r="V42" s="12"/>
    </row>
    <row r="43" spans="1:22" x14ac:dyDescent="0.25">
      <c r="A43" s="49">
        <f>'A) Base RI'!A44</f>
        <v>5473</v>
      </c>
      <c r="B43" s="350" t="str">
        <f>'A) Base RI'!B44</f>
        <v>Boussens</v>
      </c>
      <c r="C43" s="410">
        <v>577617.53929260478</v>
      </c>
      <c r="D43" s="410">
        <v>469878.56544487574</v>
      </c>
      <c r="E43" s="411">
        <v>0</v>
      </c>
      <c r="F43" s="411">
        <v>0</v>
      </c>
      <c r="G43" s="411">
        <v>0</v>
      </c>
      <c r="H43" s="352">
        <f t="shared" si="0"/>
        <v>1047496.1047374805</v>
      </c>
      <c r="I43" s="412">
        <v>36720.844927536244</v>
      </c>
      <c r="J43" s="355">
        <f>'B) D RI'!U44</f>
        <v>34350.684492753629</v>
      </c>
      <c r="K43" s="65">
        <f t="shared" si="1"/>
        <v>28.525925991206801</v>
      </c>
      <c r="L43" s="33">
        <f>'B) D RI'!S44</f>
        <v>69</v>
      </c>
      <c r="M43" s="33">
        <f t="shared" si="2"/>
        <v>40.474074008793195</v>
      </c>
      <c r="N43" s="33">
        <f>'J) Plafonnement effort'!G42+'J) Plafonnement effort'!H42-'K) Plafonnement aide'!I42</f>
        <v>25.558478510614279</v>
      </c>
      <c r="O43" s="130">
        <f t="shared" si="3"/>
        <v>66.032552519407474</v>
      </c>
      <c r="P43" s="47">
        <f t="shared" si="4"/>
        <v>0</v>
      </c>
      <c r="Q43" s="57">
        <f t="shared" si="5"/>
        <v>0</v>
      </c>
      <c r="R43" s="151">
        <f t="shared" si="6"/>
        <v>66.032552519407474</v>
      </c>
      <c r="S43" s="130">
        <f t="shared" si="7"/>
        <v>-2.9674474805925257</v>
      </c>
      <c r="T43" s="150">
        <f t="shared" si="8"/>
        <v>0</v>
      </c>
      <c r="V43" s="12"/>
    </row>
    <row r="44" spans="1:22" x14ac:dyDescent="0.25">
      <c r="A44" s="49">
        <f>'A) Base RI'!A45</f>
        <v>5474</v>
      </c>
      <c r="B44" s="350" t="str">
        <f>'A) Base RI'!B45</f>
        <v>La Chaux (Cossonay)</v>
      </c>
      <c r="C44" s="410">
        <v>188061.72172226873</v>
      </c>
      <c r="D44" s="410">
        <v>76279.746758919297</v>
      </c>
      <c r="E44" s="411">
        <v>0</v>
      </c>
      <c r="F44" s="411">
        <v>0</v>
      </c>
      <c r="G44" s="411">
        <v>0</v>
      </c>
      <c r="H44" s="352">
        <f t="shared" si="0"/>
        <v>264341.46848118806</v>
      </c>
      <c r="I44" s="412">
        <v>12985.393549783552</v>
      </c>
      <c r="J44" s="355">
        <f>'B) D RI'!U45</f>
        <v>15323.423073593074</v>
      </c>
      <c r="K44" s="65">
        <f t="shared" si="1"/>
        <v>20.356831502083683</v>
      </c>
      <c r="L44" s="33">
        <f>'B) D RI'!S45</f>
        <v>77</v>
      </c>
      <c r="M44" s="33">
        <f t="shared" si="2"/>
        <v>56.643168497916321</v>
      </c>
      <c r="N44" s="33">
        <f>'J) Plafonnement effort'!G43+'J) Plafonnement effort'!H43-'K) Plafonnement aide'!I43</f>
        <v>20.008596542851311</v>
      </c>
      <c r="O44" s="130">
        <f t="shared" si="3"/>
        <v>76.651765040767629</v>
      </c>
      <c r="P44" s="47">
        <f t="shared" si="4"/>
        <v>0</v>
      </c>
      <c r="Q44" s="57">
        <f t="shared" si="5"/>
        <v>0</v>
      </c>
      <c r="R44" s="151">
        <f t="shared" si="6"/>
        <v>76.651765040767629</v>
      </c>
      <c r="S44" s="130">
        <f t="shared" si="7"/>
        <v>-0.34823495923237147</v>
      </c>
      <c r="T44" s="150">
        <f t="shared" si="8"/>
        <v>0</v>
      </c>
      <c r="V44" s="12"/>
    </row>
    <row r="45" spans="1:22" x14ac:dyDescent="0.25">
      <c r="A45" s="49">
        <f>'A) Base RI'!A46</f>
        <v>5475</v>
      </c>
      <c r="B45" s="350" t="str">
        <f>'A) Base RI'!B46</f>
        <v>Chavannes-le-Veyron</v>
      </c>
      <c r="C45" s="410">
        <v>104839.12065729185</v>
      </c>
      <c r="D45" s="410">
        <v>45936.57323006243</v>
      </c>
      <c r="E45" s="411">
        <v>0</v>
      </c>
      <c r="F45" s="411">
        <v>0</v>
      </c>
      <c r="G45" s="411">
        <v>0</v>
      </c>
      <c r="H45" s="352">
        <f t="shared" si="0"/>
        <v>150775.69388735428</v>
      </c>
      <c r="I45" s="412">
        <v>4956.4012987012984</v>
      </c>
      <c r="J45" s="355">
        <f>'B) D RI'!U46</f>
        <v>3045.9346753246755</v>
      </c>
      <c r="K45" s="65">
        <f t="shared" si="1"/>
        <v>30.420396735603571</v>
      </c>
      <c r="L45" s="33">
        <f>'B) D RI'!S46</f>
        <v>77</v>
      </c>
      <c r="M45" s="33">
        <f t="shared" si="2"/>
        <v>46.579603264396425</v>
      </c>
      <c r="N45" s="33">
        <f>'J) Plafonnement effort'!G44+'J) Plafonnement effort'!H44-'K) Plafonnement aide'!I44</f>
        <v>-5.0260473693536234</v>
      </c>
      <c r="O45" s="130">
        <f t="shared" si="3"/>
        <v>41.553555895042805</v>
      </c>
      <c r="P45" s="47">
        <f t="shared" si="4"/>
        <v>0</v>
      </c>
      <c r="Q45" s="57">
        <f t="shared" si="5"/>
        <v>0</v>
      </c>
      <c r="R45" s="151">
        <f t="shared" si="6"/>
        <v>41.553555895042805</v>
      </c>
      <c r="S45" s="130">
        <f t="shared" si="7"/>
        <v>-35.446444104957195</v>
      </c>
      <c r="T45" s="150">
        <f t="shared" si="8"/>
        <v>0</v>
      </c>
      <c r="V45" s="12"/>
    </row>
    <row r="46" spans="1:22" x14ac:dyDescent="0.25">
      <c r="A46" s="49">
        <f>'A) Base RI'!A47</f>
        <v>5476</v>
      </c>
      <c r="B46" s="350" t="str">
        <f>'A) Base RI'!B47</f>
        <v>Chevilly</v>
      </c>
      <c r="C46" s="410">
        <v>155371.90607600784</v>
      </c>
      <c r="D46" s="410">
        <v>93906.127050334326</v>
      </c>
      <c r="E46" s="411">
        <v>0</v>
      </c>
      <c r="F46" s="411">
        <v>0</v>
      </c>
      <c r="G46" s="411">
        <v>0</v>
      </c>
      <c r="H46" s="352">
        <f t="shared" si="0"/>
        <v>249278.03312634217</v>
      </c>
      <c r="I46" s="412">
        <v>10630.648108108109</v>
      </c>
      <c r="J46" s="355">
        <f>'B) D RI'!U47</f>
        <v>12632.544999999996</v>
      </c>
      <c r="K46" s="65">
        <f t="shared" si="1"/>
        <v>23.448996767771398</v>
      </c>
      <c r="L46" s="33">
        <f>'B) D RI'!S47</f>
        <v>74</v>
      </c>
      <c r="M46" s="33">
        <f t="shared" si="2"/>
        <v>50.551003232228602</v>
      </c>
      <c r="N46" s="33">
        <f>'J) Plafonnement effort'!G45+'J) Plafonnement effort'!H45-'K) Plafonnement aide'!I45</f>
        <v>26.754856040984649</v>
      </c>
      <c r="O46" s="130">
        <f t="shared" si="3"/>
        <v>77.305859273213258</v>
      </c>
      <c r="P46" s="47">
        <f t="shared" si="4"/>
        <v>0</v>
      </c>
      <c r="Q46" s="57">
        <f t="shared" si="5"/>
        <v>0</v>
      </c>
      <c r="R46" s="151">
        <f t="shared" si="6"/>
        <v>77.305859273213258</v>
      </c>
      <c r="S46" s="130">
        <f t="shared" si="7"/>
        <v>3.3058592732132581</v>
      </c>
      <c r="T46" s="150">
        <f t="shared" si="8"/>
        <v>0</v>
      </c>
      <c r="V46" s="12"/>
    </row>
    <row r="47" spans="1:22" x14ac:dyDescent="0.25">
      <c r="A47" s="49">
        <f>'A) Base RI'!A48</f>
        <v>5477</v>
      </c>
      <c r="B47" s="350" t="str">
        <f>'A) Base RI'!B48</f>
        <v>Cossonay</v>
      </c>
      <c r="C47" s="410">
        <v>2362677.7056328813</v>
      </c>
      <c r="D47" s="410">
        <v>479510.32068728306</v>
      </c>
      <c r="E47" s="411">
        <v>0</v>
      </c>
      <c r="F47" s="411">
        <v>0</v>
      </c>
      <c r="G47" s="411">
        <v>0</v>
      </c>
      <c r="H47" s="352">
        <f t="shared" si="0"/>
        <v>2842188.0263201641</v>
      </c>
      <c r="I47" s="412">
        <v>133477.09521126762</v>
      </c>
      <c r="J47" s="355">
        <f>'B) D RI'!U48</f>
        <v>144389.2549295775</v>
      </c>
      <c r="K47" s="65">
        <f t="shared" si="1"/>
        <v>21.293451298303633</v>
      </c>
      <c r="L47" s="33">
        <f>'B) D RI'!S48</f>
        <v>71</v>
      </c>
      <c r="M47" s="33">
        <f t="shared" si="2"/>
        <v>49.706548701696363</v>
      </c>
      <c r="N47" s="33">
        <f>'J) Plafonnement effort'!G46+'J) Plafonnement effort'!H46-'K) Plafonnement aide'!I46</f>
        <v>16.911021530545902</v>
      </c>
      <c r="O47" s="130">
        <f t="shared" si="3"/>
        <v>66.617570232242258</v>
      </c>
      <c r="P47" s="47">
        <f t="shared" si="4"/>
        <v>0</v>
      </c>
      <c r="Q47" s="57">
        <f t="shared" si="5"/>
        <v>0</v>
      </c>
      <c r="R47" s="151">
        <f t="shared" si="6"/>
        <v>66.617570232242258</v>
      </c>
      <c r="S47" s="130">
        <f t="shared" si="7"/>
        <v>-4.382429767757742</v>
      </c>
      <c r="T47" s="150">
        <f t="shared" si="8"/>
        <v>0</v>
      </c>
      <c r="V47" s="12"/>
    </row>
    <row r="48" spans="1:22" x14ac:dyDescent="0.25">
      <c r="A48" s="49">
        <f>'A) Base RI'!A49</f>
        <v>5478</v>
      </c>
      <c r="B48" s="350" t="str">
        <f>'A) Base RI'!B49</f>
        <v>Cottens</v>
      </c>
      <c r="C48" s="410">
        <v>233592.05209671013</v>
      </c>
      <c r="D48" s="410">
        <v>60790.783307115955</v>
      </c>
      <c r="E48" s="411">
        <v>0</v>
      </c>
      <c r="F48" s="411">
        <v>0</v>
      </c>
      <c r="G48" s="411">
        <v>0</v>
      </c>
      <c r="H48" s="352">
        <f t="shared" si="0"/>
        <v>294382.83540382609</v>
      </c>
      <c r="I48" s="412">
        <v>14377.418378378377</v>
      </c>
      <c r="J48" s="355">
        <f>'B) D RI'!U49</f>
        <v>17566.345945945945</v>
      </c>
      <c r="K48" s="65">
        <f t="shared" si="1"/>
        <v>20.475361268371838</v>
      </c>
      <c r="L48" s="33">
        <f>'B) D RI'!S49</f>
        <v>74</v>
      </c>
      <c r="M48" s="33">
        <f t="shared" si="2"/>
        <v>53.524638731628158</v>
      </c>
      <c r="N48" s="33">
        <f>'J) Plafonnement effort'!G47+'J) Plafonnement effort'!H47-'K) Plafonnement aide'!I47</f>
        <v>-3.6231043324139272</v>
      </c>
      <c r="O48" s="130">
        <f t="shared" si="3"/>
        <v>49.901534399214228</v>
      </c>
      <c r="P48" s="47">
        <f t="shared" si="4"/>
        <v>0</v>
      </c>
      <c r="Q48" s="57">
        <f t="shared" si="5"/>
        <v>0</v>
      </c>
      <c r="R48" s="151">
        <f t="shared" si="6"/>
        <v>49.901534399214228</v>
      </c>
      <c r="S48" s="130">
        <f t="shared" si="7"/>
        <v>-24.098465600785772</v>
      </c>
      <c r="T48" s="150">
        <f t="shared" si="8"/>
        <v>0</v>
      </c>
      <c r="V48" s="12"/>
    </row>
    <row r="49" spans="1:22" x14ac:dyDescent="0.25">
      <c r="A49" s="49">
        <f>'A) Base RI'!A50</f>
        <v>5479</v>
      </c>
      <c r="B49" s="350" t="str">
        <f>'A) Base RI'!B50</f>
        <v>Cuarnens</v>
      </c>
      <c r="C49" s="410">
        <v>283872.27689316927</v>
      </c>
      <c r="D49" s="410">
        <v>143740.05446685763</v>
      </c>
      <c r="E49" s="411">
        <v>0</v>
      </c>
      <c r="F49" s="411">
        <v>0</v>
      </c>
      <c r="G49" s="411">
        <v>0</v>
      </c>
      <c r="H49" s="352">
        <f t="shared" si="0"/>
        <v>427612.3313600269</v>
      </c>
      <c r="I49" s="412">
        <v>16455.372077922078</v>
      </c>
      <c r="J49" s="355">
        <f>'B) D RI'!U50</f>
        <v>17277.023636363636</v>
      </c>
      <c r="K49" s="65">
        <f t="shared" si="1"/>
        <v>25.986184288944024</v>
      </c>
      <c r="L49" s="33">
        <f>'B) D RI'!S50</f>
        <v>77</v>
      </c>
      <c r="M49" s="33">
        <f t="shared" si="2"/>
        <v>51.013815711055976</v>
      </c>
      <c r="N49" s="33">
        <f>'J) Plafonnement effort'!G48+'J) Plafonnement effort'!H48-'K) Plafonnement aide'!I48</f>
        <v>7.4393752579313919</v>
      </c>
      <c r="O49" s="130">
        <f t="shared" si="3"/>
        <v>58.453190968987371</v>
      </c>
      <c r="P49" s="47">
        <f t="shared" si="4"/>
        <v>0</v>
      </c>
      <c r="Q49" s="57">
        <f t="shared" si="5"/>
        <v>0</v>
      </c>
      <c r="R49" s="151">
        <f t="shared" si="6"/>
        <v>58.453190968987371</v>
      </c>
      <c r="S49" s="130">
        <f t="shared" si="7"/>
        <v>-18.546809031012629</v>
      </c>
      <c r="T49" s="150">
        <f t="shared" si="8"/>
        <v>0</v>
      </c>
      <c r="V49" s="12"/>
    </row>
    <row r="50" spans="1:22" x14ac:dyDescent="0.25">
      <c r="A50" s="49">
        <f>'A) Base RI'!A51</f>
        <v>5480</v>
      </c>
      <c r="B50" s="350" t="str">
        <f>'A) Base RI'!B51</f>
        <v>Daillens</v>
      </c>
      <c r="C50" s="410">
        <v>783870.01273702527</v>
      </c>
      <c r="D50" s="410">
        <v>581661.5607292254</v>
      </c>
      <c r="E50" s="411">
        <v>0</v>
      </c>
      <c r="F50" s="411">
        <v>0</v>
      </c>
      <c r="G50" s="411">
        <v>0</v>
      </c>
      <c r="H50" s="352">
        <f t="shared" si="0"/>
        <v>1365531.5734662507</v>
      </c>
      <c r="I50" s="412">
        <v>41472.794507042257</v>
      </c>
      <c r="J50" s="355">
        <f>'B) D RI'!U51</f>
        <v>40568.804343434349</v>
      </c>
      <c r="K50" s="65">
        <f t="shared" si="1"/>
        <v>32.925960010589051</v>
      </c>
      <c r="L50" s="33">
        <f>'B) D RI'!S51</f>
        <v>66</v>
      </c>
      <c r="M50" s="33">
        <f t="shared" si="2"/>
        <v>33.074039989410949</v>
      </c>
      <c r="N50" s="33">
        <f>'J) Plafonnement effort'!G49+'J) Plafonnement effort'!H49-'K) Plafonnement aide'!I49</f>
        <v>19.994856781094114</v>
      </c>
      <c r="O50" s="130">
        <f t="shared" si="3"/>
        <v>53.068896770505063</v>
      </c>
      <c r="P50" s="47">
        <f t="shared" si="4"/>
        <v>0</v>
      </c>
      <c r="Q50" s="57">
        <f t="shared" si="5"/>
        <v>0</v>
      </c>
      <c r="R50" s="151">
        <f t="shared" si="6"/>
        <v>53.068896770505063</v>
      </c>
      <c r="S50" s="130">
        <f t="shared" si="7"/>
        <v>-12.931103229494937</v>
      </c>
      <c r="T50" s="150">
        <f t="shared" si="8"/>
        <v>0</v>
      </c>
      <c r="V50" s="12"/>
    </row>
    <row r="51" spans="1:22" x14ac:dyDescent="0.25">
      <c r="A51" s="49">
        <f>'A) Base RI'!A52</f>
        <v>5481</v>
      </c>
      <c r="B51" s="350" t="str">
        <f>'A) Base RI'!B52</f>
        <v>Dizy</v>
      </c>
      <c r="C51" s="410">
        <v>179041.77439980823</v>
      </c>
      <c r="D51" s="410">
        <v>188174.01200500075</v>
      </c>
      <c r="E51" s="411">
        <v>0</v>
      </c>
      <c r="F51" s="411">
        <v>0</v>
      </c>
      <c r="G51" s="411">
        <v>0</v>
      </c>
      <c r="H51" s="352">
        <f t="shared" si="0"/>
        <v>367215.78640480898</v>
      </c>
      <c r="I51" s="412">
        <v>11087.272784810126</v>
      </c>
      <c r="J51" s="355">
        <f>'B) D RI'!U52</f>
        <v>9658.8267088607608</v>
      </c>
      <c r="K51" s="65">
        <f t="shared" si="1"/>
        <v>33.120479087328391</v>
      </c>
      <c r="L51" s="33">
        <f>'B) D RI'!S52</f>
        <v>79</v>
      </c>
      <c r="M51" s="33">
        <f t="shared" si="2"/>
        <v>45.879520912671609</v>
      </c>
      <c r="N51" s="33">
        <f>'J) Plafonnement effort'!G50+'J) Plafonnement effort'!H50-'K) Plafonnement aide'!I50</f>
        <v>26.682955332751369</v>
      </c>
      <c r="O51" s="130">
        <f t="shared" si="3"/>
        <v>72.562476245422971</v>
      </c>
      <c r="P51" s="47">
        <f t="shared" si="4"/>
        <v>0</v>
      </c>
      <c r="Q51" s="57">
        <f t="shared" si="5"/>
        <v>0</v>
      </c>
      <c r="R51" s="151">
        <f t="shared" si="6"/>
        <v>72.562476245422971</v>
      </c>
      <c r="S51" s="130">
        <f t="shared" si="7"/>
        <v>-6.437523754577029</v>
      </c>
      <c r="T51" s="150">
        <f t="shared" si="8"/>
        <v>0</v>
      </c>
      <c r="V51" s="12"/>
    </row>
    <row r="52" spans="1:22" x14ac:dyDescent="0.25">
      <c r="A52" s="49">
        <f>'A) Base RI'!A53</f>
        <v>5482</v>
      </c>
      <c r="B52" s="350" t="str">
        <f>'A) Base RI'!B53</f>
        <v>Eclépens</v>
      </c>
      <c r="C52" s="410">
        <v>850017.65544406069</v>
      </c>
      <c r="D52" s="410">
        <v>709925.90522868105</v>
      </c>
      <c r="E52" s="411">
        <v>0</v>
      </c>
      <c r="F52" s="411">
        <v>0</v>
      </c>
      <c r="G52" s="411">
        <v>0</v>
      </c>
      <c r="H52" s="352">
        <f t="shared" si="0"/>
        <v>1559943.5606727418</v>
      </c>
      <c r="I52" s="412">
        <v>49011.702173913051</v>
      </c>
      <c r="J52" s="355">
        <f>'B) D RI'!U53</f>
        <v>60116.695217391316</v>
      </c>
      <c r="K52" s="65">
        <f t="shared" si="1"/>
        <v>31.827981716232593</v>
      </c>
      <c r="L52" s="33">
        <f>'B) D RI'!S53</f>
        <v>46</v>
      </c>
      <c r="M52" s="33">
        <f t="shared" si="2"/>
        <v>14.172018283767407</v>
      </c>
      <c r="N52" s="33">
        <f>'J) Plafonnement effort'!G51+'J) Plafonnement effort'!H51-'K) Plafonnement aide'!I51</f>
        <v>33.262423627380876</v>
      </c>
      <c r="O52" s="130">
        <f t="shared" si="3"/>
        <v>47.434441911148284</v>
      </c>
      <c r="P52" s="47">
        <f t="shared" si="4"/>
        <v>0</v>
      </c>
      <c r="Q52" s="57">
        <f t="shared" si="5"/>
        <v>0</v>
      </c>
      <c r="R52" s="151">
        <f t="shared" si="6"/>
        <v>47.434441911148284</v>
      </c>
      <c r="S52" s="130">
        <f t="shared" si="7"/>
        <v>1.4344419111482836</v>
      </c>
      <c r="T52" s="150">
        <f t="shared" si="8"/>
        <v>0</v>
      </c>
      <c r="V52" s="12"/>
    </row>
    <row r="53" spans="1:22" x14ac:dyDescent="0.25">
      <c r="A53" s="49">
        <f>'A) Base RI'!A54</f>
        <v>5483</v>
      </c>
      <c r="B53" s="350" t="str">
        <f>'A) Base RI'!B54</f>
        <v>Ferreyres</v>
      </c>
      <c r="C53" s="410">
        <v>152220.8060194476</v>
      </c>
      <c r="D53" s="410">
        <v>19959.285519023921</v>
      </c>
      <c r="E53" s="411">
        <v>0</v>
      </c>
      <c r="F53" s="411">
        <v>0</v>
      </c>
      <c r="G53" s="411">
        <v>0</v>
      </c>
      <c r="H53" s="352">
        <f t="shared" si="0"/>
        <v>172180.09153847152</v>
      </c>
      <c r="I53" s="412">
        <v>8858.2019736842121</v>
      </c>
      <c r="J53" s="355">
        <f>'B) D RI'!U54</f>
        <v>11167.980394736842</v>
      </c>
      <c r="K53" s="65">
        <f t="shared" si="1"/>
        <v>19.437363479629507</v>
      </c>
      <c r="L53" s="33">
        <f>'B) D RI'!S54</f>
        <v>76</v>
      </c>
      <c r="M53" s="33">
        <f t="shared" si="2"/>
        <v>56.562636520370489</v>
      </c>
      <c r="N53" s="33">
        <f>'J) Plafonnement effort'!G52+'J) Plafonnement effort'!H52-'K) Plafonnement aide'!I52</f>
        <v>25.594524137682253</v>
      </c>
      <c r="O53" s="130">
        <f t="shared" si="3"/>
        <v>82.157160658052746</v>
      </c>
      <c r="P53" s="47">
        <f t="shared" si="4"/>
        <v>0</v>
      </c>
      <c r="Q53" s="57">
        <f t="shared" si="5"/>
        <v>0</v>
      </c>
      <c r="R53" s="151">
        <f t="shared" si="6"/>
        <v>82.157160658052746</v>
      </c>
      <c r="S53" s="130">
        <f t="shared" si="7"/>
        <v>6.1571606580527458</v>
      </c>
      <c r="T53" s="150">
        <f t="shared" si="8"/>
        <v>0</v>
      </c>
      <c r="V53" s="12"/>
    </row>
    <row r="54" spans="1:22" x14ac:dyDescent="0.25">
      <c r="A54" s="49">
        <f>'A) Base RI'!A55</f>
        <v>5484</v>
      </c>
      <c r="B54" s="350" t="str">
        <f>'A) Base RI'!B55</f>
        <v>Gollion</v>
      </c>
      <c r="C54" s="410">
        <v>615139.93368374591</v>
      </c>
      <c r="D54" s="410">
        <v>297272.9642674292</v>
      </c>
      <c r="E54" s="411">
        <v>0</v>
      </c>
      <c r="F54" s="411">
        <v>0</v>
      </c>
      <c r="G54" s="411">
        <v>0</v>
      </c>
      <c r="H54" s="352">
        <f t="shared" si="0"/>
        <v>912412.89795117511</v>
      </c>
      <c r="I54" s="412">
        <v>32194.381081081083</v>
      </c>
      <c r="J54" s="355">
        <f>'B) D RI'!U55</f>
        <v>33995.543783783789</v>
      </c>
      <c r="K54" s="65">
        <f t="shared" si="1"/>
        <v>28.340749761682837</v>
      </c>
      <c r="L54" s="33">
        <f>'B) D RI'!S55</f>
        <v>74</v>
      </c>
      <c r="M54" s="33">
        <f t="shared" si="2"/>
        <v>45.659250238317163</v>
      </c>
      <c r="N54" s="33">
        <f>'J) Plafonnement effort'!G53+'J) Plafonnement effort'!H53-'K) Plafonnement aide'!I53</f>
        <v>25.339506498802177</v>
      </c>
      <c r="O54" s="130">
        <f t="shared" si="3"/>
        <v>70.998756737119336</v>
      </c>
      <c r="P54" s="47">
        <f t="shared" si="4"/>
        <v>0</v>
      </c>
      <c r="Q54" s="57">
        <f t="shared" si="5"/>
        <v>0</v>
      </c>
      <c r="R54" s="151">
        <f t="shared" si="6"/>
        <v>70.998756737119336</v>
      </c>
      <c r="S54" s="130">
        <f t="shared" si="7"/>
        <v>-3.0012432628806636</v>
      </c>
      <c r="T54" s="150">
        <f t="shared" si="8"/>
        <v>0</v>
      </c>
      <c r="V54" s="12"/>
    </row>
    <row r="55" spans="1:22" x14ac:dyDescent="0.25">
      <c r="A55" s="49">
        <f>'A) Base RI'!A56</f>
        <v>5485</v>
      </c>
      <c r="B55" s="350" t="str">
        <f>'A) Base RI'!B56</f>
        <v>Grancy</v>
      </c>
      <c r="C55" s="410">
        <v>289776.01702386874</v>
      </c>
      <c r="D55" s="410">
        <v>315139.42831362464</v>
      </c>
      <c r="E55" s="411">
        <v>0</v>
      </c>
      <c r="F55" s="411">
        <v>0</v>
      </c>
      <c r="G55" s="411">
        <v>0</v>
      </c>
      <c r="H55" s="352">
        <f t="shared" si="0"/>
        <v>604915.44533749344</v>
      </c>
      <c r="I55" s="412">
        <v>18697.252714285714</v>
      </c>
      <c r="J55" s="355">
        <f>'B) D RI'!U56</f>
        <v>16957.048857142858</v>
      </c>
      <c r="K55" s="65">
        <f t="shared" si="1"/>
        <v>32.353172660243573</v>
      </c>
      <c r="L55" s="33">
        <f>'B) D RI'!S56</f>
        <v>70</v>
      </c>
      <c r="M55" s="33">
        <f t="shared" si="2"/>
        <v>37.646827339756427</v>
      </c>
      <c r="N55" s="33">
        <f>'J) Plafonnement effort'!G54+'J) Plafonnement effort'!H54-'K) Plafonnement aide'!I54</f>
        <v>30.676548623212017</v>
      </c>
      <c r="O55" s="130">
        <f t="shared" si="3"/>
        <v>68.323375962968441</v>
      </c>
      <c r="P55" s="47">
        <f t="shared" si="4"/>
        <v>0</v>
      </c>
      <c r="Q55" s="57">
        <f t="shared" si="5"/>
        <v>0</v>
      </c>
      <c r="R55" s="151">
        <f t="shared" si="6"/>
        <v>68.323375962968441</v>
      </c>
      <c r="S55" s="130">
        <f t="shared" si="7"/>
        <v>-1.6766240370315586</v>
      </c>
      <c r="T55" s="150">
        <f t="shared" si="8"/>
        <v>0</v>
      </c>
      <c r="V55" s="12"/>
    </row>
    <row r="56" spans="1:22" x14ac:dyDescent="0.25">
      <c r="A56" s="49">
        <f>'A) Base RI'!A57</f>
        <v>5486</v>
      </c>
      <c r="B56" s="350" t="str">
        <f>'A) Base RI'!B57</f>
        <v>L'Isle</v>
      </c>
      <c r="C56" s="410">
        <v>548684.08795243397</v>
      </c>
      <c r="D56" s="410">
        <v>169778.5052109044</v>
      </c>
      <c r="E56" s="411">
        <v>0</v>
      </c>
      <c r="F56" s="411">
        <v>0</v>
      </c>
      <c r="G56" s="411">
        <v>0</v>
      </c>
      <c r="H56" s="352">
        <f t="shared" si="0"/>
        <v>718462.59316333837</v>
      </c>
      <c r="I56" s="412">
        <v>31254.420526315782</v>
      </c>
      <c r="J56" s="355">
        <f>'B) D RI'!U57</f>
        <v>35667.648026315794</v>
      </c>
      <c r="K56" s="65">
        <f t="shared" si="1"/>
        <v>22.987551234821424</v>
      </c>
      <c r="L56" s="33">
        <f>'B) D RI'!S57</f>
        <v>76</v>
      </c>
      <c r="M56" s="33">
        <f t="shared" si="2"/>
        <v>53.012448765178576</v>
      </c>
      <c r="N56" s="33">
        <f>'J) Plafonnement effort'!G55+'J) Plafonnement effort'!H55-'K) Plafonnement aide'!I55</f>
        <v>24.299118984313523</v>
      </c>
      <c r="O56" s="130">
        <f t="shared" si="3"/>
        <v>77.311567749492099</v>
      </c>
      <c r="P56" s="47">
        <f t="shared" si="4"/>
        <v>0</v>
      </c>
      <c r="Q56" s="57">
        <f t="shared" si="5"/>
        <v>0</v>
      </c>
      <c r="R56" s="151">
        <f t="shared" si="6"/>
        <v>77.311567749492099</v>
      </c>
      <c r="S56" s="130">
        <f t="shared" si="7"/>
        <v>1.3115677494920988</v>
      </c>
      <c r="T56" s="150">
        <f t="shared" si="8"/>
        <v>0</v>
      </c>
      <c r="V56" s="12"/>
    </row>
    <row r="57" spans="1:22" x14ac:dyDescent="0.25">
      <c r="A57" s="49">
        <f>'A) Base RI'!A58</f>
        <v>5487</v>
      </c>
      <c r="B57" s="350" t="str">
        <f>'A) Base RI'!B58</f>
        <v>Lussery-Villars</v>
      </c>
      <c r="C57" s="410">
        <v>226343.57777210837</v>
      </c>
      <c r="D57" s="410">
        <v>99987.87561446568</v>
      </c>
      <c r="E57" s="411">
        <v>0</v>
      </c>
      <c r="F57" s="411">
        <v>0</v>
      </c>
      <c r="G57" s="411">
        <v>0</v>
      </c>
      <c r="H57" s="352">
        <f t="shared" si="0"/>
        <v>326331.45338657405</v>
      </c>
      <c r="I57" s="412">
        <v>14791.264800000001</v>
      </c>
      <c r="J57" s="355">
        <f>'B) D RI'!U58</f>
        <v>15504.095066666665</v>
      </c>
      <c r="K57" s="65">
        <f t="shared" si="1"/>
        <v>22.062444138419728</v>
      </c>
      <c r="L57" s="33">
        <f>'B) D RI'!S58</f>
        <v>75</v>
      </c>
      <c r="M57" s="33">
        <f t="shared" si="2"/>
        <v>52.937555861580272</v>
      </c>
      <c r="N57" s="33">
        <f>'J) Plafonnement effort'!G56+'J) Plafonnement effort'!H56-'K) Plafonnement aide'!I56</f>
        <v>21.817178335139388</v>
      </c>
      <c r="O57" s="130">
        <f t="shared" si="3"/>
        <v>74.754734196719653</v>
      </c>
      <c r="P57" s="47">
        <f t="shared" si="4"/>
        <v>0</v>
      </c>
      <c r="Q57" s="57">
        <f t="shared" si="5"/>
        <v>0</v>
      </c>
      <c r="R57" s="151">
        <f t="shared" si="6"/>
        <v>74.754734196719653</v>
      </c>
      <c r="S57" s="130">
        <f t="shared" si="7"/>
        <v>-0.24526580328034697</v>
      </c>
      <c r="T57" s="150">
        <f t="shared" si="8"/>
        <v>0</v>
      </c>
      <c r="V57" s="12"/>
    </row>
    <row r="58" spans="1:22" x14ac:dyDescent="0.25">
      <c r="A58" s="49">
        <f>'A) Base RI'!A59</f>
        <v>5488</v>
      </c>
      <c r="B58" s="350" t="str">
        <f>'A) Base RI'!B59</f>
        <v>Mauraz</v>
      </c>
      <c r="C58" s="410">
        <v>34235.156405899754</v>
      </c>
      <c r="D58" s="410">
        <v>12229.227083346424</v>
      </c>
      <c r="E58" s="411">
        <v>0</v>
      </c>
      <c r="F58" s="411">
        <v>0</v>
      </c>
      <c r="G58" s="411">
        <v>0</v>
      </c>
      <c r="H58" s="352">
        <f t="shared" si="0"/>
        <v>46464.383489246175</v>
      </c>
      <c r="I58" s="412">
        <v>1908.9349999999995</v>
      </c>
      <c r="J58" s="355">
        <f>'B) D RI'!U59</f>
        <v>1751.8621794871794</v>
      </c>
      <c r="K58" s="65">
        <f t="shared" si="1"/>
        <v>24.340474395014073</v>
      </c>
      <c r="L58" s="33">
        <f>'B) D RI'!S59</f>
        <v>78</v>
      </c>
      <c r="M58" s="33">
        <f t="shared" si="2"/>
        <v>53.65952560498593</v>
      </c>
      <c r="N58" s="33">
        <f>'J) Plafonnement effort'!G57+'J) Plafonnement effort'!H57-'K) Plafonnement aide'!I57</f>
        <v>17.763884348976671</v>
      </c>
      <c r="O58" s="130">
        <f t="shared" si="3"/>
        <v>71.423409953962604</v>
      </c>
      <c r="P58" s="47">
        <f t="shared" si="4"/>
        <v>0</v>
      </c>
      <c r="Q58" s="57">
        <f t="shared" si="5"/>
        <v>0</v>
      </c>
      <c r="R58" s="151">
        <f t="shared" si="6"/>
        <v>71.423409953962604</v>
      </c>
      <c r="S58" s="130">
        <f t="shared" si="7"/>
        <v>-6.5765900460373956</v>
      </c>
      <c r="T58" s="150">
        <f t="shared" si="8"/>
        <v>0</v>
      </c>
      <c r="V58" s="12"/>
    </row>
    <row r="59" spans="1:22" x14ac:dyDescent="0.25">
      <c r="A59" s="49">
        <f>'A) Base RI'!A60</f>
        <v>5489</v>
      </c>
      <c r="B59" s="350" t="str">
        <f>'A) Base RI'!B60</f>
        <v>Mex</v>
      </c>
      <c r="C59" s="410">
        <v>1835639.8539548172</v>
      </c>
      <c r="D59" s="410">
        <v>1141017.7821211005</v>
      </c>
      <c r="E59" s="411">
        <v>0</v>
      </c>
      <c r="F59" s="411">
        <v>0</v>
      </c>
      <c r="G59" s="411">
        <v>0</v>
      </c>
      <c r="H59" s="352">
        <f t="shared" si="0"/>
        <v>2976657.6360759176</v>
      </c>
      <c r="I59" s="412">
        <v>70574.798032786901</v>
      </c>
      <c r="J59" s="355">
        <f>'B) D RI'!U60</f>
        <v>62953.268196721314</v>
      </c>
      <c r="K59" s="65">
        <f t="shared" si="1"/>
        <v>42.177345441258694</v>
      </c>
      <c r="L59" s="33">
        <f>'B) D RI'!S60</f>
        <v>61</v>
      </c>
      <c r="M59" s="33">
        <f t="shared" si="2"/>
        <v>18.822654558741306</v>
      </c>
      <c r="N59" s="33">
        <f>'J) Plafonnement effort'!G58+'J) Plafonnement effort'!H58-'K) Plafonnement aide'!I58</f>
        <v>43.518737433923192</v>
      </c>
      <c r="O59" s="130">
        <f t="shared" si="3"/>
        <v>62.341391992664498</v>
      </c>
      <c r="P59" s="47">
        <f t="shared" si="4"/>
        <v>0</v>
      </c>
      <c r="Q59" s="57">
        <f t="shared" si="5"/>
        <v>0</v>
      </c>
      <c r="R59" s="151">
        <f t="shared" si="6"/>
        <v>62.341391992664498</v>
      </c>
      <c r="S59" s="130">
        <f t="shared" si="7"/>
        <v>1.3413919926644979</v>
      </c>
      <c r="T59" s="150">
        <f t="shared" si="8"/>
        <v>0</v>
      </c>
      <c r="V59" s="12"/>
    </row>
    <row r="60" spans="1:22" x14ac:dyDescent="0.25">
      <c r="A60" s="49">
        <f>'A) Base RI'!A61</f>
        <v>5490</v>
      </c>
      <c r="B60" s="350" t="str">
        <f>'A) Base RI'!B61</f>
        <v>Moiry</v>
      </c>
      <c r="C60" s="410">
        <v>152086.86434792582</v>
      </c>
      <c r="D60" s="410">
        <v>26748.508870793623</v>
      </c>
      <c r="E60" s="411">
        <v>0</v>
      </c>
      <c r="F60" s="411">
        <v>0</v>
      </c>
      <c r="G60" s="411">
        <v>0</v>
      </c>
      <c r="H60" s="352">
        <f t="shared" si="0"/>
        <v>178835.37321871944</v>
      </c>
      <c r="I60" s="412">
        <v>9296.4079999999994</v>
      </c>
      <c r="J60" s="355">
        <f>'B) D RI'!U61</f>
        <v>8346.3239490445867</v>
      </c>
      <c r="K60" s="65">
        <f t="shared" si="1"/>
        <v>19.237040071683541</v>
      </c>
      <c r="L60" s="33">
        <f>'B) D RI'!S61</f>
        <v>78.5</v>
      </c>
      <c r="M60" s="33">
        <f t="shared" si="2"/>
        <v>59.262959928316462</v>
      </c>
      <c r="N60" s="33">
        <f>'J) Plafonnement effort'!G59+'J) Plafonnement effort'!H59-'K) Plafonnement aide'!I59</f>
        <v>5.2383675618848295</v>
      </c>
      <c r="O60" s="130">
        <f t="shared" si="3"/>
        <v>64.501327490201291</v>
      </c>
      <c r="P60" s="47">
        <f t="shared" si="4"/>
        <v>0</v>
      </c>
      <c r="Q60" s="57">
        <f t="shared" si="5"/>
        <v>0</v>
      </c>
      <c r="R60" s="151">
        <f t="shared" si="6"/>
        <v>64.501327490201291</v>
      </c>
      <c r="S60" s="130">
        <f t="shared" si="7"/>
        <v>-13.998672509798709</v>
      </c>
      <c r="T60" s="150">
        <f t="shared" si="8"/>
        <v>0</v>
      </c>
      <c r="V60" s="12"/>
    </row>
    <row r="61" spans="1:22" x14ac:dyDescent="0.25">
      <c r="A61" s="49">
        <f>'A) Base RI'!A62</f>
        <v>5491</v>
      </c>
      <c r="B61" s="350" t="str">
        <f>'A) Base RI'!B62</f>
        <v>Mont-la-Ville</v>
      </c>
      <c r="C61" s="410">
        <v>226216.89680226782</v>
      </c>
      <c r="D61" s="410">
        <v>-11546.181310215965</v>
      </c>
      <c r="E61" s="411">
        <v>0</v>
      </c>
      <c r="F61" s="411">
        <v>0</v>
      </c>
      <c r="G61" s="411">
        <v>0</v>
      </c>
      <c r="H61" s="352">
        <f t="shared" si="0"/>
        <v>214670.71549205185</v>
      </c>
      <c r="I61" s="412">
        <v>12324.548552631581</v>
      </c>
      <c r="J61" s="355">
        <f>'B) D RI'!U62</f>
        <v>14105.600657894736</v>
      </c>
      <c r="K61" s="65">
        <f t="shared" si="1"/>
        <v>17.418140273074311</v>
      </c>
      <c r="L61" s="33">
        <f>'B) D RI'!S62</f>
        <v>76</v>
      </c>
      <c r="M61" s="33">
        <f t="shared" ref="M61:M114" si="9">L61-K61</f>
        <v>58.581859726925686</v>
      </c>
      <c r="N61" s="33">
        <f>'J) Plafonnement effort'!G60+'J) Plafonnement effort'!H60-'K) Plafonnement aide'!I60</f>
        <v>10.868235493019036</v>
      </c>
      <c r="O61" s="130">
        <f t="shared" ref="O61:O114" si="10">M61+N61</f>
        <v>69.450095219944728</v>
      </c>
      <c r="P61" s="47">
        <f t="shared" ref="P61:P114" si="11">IF(O61&gt;$P$5,$P$5-O61,0)</f>
        <v>0</v>
      </c>
      <c r="Q61" s="57">
        <f t="shared" si="5"/>
        <v>0</v>
      </c>
      <c r="R61" s="151">
        <f t="shared" ref="R61:R114" si="12">O61+P61</f>
        <v>69.450095219944728</v>
      </c>
      <c r="S61" s="130">
        <f t="shared" ref="S61:S114" si="13">R61-L61</f>
        <v>-6.5499047800552717</v>
      </c>
      <c r="T61" s="150">
        <f t="shared" si="8"/>
        <v>0</v>
      </c>
      <c r="V61" s="12"/>
    </row>
    <row r="62" spans="1:22" x14ac:dyDescent="0.25">
      <c r="A62" s="49">
        <f>'A) Base RI'!A63</f>
        <v>5492</v>
      </c>
      <c r="B62" s="350" t="str">
        <f>'A) Base RI'!B63</f>
        <v>Montricher</v>
      </c>
      <c r="C62" s="410">
        <v>9952742.6145970523</v>
      </c>
      <c r="D62" s="410">
        <v>3359202.9153202032</v>
      </c>
      <c r="E62" s="411">
        <v>0</v>
      </c>
      <c r="F62" s="411">
        <v>-2591272.3914274522</v>
      </c>
      <c r="G62" s="411">
        <v>0</v>
      </c>
      <c r="H62" s="352">
        <f t="shared" si="0"/>
        <v>10720673.138489803</v>
      </c>
      <c r="I62" s="412">
        <v>236409.63453124999</v>
      </c>
      <c r="J62" s="355">
        <f>'B) D RI'!U63</f>
        <v>190092.85661458335</v>
      </c>
      <c r="K62" s="65">
        <f t="shared" ref="K62:K116" si="14">H62/I62</f>
        <v>45.347869006043759</v>
      </c>
      <c r="L62" s="33">
        <f>'B) D RI'!S63</f>
        <v>64</v>
      </c>
      <c r="M62" s="33">
        <f t="shared" si="9"/>
        <v>18.652130993956241</v>
      </c>
      <c r="N62" s="33">
        <f>'J) Plafonnement effort'!G61+'J) Plafonnement effort'!H61-'K) Plafonnement aide'!I61</f>
        <v>45</v>
      </c>
      <c r="O62" s="130">
        <f t="shared" si="10"/>
        <v>63.652130993956241</v>
      </c>
      <c r="P62" s="47">
        <f t="shared" si="11"/>
        <v>0</v>
      </c>
      <c r="Q62" s="57">
        <f t="shared" si="5"/>
        <v>0</v>
      </c>
      <c r="R62" s="151">
        <f t="shared" si="12"/>
        <v>63.652130993956241</v>
      </c>
      <c r="S62" s="130">
        <f t="shared" si="13"/>
        <v>-0.34786900604375859</v>
      </c>
      <c r="T62" s="150">
        <f t="shared" si="8"/>
        <v>0</v>
      </c>
      <c r="V62" s="12"/>
    </row>
    <row r="63" spans="1:22" x14ac:dyDescent="0.25">
      <c r="A63" s="49">
        <f>'A) Base RI'!A64</f>
        <v>5493</v>
      </c>
      <c r="B63" s="350" t="str">
        <f>'A) Base RI'!B64</f>
        <v>Orny</v>
      </c>
      <c r="C63" s="410">
        <v>210916.14232955314</v>
      </c>
      <c r="D63" s="410">
        <v>42577.921009783517</v>
      </c>
      <c r="E63" s="411">
        <v>0</v>
      </c>
      <c r="F63" s="411">
        <v>0</v>
      </c>
      <c r="G63" s="411">
        <v>0</v>
      </c>
      <c r="H63" s="352">
        <f t="shared" si="0"/>
        <v>253494.06333933666</v>
      </c>
      <c r="I63" s="412">
        <v>10717.748314014751</v>
      </c>
      <c r="J63" s="355">
        <f>'B) D RI'!U64</f>
        <v>10669.457639620656</v>
      </c>
      <c r="K63" s="65">
        <f t="shared" si="14"/>
        <v>23.651802217436153</v>
      </c>
      <c r="L63" s="33">
        <f>'B) D RI'!S64</f>
        <v>73</v>
      </c>
      <c r="M63" s="33">
        <f t="shared" si="9"/>
        <v>49.348197782563844</v>
      </c>
      <c r="N63" s="33">
        <f>'J) Plafonnement effort'!G62+'J) Plafonnement effort'!H62-'K) Plafonnement aide'!I62</f>
        <v>20.134367675532708</v>
      </c>
      <c r="O63" s="130">
        <f t="shared" si="10"/>
        <v>69.482565458096559</v>
      </c>
      <c r="P63" s="47">
        <f t="shared" si="11"/>
        <v>0</v>
      </c>
      <c r="Q63" s="57">
        <f t="shared" ref="Q63:Q117" si="15">P63*J63</f>
        <v>0</v>
      </c>
      <c r="R63" s="151">
        <f t="shared" si="12"/>
        <v>69.482565458096559</v>
      </c>
      <c r="S63" s="130">
        <f t="shared" si="13"/>
        <v>-3.517434541903441</v>
      </c>
      <c r="T63" s="150">
        <f t="shared" si="8"/>
        <v>0</v>
      </c>
      <c r="V63" s="12"/>
    </row>
    <row r="64" spans="1:22" x14ac:dyDescent="0.25">
      <c r="A64" s="49">
        <f>'A) Base RI'!A65</f>
        <v>5494</v>
      </c>
      <c r="B64" s="350" t="str">
        <f>'A) Base RI'!B65</f>
        <v>Pampigny</v>
      </c>
      <c r="C64" s="410">
        <v>706098.58666810638</v>
      </c>
      <c r="D64" s="410">
        <v>302714.11869044462</v>
      </c>
      <c r="E64" s="411">
        <v>0</v>
      </c>
      <c r="F64" s="411">
        <v>0</v>
      </c>
      <c r="G64" s="411">
        <v>0</v>
      </c>
      <c r="H64" s="352">
        <f t="shared" si="0"/>
        <v>1008812.705358551</v>
      </c>
      <c r="I64" s="412">
        <v>37813.321536507938</v>
      </c>
      <c r="J64" s="355">
        <f>'B) D RI'!U65</f>
        <v>37008.943269841264</v>
      </c>
      <c r="K64" s="65">
        <f t="shared" si="14"/>
        <v>26.678764635488694</v>
      </c>
      <c r="L64" s="33">
        <f>'B) D RI'!S65</f>
        <v>75</v>
      </c>
      <c r="M64" s="33">
        <f t="shared" si="9"/>
        <v>48.32123536451131</v>
      </c>
      <c r="N64" s="33">
        <f>'J) Plafonnement effort'!G63+'J) Plafonnement effort'!H63-'K) Plafonnement aide'!I63</f>
        <v>17.646579449899832</v>
      </c>
      <c r="O64" s="130">
        <f t="shared" si="10"/>
        <v>65.967814814411142</v>
      </c>
      <c r="P64" s="47">
        <f t="shared" si="11"/>
        <v>0</v>
      </c>
      <c r="Q64" s="57">
        <f t="shared" si="15"/>
        <v>0</v>
      </c>
      <c r="R64" s="151">
        <f t="shared" si="12"/>
        <v>65.967814814411142</v>
      </c>
      <c r="S64" s="130">
        <f t="shared" si="13"/>
        <v>-9.0321851855888582</v>
      </c>
      <c r="T64" s="150">
        <f t="shared" si="8"/>
        <v>0</v>
      </c>
      <c r="V64" s="12"/>
    </row>
    <row r="65" spans="1:22" x14ac:dyDescent="0.25">
      <c r="A65" s="49">
        <f>'A) Base RI'!A66</f>
        <v>5495</v>
      </c>
      <c r="B65" s="350" t="str">
        <f>'A) Base RI'!B66</f>
        <v>Penthalaz</v>
      </c>
      <c r="C65" s="410">
        <v>1607880.8116554348</v>
      </c>
      <c r="D65" s="410">
        <v>-373121.52554650279</v>
      </c>
      <c r="E65" s="411">
        <v>0</v>
      </c>
      <c r="F65" s="411">
        <v>0</v>
      </c>
      <c r="G65" s="411">
        <v>0</v>
      </c>
      <c r="H65" s="352">
        <f t="shared" si="0"/>
        <v>1234759.286108932</v>
      </c>
      <c r="I65" s="412">
        <v>92917.674594594588</v>
      </c>
      <c r="J65" s="355">
        <f>'B) D RI'!U66</f>
        <v>95334.294459459459</v>
      </c>
      <c r="K65" s="65">
        <f t="shared" si="14"/>
        <v>13.288745026134814</v>
      </c>
      <c r="L65" s="33">
        <f>'B) D RI'!S66</f>
        <v>74</v>
      </c>
      <c r="M65" s="33">
        <f t="shared" si="9"/>
        <v>60.711254973865188</v>
      </c>
      <c r="N65" s="33">
        <f>'J) Plafonnement effort'!G64+'J) Plafonnement effort'!H64-'K) Plafonnement aide'!I64</f>
        <v>7.6797535543601638</v>
      </c>
      <c r="O65" s="130">
        <f t="shared" si="10"/>
        <v>68.391008528225356</v>
      </c>
      <c r="P65" s="47">
        <f t="shared" si="11"/>
        <v>0</v>
      </c>
      <c r="Q65" s="57">
        <f t="shared" si="15"/>
        <v>0</v>
      </c>
      <c r="R65" s="151">
        <f t="shared" si="12"/>
        <v>68.391008528225356</v>
      </c>
      <c r="S65" s="130">
        <f t="shared" si="13"/>
        <v>-5.6089914717746439</v>
      </c>
      <c r="T65" s="150">
        <f t="shared" si="8"/>
        <v>0</v>
      </c>
      <c r="V65" s="12"/>
    </row>
    <row r="66" spans="1:22" x14ac:dyDescent="0.25">
      <c r="A66" s="49">
        <f>'A) Base RI'!A67</f>
        <v>5496</v>
      </c>
      <c r="B66" s="350" t="str">
        <f>'A) Base RI'!B67</f>
        <v>Penthaz</v>
      </c>
      <c r="C66" s="410">
        <v>1093939.9453562843</v>
      </c>
      <c r="D66" s="410">
        <v>303288.24360991106</v>
      </c>
      <c r="E66" s="411">
        <v>0</v>
      </c>
      <c r="F66" s="411">
        <v>0</v>
      </c>
      <c r="G66" s="411">
        <v>0</v>
      </c>
      <c r="H66" s="352">
        <f t="shared" si="0"/>
        <v>1397228.1889661953</v>
      </c>
      <c r="I66" s="412">
        <v>57442.135633802813</v>
      </c>
      <c r="J66" s="355">
        <f>'B) D RI'!U67</f>
        <v>59470.759859154932</v>
      </c>
      <c r="K66" s="65">
        <f t="shared" si="14"/>
        <v>24.324098913619995</v>
      </c>
      <c r="L66" s="33">
        <f>'B) D RI'!S67</f>
        <v>71</v>
      </c>
      <c r="M66" s="33">
        <f t="shared" si="9"/>
        <v>46.675901086380009</v>
      </c>
      <c r="N66" s="33">
        <f>'J) Plafonnement effort'!G65+'J) Plafonnement effort'!H65-'K) Plafonnement aide'!I65</f>
        <v>19.520397198551706</v>
      </c>
      <c r="O66" s="130">
        <f t="shared" si="10"/>
        <v>66.196298284931714</v>
      </c>
      <c r="P66" s="47">
        <f t="shared" si="11"/>
        <v>0</v>
      </c>
      <c r="Q66" s="57">
        <f t="shared" si="15"/>
        <v>0</v>
      </c>
      <c r="R66" s="151">
        <f t="shared" si="12"/>
        <v>66.196298284931714</v>
      </c>
      <c r="S66" s="130">
        <f t="shared" si="13"/>
        <v>-4.8037017150682857</v>
      </c>
      <c r="T66" s="150">
        <f t="shared" si="8"/>
        <v>0</v>
      </c>
      <c r="V66" s="12"/>
    </row>
    <row r="67" spans="1:22" x14ac:dyDescent="0.25">
      <c r="A67" s="49">
        <f>'A) Base RI'!A68</f>
        <v>5497</v>
      </c>
      <c r="B67" s="350" t="str">
        <f>'A) Base RI'!B68</f>
        <v>Pompaples</v>
      </c>
      <c r="C67" s="410">
        <v>465512.77255481365</v>
      </c>
      <c r="D67" s="410">
        <v>72095.560353429406</v>
      </c>
      <c r="E67" s="411">
        <v>0</v>
      </c>
      <c r="F67" s="411">
        <v>0</v>
      </c>
      <c r="G67" s="411">
        <v>0</v>
      </c>
      <c r="H67" s="352">
        <f t="shared" si="0"/>
        <v>537608.33290824306</v>
      </c>
      <c r="I67" s="412">
        <v>22516.582121212119</v>
      </c>
      <c r="J67" s="355">
        <f>'B) D RI'!U68</f>
        <v>22300.858484848486</v>
      </c>
      <c r="K67" s="65">
        <f t="shared" si="14"/>
        <v>23.876107395614905</v>
      </c>
      <c r="L67" s="33">
        <f>'B) D RI'!S68</f>
        <v>66</v>
      </c>
      <c r="M67" s="33">
        <f t="shared" si="9"/>
        <v>42.123892604385091</v>
      </c>
      <c r="N67" s="33">
        <f>'J) Plafonnement effort'!G66+'J) Plafonnement effort'!H66-'K) Plafonnement aide'!I66</f>
        <v>13.691874592469745</v>
      </c>
      <c r="O67" s="130">
        <f t="shared" si="10"/>
        <v>55.815767196854836</v>
      </c>
      <c r="P67" s="47">
        <f t="shared" si="11"/>
        <v>0</v>
      </c>
      <c r="Q67" s="57">
        <f t="shared" si="15"/>
        <v>0</v>
      </c>
      <c r="R67" s="151">
        <f t="shared" si="12"/>
        <v>55.815767196854836</v>
      </c>
      <c r="S67" s="130">
        <f t="shared" si="13"/>
        <v>-10.184232803145164</v>
      </c>
      <c r="T67" s="150">
        <f t="shared" si="8"/>
        <v>0</v>
      </c>
      <c r="V67" s="12"/>
    </row>
    <row r="68" spans="1:22" x14ac:dyDescent="0.25">
      <c r="A68" s="49">
        <f>'A) Base RI'!A69</f>
        <v>5498</v>
      </c>
      <c r="B68" s="350" t="str">
        <f>'A) Base RI'!B69</f>
        <v>La Sarraz</v>
      </c>
      <c r="C68" s="410">
        <v>1339134.1764196185</v>
      </c>
      <c r="D68" s="410">
        <v>155741.6888238308</v>
      </c>
      <c r="E68" s="411">
        <v>0</v>
      </c>
      <c r="F68" s="411">
        <v>0</v>
      </c>
      <c r="G68" s="411">
        <v>0</v>
      </c>
      <c r="H68" s="352">
        <f t="shared" si="0"/>
        <v>1494875.8652434493</v>
      </c>
      <c r="I68" s="412">
        <v>78201.916969696991</v>
      </c>
      <c r="J68" s="355">
        <f>'B) D RI'!U69</f>
        <v>77649.398333333345</v>
      </c>
      <c r="K68" s="65">
        <f t="shared" si="14"/>
        <v>19.115591064381572</v>
      </c>
      <c r="L68" s="33">
        <f>'B) D RI'!S69</f>
        <v>66</v>
      </c>
      <c r="M68" s="33">
        <f t="shared" si="9"/>
        <v>46.884408935618424</v>
      </c>
      <c r="N68" s="33">
        <f>'J) Plafonnement effort'!G67+'J) Plafonnement effort'!H67-'K) Plafonnement aide'!I67</f>
        <v>11.436846052996096</v>
      </c>
      <c r="O68" s="130">
        <f t="shared" si="10"/>
        <v>58.32125498861452</v>
      </c>
      <c r="P68" s="47">
        <f t="shared" si="11"/>
        <v>0</v>
      </c>
      <c r="Q68" s="57">
        <f t="shared" si="15"/>
        <v>0</v>
      </c>
      <c r="R68" s="151">
        <f t="shared" si="12"/>
        <v>58.32125498861452</v>
      </c>
      <c r="S68" s="130">
        <f t="shared" si="13"/>
        <v>-7.6787450113854803</v>
      </c>
      <c r="T68" s="150">
        <f t="shared" si="8"/>
        <v>0</v>
      </c>
      <c r="V68" s="12"/>
    </row>
    <row r="69" spans="1:22" x14ac:dyDescent="0.25">
      <c r="A69" s="49">
        <f>'A) Base RI'!A70</f>
        <v>5499</v>
      </c>
      <c r="B69" s="350" t="str">
        <f>'A) Base RI'!B70</f>
        <v>Senarclens</v>
      </c>
      <c r="C69" s="410">
        <v>395732.73345348297</v>
      </c>
      <c r="D69" s="410">
        <v>404650.58845983061</v>
      </c>
      <c r="E69" s="411">
        <v>0</v>
      </c>
      <c r="F69" s="411">
        <v>0</v>
      </c>
      <c r="G69" s="411">
        <v>0</v>
      </c>
      <c r="H69" s="352">
        <f t="shared" si="0"/>
        <v>800383.32191331359</v>
      </c>
      <c r="I69" s="412">
        <v>23886.663649635037</v>
      </c>
      <c r="J69" s="355">
        <f>'B) D RI'!U70</f>
        <v>19517.373430656935</v>
      </c>
      <c r="K69" s="65">
        <f t="shared" si="14"/>
        <v>33.507539338820244</v>
      </c>
      <c r="L69" s="33">
        <f>'B) D RI'!S70</f>
        <v>68.5</v>
      </c>
      <c r="M69" s="33">
        <f t="shared" si="9"/>
        <v>34.992460661179756</v>
      </c>
      <c r="N69" s="33">
        <f>'J) Plafonnement effort'!G68+'J) Plafonnement effort'!H68-'K) Plafonnement aide'!I68</f>
        <v>31.889517783097773</v>
      </c>
      <c r="O69" s="130">
        <f t="shared" si="10"/>
        <v>66.881978444277536</v>
      </c>
      <c r="P69" s="47">
        <f t="shared" si="11"/>
        <v>0</v>
      </c>
      <c r="Q69" s="57">
        <f t="shared" si="15"/>
        <v>0</v>
      </c>
      <c r="R69" s="151">
        <f t="shared" si="12"/>
        <v>66.881978444277536</v>
      </c>
      <c r="S69" s="130">
        <f t="shared" si="13"/>
        <v>-1.6180215557224642</v>
      </c>
      <c r="T69" s="150">
        <f t="shared" si="8"/>
        <v>0</v>
      </c>
      <c r="V69" s="12"/>
    </row>
    <row r="70" spans="1:22" x14ac:dyDescent="0.25">
      <c r="A70" s="49">
        <f>'A) Base RI'!A71</f>
        <v>5500</v>
      </c>
      <c r="B70" s="350" t="str">
        <f>'A) Base RI'!B71</f>
        <v>Sévery</v>
      </c>
      <c r="C70" s="410">
        <v>124739.43338327511</v>
      </c>
      <c r="D70" s="410">
        <v>12669.890264816029</v>
      </c>
      <c r="E70" s="411">
        <v>0</v>
      </c>
      <c r="F70" s="411">
        <v>0</v>
      </c>
      <c r="G70" s="411">
        <v>0</v>
      </c>
      <c r="H70" s="352">
        <f t="shared" si="0"/>
        <v>137409.32364809114</v>
      </c>
      <c r="I70" s="412">
        <v>6331.5331555555558</v>
      </c>
      <c r="J70" s="355">
        <f>'B) D RI'!U71</f>
        <v>6999.0248888888891</v>
      </c>
      <c r="K70" s="65">
        <f t="shared" si="14"/>
        <v>21.702377650430904</v>
      </c>
      <c r="L70" s="33">
        <f>'B) D RI'!S71</f>
        <v>75</v>
      </c>
      <c r="M70" s="33">
        <f t="shared" si="9"/>
        <v>53.297622349569096</v>
      </c>
      <c r="N70" s="33">
        <f>'J) Plafonnement effort'!G69+'J) Plafonnement effort'!H69-'K) Plafonnement aide'!I69</f>
        <v>18.583798830155516</v>
      </c>
      <c r="O70" s="130">
        <f t="shared" si="10"/>
        <v>71.881421179724612</v>
      </c>
      <c r="P70" s="47">
        <f t="shared" si="11"/>
        <v>0</v>
      </c>
      <c r="Q70" s="57">
        <f t="shared" si="15"/>
        <v>0</v>
      </c>
      <c r="R70" s="151">
        <f t="shared" si="12"/>
        <v>71.881421179724612</v>
      </c>
      <c r="S70" s="130">
        <f t="shared" si="13"/>
        <v>-3.1185788202753884</v>
      </c>
      <c r="T70" s="150">
        <f t="shared" si="8"/>
        <v>0</v>
      </c>
      <c r="V70" s="12"/>
    </row>
    <row r="71" spans="1:22" x14ac:dyDescent="0.25">
      <c r="A71" s="49">
        <f>'A) Base RI'!A72</f>
        <v>5501</v>
      </c>
      <c r="B71" s="350" t="str">
        <f>'A) Base RI'!B72</f>
        <v>Sullens</v>
      </c>
      <c r="C71" s="410">
        <v>642923.65317478101</v>
      </c>
      <c r="D71" s="410">
        <v>432626.08195699548</v>
      </c>
      <c r="E71" s="411">
        <v>0</v>
      </c>
      <c r="F71" s="411">
        <v>0</v>
      </c>
      <c r="G71" s="411">
        <v>0</v>
      </c>
      <c r="H71" s="352">
        <f t="shared" ref="H71:H134" si="16">SUM(C71:G71)</f>
        <v>1075549.7351317764</v>
      </c>
      <c r="I71" s="412">
        <v>37812.339142857141</v>
      </c>
      <c r="J71" s="355">
        <f>'B) D RI'!U72</f>
        <v>40473.718571428566</v>
      </c>
      <c r="K71" s="65">
        <f t="shared" si="14"/>
        <v>28.444411520490416</v>
      </c>
      <c r="L71" s="33">
        <f>'B) D RI'!S72</f>
        <v>70</v>
      </c>
      <c r="M71" s="33">
        <f t="shared" si="9"/>
        <v>41.555588479509581</v>
      </c>
      <c r="N71" s="33">
        <f>'J) Plafonnement effort'!G70+'J) Plafonnement effort'!H70-'K) Plafonnement aide'!I70</f>
        <v>29.389720591926395</v>
      </c>
      <c r="O71" s="130">
        <f t="shared" si="10"/>
        <v>70.945309071435972</v>
      </c>
      <c r="P71" s="47">
        <f t="shared" si="11"/>
        <v>0</v>
      </c>
      <c r="Q71" s="57">
        <f t="shared" si="15"/>
        <v>0</v>
      </c>
      <c r="R71" s="151">
        <f t="shared" si="12"/>
        <v>70.945309071435972</v>
      </c>
      <c r="S71" s="130">
        <f t="shared" si="13"/>
        <v>0.94530907143597176</v>
      </c>
      <c r="T71" s="150">
        <f t="shared" ref="T71:T134" si="17">+C71+D71+E71+F71+G71-H71</f>
        <v>0</v>
      </c>
      <c r="V71" s="12"/>
    </row>
    <row r="72" spans="1:22" x14ac:dyDescent="0.25">
      <c r="A72" s="49">
        <f>'A) Base RI'!A73</f>
        <v>5503</v>
      </c>
      <c r="B72" s="350" t="str">
        <f>'A) Base RI'!B73</f>
        <v>Vufflens-la-Ville</v>
      </c>
      <c r="C72" s="410">
        <v>1666013.6143486779</v>
      </c>
      <c r="D72" s="410">
        <v>1254488.9413059379</v>
      </c>
      <c r="E72" s="411">
        <v>0</v>
      </c>
      <c r="F72" s="411">
        <v>0</v>
      </c>
      <c r="G72" s="411">
        <v>0</v>
      </c>
      <c r="H72" s="352">
        <f t="shared" si="16"/>
        <v>2920502.5556546161</v>
      </c>
      <c r="I72" s="412">
        <v>77893.035572139299</v>
      </c>
      <c r="J72" s="355">
        <f>'B) D RI'!U73</f>
        <v>87926.416417910455</v>
      </c>
      <c r="K72" s="65">
        <f t="shared" si="14"/>
        <v>37.493757101683919</v>
      </c>
      <c r="L72" s="33">
        <f>'B) D RI'!S73</f>
        <v>67</v>
      </c>
      <c r="M72" s="33">
        <f t="shared" si="9"/>
        <v>29.506242898316081</v>
      </c>
      <c r="N72" s="33">
        <f>'J) Plafonnement effort'!G71+'J) Plafonnement effort'!H71-'K) Plafonnement aide'!I71</f>
        <v>39.659491790984617</v>
      </c>
      <c r="O72" s="130">
        <f t="shared" si="10"/>
        <v>69.165734689300706</v>
      </c>
      <c r="P72" s="47">
        <f t="shared" si="11"/>
        <v>0</v>
      </c>
      <c r="Q72" s="57">
        <f t="shared" si="15"/>
        <v>0</v>
      </c>
      <c r="R72" s="151">
        <f t="shared" si="12"/>
        <v>69.165734689300706</v>
      </c>
      <c r="S72" s="130">
        <f t="shared" si="13"/>
        <v>2.1657346893007059</v>
      </c>
      <c r="T72" s="150">
        <f t="shared" si="17"/>
        <v>0</v>
      </c>
      <c r="V72" s="12"/>
    </row>
    <row r="73" spans="1:22" x14ac:dyDescent="0.25">
      <c r="A73" s="49">
        <f>'A) Base RI'!A74</f>
        <v>5511</v>
      </c>
      <c r="B73" s="350" t="str">
        <f>'A) Base RI'!B74</f>
        <v>Assens</v>
      </c>
      <c r="C73" s="410">
        <v>733534.70104568289</v>
      </c>
      <c r="D73" s="410">
        <v>683261.15653176501</v>
      </c>
      <c r="E73" s="411">
        <v>0</v>
      </c>
      <c r="F73" s="411">
        <v>0</v>
      </c>
      <c r="G73" s="411">
        <v>0</v>
      </c>
      <c r="H73" s="352">
        <f t="shared" si="16"/>
        <v>1416795.8575774478</v>
      </c>
      <c r="I73" s="412">
        <v>45641.470857142856</v>
      </c>
      <c r="J73" s="355">
        <f>'B) D RI'!U74</f>
        <v>50067.904428571426</v>
      </c>
      <c r="K73" s="65">
        <f t="shared" si="14"/>
        <v>31.041853625006922</v>
      </c>
      <c r="L73" s="33">
        <f>'B) D RI'!S74</f>
        <v>70</v>
      </c>
      <c r="M73" s="33">
        <f t="shared" si="9"/>
        <v>38.958146374993078</v>
      </c>
      <c r="N73" s="33">
        <f>'J) Plafonnement effort'!G72+'J) Plafonnement effort'!H72-'K) Plafonnement aide'!I72</f>
        <v>29.66097505671399</v>
      </c>
      <c r="O73" s="130">
        <f t="shared" si="10"/>
        <v>68.619121431707072</v>
      </c>
      <c r="P73" s="47">
        <f t="shared" si="11"/>
        <v>0</v>
      </c>
      <c r="Q73" s="57">
        <f t="shared" si="15"/>
        <v>0</v>
      </c>
      <c r="R73" s="151">
        <f t="shared" si="12"/>
        <v>68.619121431707072</v>
      </c>
      <c r="S73" s="130">
        <f t="shared" si="13"/>
        <v>-1.3808785682929283</v>
      </c>
      <c r="T73" s="150">
        <f t="shared" si="17"/>
        <v>0</v>
      </c>
      <c r="V73" s="12"/>
    </row>
    <row r="74" spans="1:22" x14ac:dyDescent="0.25">
      <c r="A74" s="49">
        <f>'A) Base RI'!A75</f>
        <v>5512</v>
      </c>
      <c r="B74" s="350" t="str">
        <f>'A) Base RI'!B75</f>
        <v>Bercher</v>
      </c>
      <c r="C74" s="410">
        <v>665397.0364161625</v>
      </c>
      <c r="D74" s="410">
        <v>86486.813240699819</v>
      </c>
      <c r="E74" s="411">
        <v>0</v>
      </c>
      <c r="F74" s="411">
        <v>0</v>
      </c>
      <c r="G74" s="411">
        <v>0</v>
      </c>
      <c r="H74" s="352">
        <f t="shared" si="16"/>
        <v>751883.84965686232</v>
      </c>
      <c r="I74" s="412">
        <v>37783.595443037979</v>
      </c>
      <c r="J74" s="355">
        <f>'B) D RI'!U75</f>
        <v>40005.59860759494</v>
      </c>
      <c r="K74" s="65">
        <f t="shared" si="14"/>
        <v>19.899743283838404</v>
      </c>
      <c r="L74" s="33">
        <f>'B) D RI'!S75</f>
        <v>79</v>
      </c>
      <c r="M74" s="33">
        <f t="shared" si="9"/>
        <v>59.100256716161596</v>
      </c>
      <c r="N74" s="33">
        <f>'J) Plafonnement effort'!G73+'J) Plafonnement effort'!H73-'K) Plafonnement aide'!I73</f>
        <v>12.856251014947048</v>
      </c>
      <c r="O74" s="130">
        <f t="shared" si="10"/>
        <v>71.956507731108644</v>
      </c>
      <c r="P74" s="47">
        <f t="shared" si="11"/>
        <v>0</v>
      </c>
      <c r="Q74" s="57">
        <f t="shared" si="15"/>
        <v>0</v>
      </c>
      <c r="R74" s="151">
        <f t="shared" si="12"/>
        <v>71.956507731108644</v>
      </c>
      <c r="S74" s="130">
        <f t="shared" si="13"/>
        <v>-7.0434922688913559</v>
      </c>
      <c r="T74" s="150">
        <f t="shared" si="17"/>
        <v>0</v>
      </c>
      <c r="V74" s="12"/>
    </row>
    <row r="75" spans="1:22" x14ac:dyDescent="0.25">
      <c r="A75" s="49">
        <f>'A) Base RI'!A76</f>
        <v>5513</v>
      </c>
      <c r="B75" s="350" t="str">
        <f>'A) Base RI'!B76</f>
        <v>Bioley-Orjulaz</v>
      </c>
      <c r="C75" s="410">
        <v>419870.56328135764</v>
      </c>
      <c r="D75" s="410">
        <v>384422.50312366296</v>
      </c>
      <c r="E75" s="411">
        <v>0</v>
      </c>
      <c r="F75" s="411">
        <v>0</v>
      </c>
      <c r="G75" s="411">
        <v>0</v>
      </c>
      <c r="H75" s="352">
        <f t="shared" si="16"/>
        <v>804293.06640502065</v>
      </c>
      <c r="I75" s="412">
        <v>23108.127499999999</v>
      </c>
      <c r="J75" s="355">
        <f>'B) D RI'!U76</f>
        <v>22037.146176470589</v>
      </c>
      <c r="K75" s="65">
        <f t="shared" si="14"/>
        <v>34.805635653733546</v>
      </c>
      <c r="L75" s="33">
        <f>'B) D RI'!S76</f>
        <v>68</v>
      </c>
      <c r="M75" s="33">
        <f t="shared" si="9"/>
        <v>33.194364346266454</v>
      </c>
      <c r="N75" s="33">
        <f>'J) Plafonnement effort'!G74+'J) Plafonnement effort'!H74-'K) Plafonnement aide'!I74</f>
        <v>32.518514170699497</v>
      </c>
      <c r="O75" s="130">
        <f t="shared" si="10"/>
        <v>65.712878516965958</v>
      </c>
      <c r="P75" s="47">
        <f t="shared" si="11"/>
        <v>0</v>
      </c>
      <c r="Q75" s="57">
        <f t="shared" si="15"/>
        <v>0</v>
      </c>
      <c r="R75" s="151">
        <f t="shared" si="12"/>
        <v>65.712878516965958</v>
      </c>
      <c r="S75" s="130">
        <f t="shared" si="13"/>
        <v>-2.2871214830340421</v>
      </c>
      <c r="T75" s="150">
        <f t="shared" si="17"/>
        <v>0</v>
      </c>
      <c r="V75" s="12"/>
    </row>
    <row r="76" spans="1:22" x14ac:dyDescent="0.25">
      <c r="A76" s="49">
        <f>'A) Base RI'!A77</f>
        <v>5514</v>
      </c>
      <c r="B76" s="350" t="str">
        <f>'A) Base RI'!B77</f>
        <v>Bottens</v>
      </c>
      <c r="C76" s="410">
        <v>710138.727464861</v>
      </c>
      <c r="D76" s="410">
        <v>387458.2262533264</v>
      </c>
      <c r="E76" s="411">
        <v>0</v>
      </c>
      <c r="F76" s="411">
        <v>0</v>
      </c>
      <c r="G76" s="411">
        <v>0</v>
      </c>
      <c r="H76" s="352">
        <f t="shared" si="16"/>
        <v>1097596.9537181873</v>
      </c>
      <c r="I76" s="412">
        <v>44799.851014492742</v>
      </c>
      <c r="J76" s="355">
        <f>'B) D RI'!U77</f>
        <v>40784.156621621616</v>
      </c>
      <c r="K76" s="65">
        <f t="shared" si="14"/>
        <v>24.500013479132217</v>
      </c>
      <c r="L76" s="33">
        <f>'B) D RI'!S77</f>
        <v>74</v>
      </c>
      <c r="M76" s="33">
        <f t="shared" si="9"/>
        <v>49.499986520867779</v>
      </c>
      <c r="N76" s="33">
        <f>'J) Plafonnement effort'!G75+'J) Plafonnement effort'!H75-'K) Plafonnement aide'!I75</f>
        <v>19.728949543211769</v>
      </c>
      <c r="O76" s="130">
        <f t="shared" si="10"/>
        <v>69.228936064079548</v>
      </c>
      <c r="P76" s="47">
        <f t="shared" si="11"/>
        <v>0</v>
      </c>
      <c r="Q76" s="57">
        <f t="shared" si="15"/>
        <v>0</v>
      </c>
      <c r="R76" s="151">
        <f t="shared" si="12"/>
        <v>69.228936064079548</v>
      </c>
      <c r="S76" s="130">
        <f t="shared" si="13"/>
        <v>-4.7710639359204521</v>
      </c>
      <c r="T76" s="150">
        <f t="shared" si="17"/>
        <v>0</v>
      </c>
      <c r="V76" s="12"/>
    </row>
    <row r="77" spans="1:22" x14ac:dyDescent="0.25">
      <c r="A77" s="49">
        <f>'A) Base RI'!A78</f>
        <v>5515</v>
      </c>
      <c r="B77" s="350" t="str">
        <f>'A) Base RI'!B78</f>
        <v>Bretigny-sur-Morrens</v>
      </c>
      <c r="C77" s="410">
        <v>526904.71819679707</v>
      </c>
      <c r="D77" s="410">
        <v>227747.02726642904</v>
      </c>
      <c r="E77" s="411">
        <v>0</v>
      </c>
      <c r="F77" s="411">
        <v>0</v>
      </c>
      <c r="G77" s="411">
        <v>0</v>
      </c>
      <c r="H77" s="352">
        <f t="shared" si="16"/>
        <v>754651.74546322611</v>
      </c>
      <c r="I77" s="412">
        <v>28902.998888888895</v>
      </c>
      <c r="J77" s="355">
        <f>'B) D RI'!U78</f>
        <v>28825.846790123462</v>
      </c>
      <c r="K77" s="65">
        <f t="shared" si="14"/>
        <v>26.109807787223591</v>
      </c>
      <c r="L77" s="33">
        <f>'B) D RI'!S78</f>
        <v>81</v>
      </c>
      <c r="M77" s="33">
        <f t="shared" si="9"/>
        <v>54.890192212776412</v>
      </c>
      <c r="N77" s="33">
        <f>'J) Plafonnement effort'!G76+'J) Plafonnement effort'!H76-'K) Plafonnement aide'!I76</f>
        <v>21.647331734528954</v>
      </c>
      <c r="O77" s="130">
        <f t="shared" si="10"/>
        <v>76.537523947305374</v>
      </c>
      <c r="P77" s="47">
        <f t="shared" si="11"/>
        <v>0</v>
      </c>
      <c r="Q77" s="57">
        <f t="shared" si="15"/>
        <v>0</v>
      </c>
      <c r="R77" s="151">
        <f t="shared" si="12"/>
        <v>76.537523947305374</v>
      </c>
      <c r="S77" s="130">
        <f t="shared" si="13"/>
        <v>-4.4624760526946261</v>
      </c>
      <c r="T77" s="150">
        <f t="shared" si="17"/>
        <v>0</v>
      </c>
      <c r="V77" s="12"/>
    </row>
    <row r="78" spans="1:22" x14ac:dyDescent="0.25">
      <c r="A78" s="49">
        <f>'A) Base RI'!A79</f>
        <v>5516</v>
      </c>
      <c r="B78" s="350" t="str">
        <f>'A) Base RI'!B79</f>
        <v>Cugy</v>
      </c>
      <c r="C78" s="410">
        <v>1885791.1833915627</v>
      </c>
      <c r="D78" s="410">
        <v>1131344.9615699323</v>
      </c>
      <c r="E78" s="411">
        <v>0</v>
      </c>
      <c r="F78" s="411">
        <v>0</v>
      </c>
      <c r="G78" s="411">
        <v>0</v>
      </c>
      <c r="H78" s="352">
        <f t="shared" si="16"/>
        <v>3017136.144961495</v>
      </c>
      <c r="I78" s="412">
        <v>111854.58641025641</v>
      </c>
      <c r="J78" s="355">
        <f>'B) D RI'!U79</f>
        <v>111163.080491453</v>
      </c>
      <c r="K78" s="65">
        <f t="shared" si="14"/>
        <v>26.973736543044794</v>
      </c>
      <c r="L78" s="33">
        <f>'B) D RI'!S79</f>
        <v>78</v>
      </c>
      <c r="M78" s="33">
        <f t="shared" si="9"/>
        <v>51.026263456955206</v>
      </c>
      <c r="N78" s="33">
        <f>'J) Plafonnement effort'!G77+'J) Plafonnement effort'!H77-'K) Plafonnement aide'!I77</f>
        <v>23.32376002645152</v>
      </c>
      <c r="O78" s="130">
        <f t="shared" si="10"/>
        <v>74.35002348340673</v>
      </c>
      <c r="P78" s="47">
        <f t="shared" si="11"/>
        <v>0</v>
      </c>
      <c r="Q78" s="57">
        <f t="shared" si="15"/>
        <v>0</v>
      </c>
      <c r="R78" s="151">
        <f t="shared" si="12"/>
        <v>74.35002348340673</v>
      </c>
      <c r="S78" s="130">
        <f t="shared" si="13"/>
        <v>-3.64997651659327</v>
      </c>
      <c r="T78" s="150">
        <f t="shared" si="17"/>
        <v>0</v>
      </c>
      <c r="V78" s="12"/>
    </row>
    <row r="79" spans="1:22" x14ac:dyDescent="0.25">
      <c r="A79" s="49">
        <f>'A) Base RI'!A80</f>
        <v>5518</v>
      </c>
      <c r="B79" s="350" t="str">
        <f>'A) Base RI'!B80</f>
        <v>Echallens</v>
      </c>
      <c r="C79" s="410">
        <v>3076160.1489487821</v>
      </c>
      <c r="D79" s="410">
        <v>-197910.33417171566</v>
      </c>
      <c r="E79" s="411">
        <v>0</v>
      </c>
      <c r="F79" s="411">
        <v>0</v>
      </c>
      <c r="G79" s="411">
        <v>0</v>
      </c>
      <c r="H79" s="352">
        <f t="shared" si="16"/>
        <v>2878249.8147770665</v>
      </c>
      <c r="I79" s="412">
        <v>188362.16891891891</v>
      </c>
      <c r="J79" s="355">
        <f>'B) D RI'!U80</f>
        <v>187816.41499999998</v>
      </c>
      <c r="K79" s="65">
        <f t="shared" si="14"/>
        <v>15.280402807508647</v>
      </c>
      <c r="L79" s="33">
        <f>'B) D RI'!S80</f>
        <v>74</v>
      </c>
      <c r="M79" s="33">
        <f t="shared" si="9"/>
        <v>58.719597192491349</v>
      </c>
      <c r="N79" s="33">
        <f>'J) Plafonnement effort'!G78+'J) Plafonnement effort'!H78-'K) Plafonnement aide'!I78</f>
        <v>11.843075581618345</v>
      </c>
      <c r="O79" s="130">
        <f t="shared" si="10"/>
        <v>70.5626727741097</v>
      </c>
      <c r="P79" s="47">
        <f t="shared" si="11"/>
        <v>0</v>
      </c>
      <c r="Q79" s="57">
        <f t="shared" si="15"/>
        <v>0</v>
      </c>
      <c r="R79" s="151">
        <f t="shared" si="12"/>
        <v>70.5626727741097</v>
      </c>
      <c r="S79" s="130">
        <f t="shared" si="13"/>
        <v>-3.4373272258903</v>
      </c>
      <c r="T79" s="150">
        <f t="shared" si="17"/>
        <v>0</v>
      </c>
      <c r="V79" s="12"/>
    </row>
    <row r="80" spans="1:22" x14ac:dyDescent="0.25">
      <c r="A80" s="49">
        <f>'A) Base RI'!A81</f>
        <v>5520</v>
      </c>
      <c r="B80" s="350" t="str">
        <f>'A) Base RI'!B81</f>
        <v>Essertines-sur-Yverdon</v>
      </c>
      <c r="C80" s="410">
        <v>578147.92336709856</v>
      </c>
      <c r="D80" s="410">
        <v>194501.23444114736</v>
      </c>
      <c r="E80" s="411">
        <v>0</v>
      </c>
      <c r="F80" s="411">
        <v>0</v>
      </c>
      <c r="G80" s="411">
        <v>0</v>
      </c>
      <c r="H80" s="352">
        <f t="shared" si="16"/>
        <v>772649.15780824586</v>
      </c>
      <c r="I80" s="412">
        <v>31866.674520547935</v>
      </c>
      <c r="J80" s="355">
        <f>'B) D RI'!U81</f>
        <v>29858.34041095891</v>
      </c>
      <c r="K80" s="65">
        <f t="shared" si="14"/>
        <v>24.246306507760462</v>
      </c>
      <c r="L80" s="33">
        <f>'B) D RI'!S81</f>
        <v>73</v>
      </c>
      <c r="M80" s="33">
        <f t="shared" si="9"/>
        <v>48.753693492239535</v>
      </c>
      <c r="N80" s="33">
        <f>'J) Plafonnement effort'!G79+'J) Plafonnement effort'!H79-'K) Plafonnement aide'!I79</f>
        <v>16.486432966749774</v>
      </c>
      <c r="O80" s="130">
        <f t="shared" si="10"/>
        <v>65.240126458989309</v>
      </c>
      <c r="P80" s="47">
        <f t="shared" si="11"/>
        <v>0</v>
      </c>
      <c r="Q80" s="57">
        <f t="shared" si="15"/>
        <v>0</v>
      </c>
      <c r="R80" s="151">
        <f t="shared" si="12"/>
        <v>65.240126458989309</v>
      </c>
      <c r="S80" s="130">
        <f t="shared" si="13"/>
        <v>-7.7598735410106912</v>
      </c>
      <c r="T80" s="150">
        <f t="shared" si="17"/>
        <v>0</v>
      </c>
      <c r="V80" s="12"/>
    </row>
    <row r="81" spans="1:22" x14ac:dyDescent="0.25">
      <c r="A81" s="49">
        <f>'A) Base RI'!A82</f>
        <v>5521</v>
      </c>
      <c r="B81" s="350" t="str">
        <f>'A) Base RI'!B82</f>
        <v>Etagnières</v>
      </c>
      <c r="C81" s="410">
        <v>724706.04007727432</v>
      </c>
      <c r="D81" s="410">
        <v>518306.24203777406</v>
      </c>
      <c r="E81" s="411">
        <v>0</v>
      </c>
      <c r="F81" s="411">
        <v>0</v>
      </c>
      <c r="G81" s="411">
        <v>0</v>
      </c>
      <c r="H81" s="352">
        <f t="shared" si="16"/>
        <v>1243012.2821150483</v>
      </c>
      <c r="I81" s="412">
        <v>42985.528493150683</v>
      </c>
      <c r="J81" s="355">
        <f>'B) D RI'!U82</f>
        <v>48278.723150684935</v>
      </c>
      <c r="K81" s="65">
        <f t="shared" si="14"/>
        <v>28.916994292930699</v>
      </c>
      <c r="L81" s="33">
        <f>'B) D RI'!S82</f>
        <v>73</v>
      </c>
      <c r="M81" s="33">
        <f t="shared" si="9"/>
        <v>44.083005707069304</v>
      </c>
      <c r="N81" s="33">
        <f>'J) Plafonnement effort'!G80+'J) Plafonnement effort'!H80-'K) Plafonnement aide'!I80</f>
        <v>31.201731368111535</v>
      </c>
      <c r="O81" s="130">
        <f t="shared" si="10"/>
        <v>75.284737075180843</v>
      </c>
      <c r="P81" s="47">
        <f t="shared" si="11"/>
        <v>0</v>
      </c>
      <c r="Q81" s="57">
        <f t="shared" si="15"/>
        <v>0</v>
      </c>
      <c r="R81" s="151">
        <f t="shared" si="12"/>
        <v>75.284737075180843</v>
      </c>
      <c r="S81" s="130">
        <f t="shared" si="13"/>
        <v>2.2847370751808427</v>
      </c>
      <c r="T81" s="150">
        <f t="shared" si="17"/>
        <v>0</v>
      </c>
      <c r="V81" s="12"/>
    </row>
    <row r="82" spans="1:22" x14ac:dyDescent="0.25">
      <c r="A82" s="49">
        <f>'A) Base RI'!A83</f>
        <v>5522</v>
      </c>
      <c r="B82" s="350" t="str">
        <f>'A) Base RI'!B83</f>
        <v>Fey</v>
      </c>
      <c r="C82" s="410">
        <v>381629.06914763118</v>
      </c>
      <c r="D82" s="410">
        <v>93329.880915613845</v>
      </c>
      <c r="E82" s="411">
        <v>0</v>
      </c>
      <c r="F82" s="411">
        <v>0</v>
      </c>
      <c r="G82" s="411">
        <v>0</v>
      </c>
      <c r="H82" s="352">
        <f t="shared" si="16"/>
        <v>474958.95006324502</v>
      </c>
      <c r="I82" s="412">
        <v>21913.487866666663</v>
      </c>
      <c r="J82" s="355">
        <f>'B) D RI'!U83</f>
        <v>22727.539066666664</v>
      </c>
      <c r="K82" s="65">
        <f t="shared" si="14"/>
        <v>21.674274444723192</v>
      </c>
      <c r="L82" s="33">
        <f>'B) D RI'!S83</f>
        <v>75</v>
      </c>
      <c r="M82" s="33">
        <f t="shared" si="9"/>
        <v>53.325725555276804</v>
      </c>
      <c r="N82" s="33">
        <f>'J) Plafonnement effort'!G81+'J) Plafonnement effort'!H81-'K) Plafonnement aide'!I81</f>
        <v>19.736627108998025</v>
      </c>
      <c r="O82" s="130">
        <f t="shared" si="10"/>
        <v>73.062352664274826</v>
      </c>
      <c r="P82" s="47">
        <f t="shared" si="11"/>
        <v>0</v>
      </c>
      <c r="Q82" s="57">
        <f t="shared" si="15"/>
        <v>0</v>
      </c>
      <c r="R82" s="151">
        <f t="shared" si="12"/>
        <v>73.062352664274826</v>
      </c>
      <c r="S82" s="130">
        <f t="shared" si="13"/>
        <v>-1.937647335725174</v>
      </c>
      <c r="T82" s="150">
        <f t="shared" si="17"/>
        <v>0</v>
      </c>
      <c r="V82" s="12"/>
    </row>
    <row r="83" spans="1:22" x14ac:dyDescent="0.25">
      <c r="A83" s="49">
        <f>'A) Base RI'!A84</f>
        <v>5523</v>
      </c>
      <c r="B83" s="350" t="str">
        <f>'A) Base RI'!B84</f>
        <v>Froideville</v>
      </c>
      <c r="C83" s="410">
        <v>1377747.3352987433</v>
      </c>
      <c r="D83" s="410">
        <v>173888.70307790325</v>
      </c>
      <c r="E83" s="411">
        <v>0</v>
      </c>
      <c r="F83" s="411">
        <v>0</v>
      </c>
      <c r="G83" s="411">
        <v>0</v>
      </c>
      <c r="H83" s="352">
        <f t="shared" si="16"/>
        <v>1551636.0383766466</v>
      </c>
      <c r="I83" s="412">
        <v>83191.459210526315</v>
      </c>
      <c r="J83" s="355">
        <f>'B) D RI'!U84</f>
        <v>89231.727236842082</v>
      </c>
      <c r="K83" s="65">
        <f t="shared" si="14"/>
        <v>18.651386249278776</v>
      </c>
      <c r="L83" s="33">
        <f>'B) D RI'!S84</f>
        <v>76</v>
      </c>
      <c r="M83" s="33">
        <f t="shared" si="9"/>
        <v>57.348613750721228</v>
      </c>
      <c r="N83" s="33">
        <f>'J) Plafonnement effort'!G82+'J) Plafonnement effort'!H82-'K) Plafonnement aide'!I82</f>
        <v>18.627536595629635</v>
      </c>
      <c r="O83" s="130">
        <f t="shared" si="10"/>
        <v>75.976150346350863</v>
      </c>
      <c r="P83" s="47">
        <f t="shared" si="11"/>
        <v>0</v>
      </c>
      <c r="Q83" s="57">
        <f t="shared" si="15"/>
        <v>0</v>
      </c>
      <c r="R83" s="151">
        <f t="shared" si="12"/>
        <v>75.976150346350863</v>
      </c>
      <c r="S83" s="130">
        <f t="shared" si="13"/>
        <v>-2.3849653649136826E-2</v>
      </c>
      <c r="T83" s="150">
        <f t="shared" si="17"/>
        <v>0</v>
      </c>
      <c r="V83" s="12"/>
    </row>
    <row r="84" spans="1:22" x14ac:dyDescent="0.25">
      <c r="A84" s="49">
        <f>'A) Base RI'!A85</f>
        <v>5527</v>
      </c>
      <c r="B84" s="350" t="str">
        <f>'A) Base RI'!B85</f>
        <v>Morrens</v>
      </c>
      <c r="C84" s="410">
        <v>688443.0607351287</v>
      </c>
      <c r="D84" s="410">
        <v>358666.98586426827</v>
      </c>
      <c r="E84" s="411">
        <v>0</v>
      </c>
      <c r="F84" s="411">
        <v>0</v>
      </c>
      <c r="G84" s="411">
        <v>0</v>
      </c>
      <c r="H84" s="352">
        <f t="shared" si="16"/>
        <v>1047110.046599397</v>
      </c>
      <c r="I84" s="412">
        <v>37832.854189189195</v>
      </c>
      <c r="J84" s="355">
        <f>'B) D RI'!U85</f>
        <v>40137.160945945958</v>
      </c>
      <c r="K84" s="65">
        <f t="shared" si="14"/>
        <v>27.677268052871636</v>
      </c>
      <c r="L84" s="33">
        <f>'B) D RI'!S85</f>
        <v>74</v>
      </c>
      <c r="M84" s="33">
        <f t="shared" si="9"/>
        <v>46.322731947128361</v>
      </c>
      <c r="N84" s="33">
        <f>'J) Plafonnement effort'!G83+'J) Plafonnement effort'!H83-'K) Plafonnement aide'!I83</f>
        <v>26.439119580079527</v>
      </c>
      <c r="O84" s="130">
        <f t="shared" si="10"/>
        <v>72.761851527207881</v>
      </c>
      <c r="P84" s="47">
        <f t="shared" si="11"/>
        <v>0</v>
      </c>
      <c r="Q84" s="57">
        <f t="shared" si="15"/>
        <v>0</v>
      </c>
      <c r="R84" s="151">
        <f t="shared" si="12"/>
        <v>72.761851527207881</v>
      </c>
      <c r="S84" s="130">
        <f t="shared" si="13"/>
        <v>-1.238148472792119</v>
      </c>
      <c r="T84" s="150">
        <f t="shared" si="17"/>
        <v>0</v>
      </c>
      <c r="V84" s="12"/>
    </row>
    <row r="85" spans="1:22" x14ac:dyDescent="0.25">
      <c r="A85" s="49">
        <f>'A) Base RI'!A86</f>
        <v>5529</v>
      </c>
      <c r="B85" s="350" t="str">
        <f>'A) Base RI'!B86</f>
        <v>Oulens-sous-Echallens</v>
      </c>
      <c r="C85" s="410">
        <v>342943.85121897486</v>
      </c>
      <c r="D85" s="410">
        <v>220794.15216105484</v>
      </c>
      <c r="E85" s="411">
        <v>0</v>
      </c>
      <c r="F85" s="411">
        <v>0</v>
      </c>
      <c r="G85" s="411">
        <v>0</v>
      </c>
      <c r="H85" s="352">
        <f t="shared" si="16"/>
        <v>563738.0033800297</v>
      </c>
      <c r="I85" s="412">
        <v>21358.649436619718</v>
      </c>
      <c r="J85" s="355">
        <f>'B) D RI'!U86</f>
        <v>21602.609436619721</v>
      </c>
      <c r="K85" s="65">
        <f t="shared" si="14"/>
        <v>26.393897472444703</v>
      </c>
      <c r="L85" s="33">
        <f>'B) D RI'!S86</f>
        <v>71</v>
      </c>
      <c r="M85" s="33">
        <f t="shared" si="9"/>
        <v>44.606102527555294</v>
      </c>
      <c r="N85" s="33">
        <f>'J) Plafonnement effort'!G84+'J) Plafonnement effort'!H84-'K) Plafonnement aide'!I84</f>
        <v>23.631618568332968</v>
      </c>
      <c r="O85" s="130">
        <f t="shared" si="10"/>
        <v>68.237721095888261</v>
      </c>
      <c r="P85" s="47">
        <f t="shared" si="11"/>
        <v>0</v>
      </c>
      <c r="Q85" s="57">
        <f t="shared" si="15"/>
        <v>0</v>
      </c>
      <c r="R85" s="151">
        <f t="shared" si="12"/>
        <v>68.237721095888261</v>
      </c>
      <c r="S85" s="130">
        <f t="shared" si="13"/>
        <v>-2.7622789041117386</v>
      </c>
      <c r="T85" s="150">
        <f t="shared" si="17"/>
        <v>0</v>
      </c>
      <c r="V85" s="12"/>
    </row>
    <row r="86" spans="1:22" x14ac:dyDescent="0.25">
      <c r="A86" s="49">
        <f>'A) Base RI'!A87</f>
        <v>5530</v>
      </c>
      <c r="B86" s="350" t="str">
        <f>'A) Base RI'!B87</f>
        <v>Pailly</v>
      </c>
      <c r="C86" s="410">
        <v>345912.63835451961</v>
      </c>
      <c r="D86" s="410">
        <v>78420.388847158378</v>
      </c>
      <c r="E86" s="411">
        <v>0</v>
      </c>
      <c r="F86" s="411">
        <v>0</v>
      </c>
      <c r="G86" s="411">
        <v>0</v>
      </c>
      <c r="H86" s="352">
        <f t="shared" si="16"/>
        <v>424333.02720167802</v>
      </c>
      <c r="I86" s="412">
        <v>17215.63182795699</v>
      </c>
      <c r="J86" s="355">
        <f>'B) D RI'!U87</f>
        <v>17625.052150537631</v>
      </c>
      <c r="K86" s="65">
        <f t="shared" si="14"/>
        <v>24.648123951662971</v>
      </c>
      <c r="L86" s="33">
        <f>'B) D RI'!S87</f>
        <v>77.5</v>
      </c>
      <c r="M86" s="33">
        <f t="shared" si="9"/>
        <v>52.851876048337033</v>
      </c>
      <c r="N86" s="33">
        <f>'J) Plafonnement effort'!G85+'J) Plafonnement effort'!H85-'K) Plafonnement aide'!I85</f>
        <v>0.6768369303036792</v>
      </c>
      <c r="O86" s="130">
        <f t="shared" si="10"/>
        <v>53.528712978640712</v>
      </c>
      <c r="P86" s="47">
        <f t="shared" si="11"/>
        <v>0</v>
      </c>
      <c r="Q86" s="57">
        <f t="shared" si="15"/>
        <v>0</v>
      </c>
      <c r="R86" s="151">
        <f t="shared" si="12"/>
        <v>53.528712978640712</v>
      </c>
      <c r="S86" s="130">
        <f t="shared" si="13"/>
        <v>-23.971287021359288</v>
      </c>
      <c r="T86" s="150">
        <f t="shared" si="17"/>
        <v>0</v>
      </c>
      <c r="V86" s="12"/>
    </row>
    <row r="87" spans="1:22" x14ac:dyDescent="0.25">
      <c r="A87" s="49">
        <f>'A) Base RI'!A88</f>
        <v>5531</v>
      </c>
      <c r="B87" s="350" t="str">
        <f>'A) Base RI'!B88</f>
        <v>Penthéréaz</v>
      </c>
      <c r="C87" s="410">
        <v>251879.32154466404</v>
      </c>
      <c r="D87" s="410">
        <v>146001.61920280068</v>
      </c>
      <c r="E87" s="411">
        <v>0</v>
      </c>
      <c r="F87" s="411">
        <v>0</v>
      </c>
      <c r="G87" s="411">
        <v>0</v>
      </c>
      <c r="H87" s="352">
        <f t="shared" si="16"/>
        <v>397880.94074746472</v>
      </c>
      <c r="I87" s="412">
        <v>14983.10512820513</v>
      </c>
      <c r="J87" s="355">
        <f>'B) D RI'!U88</f>
        <v>14653.782435897439</v>
      </c>
      <c r="K87" s="65">
        <f t="shared" si="14"/>
        <v>26.55530594912992</v>
      </c>
      <c r="L87" s="33">
        <f>'B) D RI'!S88</f>
        <v>78</v>
      </c>
      <c r="M87" s="33">
        <f t="shared" si="9"/>
        <v>51.444694050870083</v>
      </c>
      <c r="N87" s="33">
        <f>'J) Plafonnement effort'!G86+'J) Plafonnement effort'!H86-'K) Plafonnement aide'!I86</f>
        <v>18.595023875590165</v>
      </c>
      <c r="O87" s="130">
        <f t="shared" si="10"/>
        <v>70.039717926460241</v>
      </c>
      <c r="P87" s="47">
        <f t="shared" si="11"/>
        <v>0</v>
      </c>
      <c r="Q87" s="57">
        <f t="shared" si="15"/>
        <v>0</v>
      </c>
      <c r="R87" s="151">
        <f t="shared" si="12"/>
        <v>70.039717926460241</v>
      </c>
      <c r="S87" s="130">
        <f t="shared" si="13"/>
        <v>-7.9602820735397586</v>
      </c>
      <c r="T87" s="150">
        <f t="shared" si="17"/>
        <v>0</v>
      </c>
      <c r="V87" s="12"/>
    </row>
    <row r="88" spans="1:22" x14ac:dyDescent="0.25">
      <c r="A88" s="49">
        <f>'A) Base RI'!A89</f>
        <v>5533</v>
      </c>
      <c r="B88" s="350" t="str">
        <f>'A) Base RI'!B89</f>
        <v>Poliez-Pittet</v>
      </c>
      <c r="C88" s="410">
        <v>411501.52774460596</v>
      </c>
      <c r="D88" s="410">
        <v>156587.18588832172</v>
      </c>
      <c r="E88" s="411">
        <v>0</v>
      </c>
      <c r="F88" s="411">
        <v>0</v>
      </c>
      <c r="G88" s="411">
        <v>0</v>
      </c>
      <c r="H88" s="352">
        <f t="shared" si="16"/>
        <v>568088.71363292774</v>
      </c>
      <c r="I88" s="412">
        <v>25749.220563380281</v>
      </c>
      <c r="J88" s="355">
        <f>'B) D RI'!U89</f>
        <v>22836.129452054793</v>
      </c>
      <c r="K88" s="65">
        <f t="shared" si="14"/>
        <v>22.062365431008246</v>
      </c>
      <c r="L88" s="33">
        <f>'B) D RI'!S89</f>
        <v>73</v>
      </c>
      <c r="M88" s="33">
        <f t="shared" si="9"/>
        <v>50.937634568991754</v>
      </c>
      <c r="N88" s="33">
        <f>'J) Plafonnement effort'!G87+'J) Plafonnement effort'!H87-'K) Plafonnement aide'!I87</f>
        <v>14.8844413126888</v>
      </c>
      <c r="O88" s="130">
        <f t="shared" si="10"/>
        <v>65.822075881680547</v>
      </c>
      <c r="P88" s="47">
        <f t="shared" si="11"/>
        <v>0</v>
      </c>
      <c r="Q88" s="57">
        <f t="shared" si="15"/>
        <v>0</v>
      </c>
      <c r="R88" s="151">
        <f t="shared" si="12"/>
        <v>65.822075881680547</v>
      </c>
      <c r="S88" s="130">
        <f t="shared" si="13"/>
        <v>-7.1779241183194529</v>
      </c>
      <c r="T88" s="150">
        <f t="shared" si="17"/>
        <v>0</v>
      </c>
      <c r="V88" s="12"/>
    </row>
    <row r="89" spans="1:22" x14ac:dyDescent="0.25">
      <c r="A89" s="49">
        <f>'A) Base RI'!A90</f>
        <v>5534</v>
      </c>
      <c r="B89" s="350" t="str">
        <f>'A) Base RI'!B90</f>
        <v>Rueyres</v>
      </c>
      <c r="C89" s="410">
        <v>145050.28410417156</v>
      </c>
      <c r="D89" s="410">
        <v>95122.572856754559</v>
      </c>
      <c r="E89" s="411">
        <v>0</v>
      </c>
      <c r="F89" s="411">
        <v>0</v>
      </c>
      <c r="G89" s="411">
        <v>0</v>
      </c>
      <c r="H89" s="352">
        <f t="shared" si="16"/>
        <v>240172.85696092612</v>
      </c>
      <c r="I89" s="412">
        <v>9061.5212328767138</v>
      </c>
      <c r="J89" s="355">
        <f>'B) D RI'!U90</f>
        <v>10463.952465753426</v>
      </c>
      <c r="K89" s="65">
        <f t="shared" si="14"/>
        <v>26.50469504938518</v>
      </c>
      <c r="L89" s="33">
        <f>'B) D RI'!S90</f>
        <v>73</v>
      </c>
      <c r="M89" s="33">
        <f t="shared" si="9"/>
        <v>46.495304950614823</v>
      </c>
      <c r="N89" s="33">
        <f>'J) Plafonnement effort'!G88+'J) Plafonnement effort'!H88-'K) Plafonnement aide'!I88</f>
        <v>29.64444920894357</v>
      </c>
      <c r="O89" s="130">
        <f t="shared" si="10"/>
        <v>76.139754159558393</v>
      </c>
      <c r="P89" s="47">
        <f t="shared" si="11"/>
        <v>0</v>
      </c>
      <c r="Q89" s="57">
        <f t="shared" si="15"/>
        <v>0</v>
      </c>
      <c r="R89" s="151">
        <f t="shared" si="12"/>
        <v>76.139754159558393</v>
      </c>
      <c r="S89" s="130">
        <f t="shared" si="13"/>
        <v>3.1397541595583931</v>
      </c>
      <c r="T89" s="150">
        <f t="shared" si="17"/>
        <v>0</v>
      </c>
      <c r="V89" s="12"/>
    </row>
    <row r="90" spans="1:22" x14ac:dyDescent="0.25">
      <c r="A90" s="49">
        <f>'A) Base RI'!A91</f>
        <v>5535</v>
      </c>
      <c r="B90" s="350" t="str">
        <f>'A) Base RI'!B91</f>
        <v>Saint-Barthélemy</v>
      </c>
      <c r="C90" s="410">
        <v>408789.71935458115</v>
      </c>
      <c r="D90" s="410">
        <v>32163.892672864255</v>
      </c>
      <c r="E90" s="411">
        <v>0</v>
      </c>
      <c r="F90" s="411">
        <v>0</v>
      </c>
      <c r="G90" s="411">
        <v>0</v>
      </c>
      <c r="H90" s="352">
        <f t="shared" si="16"/>
        <v>440953.6120274454</v>
      </c>
      <c r="I90" s="412">
        <v>21992.865064935064</v>
      </c>
      <c r="J90" s="355">
        <f>'B) D RI'!U91</f>
        <v>22478.945584415589</v>
      </c>
      <c r="K90" s="65">
        <f t="shared" si="14"/>
        <v>20.049848472470831</v>
      </c>
      <c r="L90" s="33">
        <f>'B) D RI'!S91</f>
        <v>77</v>
      </c>
      <c r="M90" s="33">
        <f t="shared" si="9"/>
        <v>56.950151527529172</v>
      </c>
      <c r="N90" s="33">
        <f>'J) Plafonnement effort'!G89+'J) Plafonnement effort'!H89-'K) Plafonnement aide'!I89</f>
        <v>16.15090389750458</v>
      </c>
      <c r="O90" s="130">
        <f t="shared" si="10"/>
        <v>73.101055425033749</v>
      </c>
      <c r="P90" s="47">
        <f t="shared" si="11"/>
        <v>0</v>
      </c>
      <c r="Q90" s="57">
        <f t="shared" si="15"/>
        <v>0</v>
      </c>
      <c r="R90" s="151">
        <f t="shared" si="12"/>
        <v>73.101055425033749</v>
      </c>
      <c r="S90" s="130">
        <f t="shared" si="13"/>
        <v>-3.8989445749662508</v>
      </c>
      <c r="T90" s="150">
        <f t="shared" si="17"/>
        <v>0</v>
      </c>
      <c r="V90" s="12"/>
    </row>
    <row r="91" spans="1:22" x14ac:dyDescent="0.25">
      <c r="A91" s="49">
        <f>'A) Base RI'!A92</f>
        <v>5537</v>
      </c>
      <c r="B91" s="350" t="str">
        <f>'A) Base RI'!B92</f>
        <v>Villars-le-Terroir</v>
      </c>
      <c r="C91" s="410">
        <v>607714.88751484023</v>
      </c>
      <c r="D91" s="410">
        <v>171361.12975451187</v>
      </c>
      <c r="E91" s="411">
        <v>0</v>
      </c>
      <c r="F91" s="411">
        <v>0</v>
      </c>
      <c r="G91" s="411">
        <v>0</v>
      </c>
      <c r="H91" s="352">
        <f t="shared" si="16"/>
        <v>779076.0172693521</v>
      </c>
      <c r="I91" s="412">
        <v>37425.853630136982</v>
      </c>
      <c r="J91" s="355">
        <f>'B) D RI'!U92</f>
        <v>36268.70386986302</v>
      </c>
      <c r="K91" s="65">
        <f t="shared" si="14"/>
        <v>20.816519643576147</v>
      </c>
      <c r="L91" s="33">
        <f>'B) D RI'!S92</f>
        <v>73</v>
      </c>
      <c r="M91" s="33">
        <f t="shared" si="9"/>
        <v>52.183480356423857</v>
      </c>
      <c r="N91" s="33">
        <f>'J) Plafonnement effort'!G90+'J) Plafonnement effort'!H90-'K) Plafonnement aide'!I90</f>
        <v>16.856800743492677</v>
      </c>
      <c r="O91" s="130">
        <f t="shared" si="10"/>
        <v>69.040281099916541</v>
      </c>
      <c r="P91" s="47">
        <f t="shared" si="11"/>
        <v>0</v>
      </c>
      <c r="Q91" s="57">
        <f t="shared" si="15"/>
        <v>0</v>
      </c>
      <c r="R91" s="151">
        <f t="shared" si="12"/>
        <v>69.040281099916541</v>
      </c>
      <c r="S91" s="130">
        <f t="shared" si="13"/>
        <v>-3.9597189000834589</v>
      </c>
      <c r="T91" s="150">
        <f t="shared" si="17"/>
        <v>0</v>
      </c>
      <c r="V91" s="12"/>
    </row>
    <row r="92" spans="1:22" x14ac:dyDescent="0.25">
      <c r="A92" s="49">
        <f>'A) Base RI'!A93</f>
        <v>5539</v>
      </c>
      <c r="B92" s="350" t="str">
        <f>'A) Base RI'!B93</f>
        <v>Vuarrens</v>
      </c>
      <c r="C92" s="410">
        <v>508335.96908175765</v>
      </c>
      <c r="D92" s="410">
        <v>86147.288542431314</v>
      </c>
      <c r="E92" s="411">
        <v>0</v>
      </c>
      <c r="F92" s="411">
        <v>0</v>
      </c>
      <c r="G92" s="411">
        <v>0</v>
      </c>
      <c r="H92" s="352">
        <f t="shared" si="16"/>
        <v>594483.2576241889</v>
      </c>
      <c r="I92" s="412">
        <v>28895.172466666667</v>
      </c>
      <c r="J92" s="355">
        <f>'B) D RI'!U93</f>
        <v>30000.607399999997</v>
      </c>
      <c r="K92" s="65">
        <f t="shared" si="14"/>
        <v>20.573791636301252</v>
      </c>
      <c r="L92" s="33">
        <f>'B) D RI'!S93</f>
        <v>75</v>
      </c>
      <c r="M92" s="33">
        <f t="shared" si="9"/>
        <v>54.426208363698748</v>
      </c>
      <c r="N92" s="33">
        <f>'J) Plafonnement effort'!G91+'J) Plafonnement effort'!H91-'K) Plafonnement aide'!I91</f>
        <v>17.972172795111852</v>
      </c>
      <c r="O92" s="130">
        <f t="shared" si="10"/>
        <v>72.398381158810594</v>
      </c>
      <c r="P92" s="47">
        <f t="shared" si="11"/>
        <v>0</v>
      </c>
      <c r="Q92" s="57">
        <f t="shared" si="15"/>
        <v>0</v>
      </c>
      <c r="R92" s="151">
        <f t="shared" si="12"/>
        <v>72.398381158810594</v>
      </c>
      <c r="S92" s="130">
        <f t="shared" si="13"/>
        <v>-2.6016188411894063</v>
      </c>
      <c r="T92" s="150">
        <f t="shared" si="17"/>
        <v>0</v>
      </c>
      <c r="V92" s="12"/>
    </row>
    <row r="93" spans="1:22" x14ac:dyDescent="0.25">
      <c r="A93" s="49">
        <f>'A) Base RI'!A94</f>
        <v>5540</v>
      </c>
      <c r="B93" s="350" t="str">
        <f>'A) Base RI'!B94</f>
        <v>Montilliez</v>
      </c>
      <c r="C93" s="410">
        <v>971882.71162086877</v>
      </c>
      <c r="D93" s="410">
        <v>308529.73818376265</v>
      </c>
      <c r="E93" s="411">
        <v>0</v>
      </c>
      <c r="F93" s="411">
        <v>0</v>
      </c>
      <c r="G93" s="411">
        <v>0</v>
      </c>
      <c r="H93" s="352">
        <f t="shared" si="16"/>
        <v>1280412.4498046315</v>
      </c>
      <c r="I93" s="412">
        <v>59583.392972972964</v>
      </c>
      <c r="J93" s="355">
        <f>'B) D RI'!U94</f>
        <v>64761.783243243241</v>
      </c>
      <c r="K93" s="65">
        <f>H93/I93</f>
        <v>21.489418207275083</v>
      </c>
      <c r="L93" s="33">
        <f>'B) D RI'!S94</f>
        <v>74</v>
      </c>
      <c r="M93" s="33">
        <f>L93-K93</f>
        <v>52.510581792724921</v>
      </c>
      <c r="N93" s="33">
        <f>'J) Plafonnement effort'!G92+'J) Plafonnement effort'!H92-'K) Plafonnement aide'!I92</f>
        <v>17.989184664012509</v>
      </c>
      <c r="O93" s="130">
        <f>M93+N93</f>
        <v>70.499766456737433</v>
      </c>
      <c r="P93" s="47">
        <f t="shared" si="11"/>
        <v>0</v>
      </c>
      <c r="Q93" s="57">
        <f>P93*J93</f>
        <v>0</v>
      </c>
      <c r="R93" s="151">
        <f>O93+P93</f>
        <v>70.499766456737433</v>
      </c>
      <c r="S93" s="130">
        <f>R93-L93</f>
        <v>-3.5002335432625671</v>
      </c>
      <c r="T93" s="150">
        <f t="shared" si="17"/>
        <v>0</v>
      </c>
      <c r="V93" s="12"/>
    </row>
    <row r="94" spans="1:22" x14ac:dyDescent="0.25">
      <c r="A94" s="49">
        <f>'A) Base RI'!A95</f>
        <v>5541</v>
      </c>
      <c r="B94" s="350" t="str">
        <f>'A) Base RI'!B95</f>
        <v>Goumoëns</v>
      </c>
      <c r="C94" s="410">
        <v>857298.51543233497</v>
      </c>
      <c r="D94" s="410">
        <v>204976.64975837752</v>
      </c>
      <c r="E94" s="411">
        <v>0</v>
      </c>
      <c r="F94" s="411">
        <v>0</v>
      </c>
      <c r="G94" s="411">
        <v>0</v>
      </c>
      <c r="H94" s="352">
        <f t="shared" si="16"/>
        <v>1062275.1651907125</v>
      </c>
      <c r="I94" s="412">
        <v>36064.061558441557</v>
      </c>
      <c r="J94" s="355">
        <f>'B) D RI'!U95</f>
        <v>37389.402987012982</v>
      </c>
      <c r="K94" s="65">
        <f>H94/I94</f>
        <v>29.455228260114385</v>
      </c>
      <c r="L94" s="33">
        <f>'B) D RI'!S95</f>
        <v>77</v>
      </c>
      <c r="M94" s="33">
        <f>L94-K94</f>
        <v>47.544771739885618</v>
      </c>
      <c r="N94" s="33">
        <f>'J) Plafonnement effort'!G93+'J) Plafonnement effort'!H93-'K) Plafonnement aide'!I93</f>
        <v>22.606112955952465</v>
      </c>
      <c r="O94" s="130">
        <f>M94+N94</f>
        <v>70.150884695838087</v>
      </c>
      <c r="P94" s="47">
        <f t="shared" si="11"/>
        <v>0</v>
      </c>
      <c r="Q94" s="57">
        <f>P94*J94</f>
        <v>0</v>
      </c>
      <c r="R94" s="151">
        <f>O94+P94</f>
        <v>70.150884695838087</v>
      </c>
      <c r="S94" s="130">
        <f>R94-L94</f>
        <v>-6.8491153041619128</v>
      </c>
      <c r="T94" s="150">
        <f t="shared" si="17"/>
        <v>0</v>
      </c>
      <c r="V94" s="12"/>
    </row>
    <row r="95" spans="1:22" x14ac:dyDescent="0.25">
      <c r="A95" s="49">
        <f>'A) Base RI'!A96</f>
        <v>5551</v>
      </c>
      <c r="B95" s="350" t="str">
        <f>'A) Base RI'!B96</f>
        <v>Bonvillars</v>
      </c>
      <c r="C95" s="410">
        <v>382344.40658126521</v>
      </c>
      <c r="D95" s="410">
        <v>389824.84129132476</v>
      </c>
      <c r="E95" s="411">
        <v>0</v>
      </c>
      <c r="F95" s="411">
        <v>0</v>
      </c>
      <c r="G95" s="411">
        <v>0</v>
      </c>
      <c r="H95" s="352">
        <f t="shared" si="16"/>
        <v>772169.24787258997</v>
      </c>
      <c r="I95" s="412">
        <v>23195.066545454545</v>
      </c>
      <c r="J95" s="355">
        <f>'B) D RI'!U96</f>
        <v>18282.205818181821</v>
      </c>
      <c r="K95" s="65">
        <f t="shared" si="14"/>
        <v>33.290236368125846</v>
      </c>
      <c r="L95" s="33">
        <f>'B) D RI'!S96</f>
        <v>55</v>
      </c>
      <c r="M95" s="33">
        <f>L95-K95</f>
        <v>21.709763631874154</v>
      </c>
      <c r="N95" s="33">
        <f>'J) Plafonnement effort'!G94+'J) Plafonnement effort'!H94-'K) Plafonnement aide'!I94</f>
        <v>23.772186478343848</v>
      </c>
      <c r="O95" s="130">
        <f>M95+N95</f>
        <v>45.481950110218001</v>
      </c>
      <c r="P95" s="47">
        <f t="shared" si="11"/>
        <v>0</v>
      </c>
      <c r="Q95" s="57">
        <f>P95*J95</f>
        <v>0</v>
      </c>
      <c r="R95" s="151">
        <f>O95+P95</f>
        <v>45.481950110218001</v>
      </c>
      <c r="S95" s="130">
        <f>R95-L95</f>
        <v>-9.5180498897819987</v>
      </c>
      <c r="T95" s="150">
        <f t="shared" si="17"/>
        <v>0</v>
      </c>
      <c r="V95" s="12"/>
    </row>
    <row r="96" spans="1:22" x14ac:dyDescent="0.25">
      <c r="A96" s="49">
        <f>'A) Base RI'!A97</f>
        <v>5552</v>
      </c>
      <c r="B96" s="350" t="str">
        <f>'A) Base RI'!B97</f>
        <v>Bullet</v>
      </c>
      <c r="C96" s="410">
        <v>310384.760243333</v>
      </c>
      <c r="D96" s="410">
        <v>24107.152844342869</v>
      </c>
      <c r="E96" s="411">
        <v>0</v>
      </c>
      <c r="F96" s="411">
        <v>0</v>
      </c>
      <c r="G96" s="411">
        <v>0</v>
      </c>
      <c r="H96" s="352">
        <f t="shared" si="16"/>
        <v>334491.91308767587</v>
      </c>
      <c r="I96" s="412">
        <v>17788.954109589042</v>
      </c>
      <c r="J96" s="355">
        <f>'B) D RI'!U97</f>
        <v>18372.474931506851</v>
      </c>
      <c r="K96" s="65">
        <f t="shared" si="14"/>
        <v>18.803349034858083</v>
      </c>
      <c r="L96" s="33">
        <f>'B) D RI'!S97</f>
        <v>73</v>
      </c>
      <c r="M96" s="33">
        <f t="shared" si="9"/>
        <v>54.196650965141913</v>
      </c>
      <c r="N96" s="33">
        <f>'J) Plafonnement effort'!G95+'J) Plafonnement effort'!H95-'K) Plafonnement aide'!I95</f>
        <v>7.8703722305524852</v>
      </c>
      <c r="O96" s="130">
        <f t="shared" si="10"/>
        <v>62.067023195694397</v>
      </c>
      <c r="P96" s="47">
        <f t="shared" si="11"/>
        <v>0</v>
      </c>
      <c r="Q96" s="57">
        <f t="shared" si="15"/>
        <v>0</v>
      </c>
      <c r="R96" s="151">
        <f t="shared" si="12"/>
        <v>62.067023195694397</v>
      </c>
      <c r="S96" s="130">
        <f t="shared" si="13"/>
        <v>-10.932976804305603</v>
      </c>
      <c r="T96" s="150">
        <f t="shared" si="17"/>
        <v>0</v>
      </c>
      <c r="V96" s="12"/>
    </row>
    <row r="97" spans="1:22" x14ac:dyDescent="0.25">
      <c r="A97" s="49">
        <f>'A) Base RI'!A98</f>
        <v>5553</v>
      </c>
      <c r="B97" s="350" t="str">
        <f>'A) Base RI'!B98</f>
        <v>Champagne</v>
      </c>
      <c r="C97" s="410">
        <v>696054.00553579291</v>
      </c>
      <c r="D97" s="410">
        <v>486993.12919969606</v>
      </c>
      <c r="E97" s="411">
        <v>0</v>
      </c>
      <c r="F97" s="411">
        <v>0</v>
      </c>
      <c r="G97" s="411">
        <v>0</v>
      </c>
      <c r="H97" s="352">
        <f t="shared" si="16"/>
        <v>1183047.134735489</v>
      </c>
      <c r="I97" s="412">
        <v>38605.988461538451</v>
      </c>
      <c r="J97" s="355">
        <f>'B) D RI'!U98</f>
        <v>37695.100615384617</v>
      </c>
      <c r="K97" s="65">
        <f t="shared" si="14"/>
        <v>30.644135324086054</v>
      </c>
      <c r="L97" s="33">
        <f>'B) D RI'!S98</f>
        <v>65</v>
      </c>
      <c r="M97" s="33">
        <f t="shared" si="9"/>
        <v>34.355864675913949</v>
      </c>
      <c r="N97" s="33">
        <f>'J) Plafonnement effort'!G96+'J) Plafonnement effort'!H96-'K) Plafonnement aide'!I96</f>
        <v>23.549837118871356</v>
      </c>
      <c r="O97" s="130">
        <f t="shared" si="10"/>
        <v>57.905701794785301</v>
      </c>
      <c r="P97" s="47">
        <f t="shared" si="11"/>
        <v>0</v>
      </c>
      <c r="Q97" s="57">
        <f t="shared" si="15"/>
        <v>0</v>
      </c>
      <c r="R97" s="151">
        <f t="shared" si="12"/>
        <v>57.905701794785301</v>
      </c>
      <c r="S97" s="130">
        <f t="shared" si="13"/>
        <v>-7.0942982052146988</v>
      </c>
      <c r="T97" s="150">
        <f t="shared" si="17"/>
        <v>0</v>
      </c>
      <c r="V97" s="12"/>
    </row>
    <row r="98" spans="1:22" x14ac:dyDescent="0.25">
      <c r="A98" s="49">
        <f>'A) Base RI'!A99</f>
        <v>5554</v>
      </c>
      <c r="B98" s="350" t="str">
        <f>'A) Base RI'!B99</f>
        <v>Concise</v>
      </c>
      <c r="C98" s="410">
        <v>578180.48759965913</v>
      </c>
      <c r="D98" s="410">
        <v>133713.56391504698</v>
      </c>
      <c r="E98" s="411">
        <v>0</v>
      </c>
      <c r="F98" s="411">
        <v>0</v>
      </c>
      <c r="G98" s="411">
        <v>0</v>
      </c>
      <c r="H98" s="352">
        <f t="shared" si="16"/>
        <v>711894.05151470611</v>
      </c>
      <c r="I98" s="412">
        <v>29879.816133333334</v>
      </c>
      <c r="J98" s="355">
        <f>'B) D RI'!U99</f>
        <v>33287.826000000008</v>
      </c>
      <c r="K98" s="65">
        <f t="shared" si="14"/>
        <v>23.825248734396698</v>
      </c>
      <c r="L98" s="33">
        <f>'B) D RI'!S99</f>
        <v>75</v>
      </c>
      <c r="M98" s="33">
        <f t="shared" si="9"/>
        <v>51.174751265603305</v>
      </c>
      <c r="N98" s="33">
        <f>'J) Plafonnement effort'!G97+'J) Plafonnement effort'!H97-'K) Plafonnement aide'!I97</f>
        <v>21.615804784379257</v>
      </c>
      <c r="O98" s="130">
        <f t="shared" si="10"/>
        <v>72.79055604998257</v>
      </c>
      <c r="P98" s="47">
        <f t="shared" si="11"/>
        <v>0</v>
      </c>
      <c r="Q98" s="57">
        <f t="shared" si="15"/>
        <v>0</v>
      </c>
      <c r="R98" s="151">
        <f t="shared" si="12"/>
        <v>72.79055604998257</v>
      </c>
      <c r="S98" s="130">
        <f t="shared" si="13"/>
        <v>-2.2094439500174303</v>
      </c>
      <c r="T98" s="150">
        <f t="shared" si="17"/>
        <v>0</v>
      </c>
      <c r="V98" s="12"/>
    </row>
    <row r="99" spans="1:22" x14ac:dyDescent="0.25">
      <c r="A99" s="49">
        <f>'A) Base RI'!A100</f>
        <v>5555</v>
      </c>
      <c r="B99" s="350" t="str">
        <f>'A) Base RI'!B100</f>
        <v>Corcelles-près-Concise</v>
      </c>
      <c r="C99" s="410">
        <v>236907.72776799268</v>
      </c>
      <c r="D99" s="410">
        <v>105974.62715915963</v>
      </c>
      <c r="E99" s="411">
        <v>0</v>
      </c>
      <c r="F99" s="411">
        <v>0</v>
      </c>
      <c r="G99" s="411">
        <v>0</v>
      </c>
      <c r="H99" s="352">
        <f t="shared" si="16"/>
        <v>342882.35492715228</v>
      </c>
      <c r="I99" s="412">
        <v>13019.29676056338</v>
      </c>
      <c r="J99" s="355">
        <f>'B) D RI'!U100</f>
        <v>13538.992394366198</v>
      </c>
      <c r="K99" s="65">
        <f t="shared" si="14"/>
        <v>26.336472793659158</v>
      </c>
      <c r="L99" s="33">
        <f>'B) D RI'!S100</f>
        <v>71</v>
      </c>
      <c r="M99" s="33">
        <f t="shared" si="9"/>
        <v>44.663527206340845</v>
      </c>
      <c r="N99" s="33">
        <f>'J) Plafonnement effort'!G98+'J) Plafonnement effort'!H98-'K) Plafonnement aide'!I98</f>
        <v>18.247041352185441</v>
      </c>
      <c r="O99" s="130">
        <f t="shared" si="10"/>
        <v>62.910568558526286</v>
      </c>
      <c r="P99" s="47">
        <f t="shared" si="11"/>
        <v>0</v>
      </c>
      <c r="Q99" s="57">
        <f t="shared" si="15"/>
        <v>0</v>
      </c>
      <c r="R99" s="151">
        <f t="shared" si="12"/>
        <v>62.910568558526286</v>
      </c>
      <c r="S99" s="130">
        <f t="shared" si="13"/>
        <v>-8.0894314414737138</v>
      </c>
      <c r="T99" s="150">
        <f t="shared" si="17"/>
        <v>0</v>
      </c>
      <c r="V99" s="12"/>
    </row>
    <row r="100" spans="1:22" x14ac:dyDescent="0.25">
      <c r="A100" s="49">
        <f>'A) Base RI'!A101</f>
        <v>5556</v>
      </c>
      <c r="B100" s="350" t="str">
        <f>'A) Base RI'!B101</f>
        <v>Fiez</v>
      </c>
      <c r="C100" s="410">
        <v>233715.54761505467</v>
      </c>
      <c r="D100" s="410">
        <v>55081.155884761538</v>
      </c>
      <c r="E100" s="411">
        <v>0</v>
      </c>
      <c r="F100" s="411">
        <v>0</v>
      </c>
      <c r="G100" s="411">
        <v>0</v>
      </c>
      <c r="H100" s="352">
        <f t="shared" si="16"/>
        <v>288796.70349981624</v>
      </c>
      <c r="I100" s="412">
        <v>12683.231642512079</v>
      </c>
      <c r="J100" s="355">
        <f>'B) D RI'!U101</f>
        <v>13049.601497584543</v>
      </c>
      <c r="K100" s="65">
        <f t="shared" si="14"/>
        <v>22.769962075896952</v>
      </c>
      <c r="L100" s="33">
        <f>'B) D RI'!S101</f>
        <v>69</v>
      </c>
      <c r="M100" s="33">
        <f t="shared" si="9"/>
        <v>46.230037924103044</v>
      </c>
      <c r="N100" s="33">
        <f>'J) Plafonnement effort'!G99+'J) Plafonnement effort'!H99-'K) Plafonnement aide'!I99</f>
        <v>9.8312934438863326</v>
      </c>
      <c r="O100" s="130">
        <f t="shared" si="10"/>
        <v>56.061331367989375</v>
      </c>
      <c r="P100" s="47">
        <f t="shared" si="11"/>
        <v>0</v>
      </c>
      <c r="Q100" s="57">
        <f t="shared" si="15"/>
        <v>0</v>
      </c>
      <c r="R100" s="151">
        <f t="shared" si="12"/>
        <v>56.061331367989375</v>
      </c>
      <c r="S100" s="130">
        <f t="shared" si="13"/>
        <v>-12.938668632010625</v>
      </c>
      <c r="T100" s="150">
        <f t="shared" si="17"/>
        <v>0</v>
      </c>
      <c r="V100" s="12"/>
    </row>
    <row r="101" spans="1:22" x14ac:dyDescent="0.25">
      <c r="A101" s="49">
        <f>'A) Base RI'!A102</f>
        <v>5557</v>
      </c>
      <c r="B101" s="350" t="str">
        <f>'A) Base RI'!B102</f>
        <v>Fontaines-sur-Grandson</v>
      </c>
      <c r="C101" s="410">
        <v>102647.4664359577</v>
      </c>
      <c r="D101" s="410">
        <v>2825.2737453208247</v>
      </c>
      <c r="E101" s="411">
        <v>0</v>
      </c>
      <c r="F101" s="411">
        <v>0</v>
      </c>
      <c r="G101" s="411">
        <v>0</v>
      </c>
      <c r="H101" s="352">
        <f t="shared" si="16"/>
        <v>105472.74018127852</v>
      </c>
      <c r="I101" s="412">
        <v>5551.0404347826088</v>
      </c>
      <c r="J101" s="355">
        <f>'B) D RI'!U102</f>
        <v>6546.22</v>
      </c>
      <c r="K101" s="65">
        <f t="shared" si="14"/>
        <v>19.00053538078922</v>
      </c>
      <c r="L101" s="33">
        <f>'B) D RI'!S102</f>
        <v>69</v>
      </c>
      <c r="M101" s="33">
        <f t="shared" si="9"/>
        <v>49.999464619210784</v>
      </c>
      <c r="N101" s="33">
        <f>'J) Plafonnement effort'!G100+'J) Plafonnement effort'!H100-'K) Plafonnement aide'!I100</f>
        <v>15.108928966748969</v>
      </c>
      <c r="O101" s="130">
        <f t="shared" si="10"/>
        <v>65.10839358595976</v>
      </c>
      <c r="P101" s="47">
        <f t="shared" si="11"/>
        <v>0</v>
      </c>
      <c r="Q101" s="57">
        <f t="shared" si="15"/>
        <v>0</v>
      </c>
      <c r="R101" s="151">
        <f t="shared" si="12"/>
        <v>65.10839358595976</v>
      </c>
      <c r="S101" s="130">
        <f t="shared" si="13"/>
        <v>-3.8916064140402398</v>
      </c>
      <c r="T101" s="150">
        <f t="shared" si="17"/>
        <v>0</v>
      </c>
      <c r="V101" s="12"/>
    </row>
    <row r="102" spans="1:22" x14ac:dyDescent="0.25">
      <c r="A102" s="49">
        <f>'A) Base RI'!A103</f>
        <v>5559</v>
      </c>
      <c r="B102" s="350" t="str">
        <f>'A) Base RI'!B103</f>
        <v>Giez</v>
      </c>
      <c r="C102" s="410">
        <v>415748.15193441528</v>
      </c>
      <c r="D102" s="410">
        <v>347528.54768942366</v>
      </c>
      <c r="E102" s="411">
        <v>0</v>
      </c>
      <c r="F102" s="411">
        <v>0</v>
      </c>
      <c r="G102" s="411">
        <v>0</v>
      </c>
      <c r="H102" s="352">
        <f t="shared" si="16"/>
        <v>763276.699623839</v>
      </c>
      <c r="I102" s="412">
        <v>20477.299090909091</v>
      </c>
      <c r="J102" s="355">
        <f>'B) D RI'!U103</f>
        <v>20822.479090909092</v>
      </c>
      <c r="K102" s="65">
        <f t="shared" si="14"/>
        <v>37.274285843815022</v>
      </c>
      <c r="L102" s="33">
        <f>'B) D RI'!S103</f>
        <v>66</v>
      </c>
      <c r="M102" s="33">
        <f t="shared" si="9"/>
        <v>28.725714156184978</v>
      </c>
      <c r="N102" s="33">
        <f>'J) Plafonnement effort'!G101+'J) Plafonnement effort'!H101-'K) Plafonnement aide'!I101</f>
        <v>35.004187730601586</v>
      </c>
      <c r="O102" s="130">
        <f t="shared" si="10"/>
        <v>63.729901886786564</v>
      </c>
      <c r="P102" s="47">
        <f t="shared" si="11"/>
        <v>0</v>
      </c>
      <c r="Q102" s="57">
        <f t="shared" si="15"/>
        <v>0</v>
      </c>
      <c r="R102" s="151">
        <f t="shared" si="12"/>
        <v>63.729901886786564</v>
      </c>
      <c r="S102" s="130">
        <f t="shared" si="13"/>
        <v>-2.2700981132134359</v>
      </c>
      <c r="T102" s="150">
        <f t="shared" si="17"/>
        <v>0</v>
      </c>
      <c r="V102" s="12"/>
    </row>
    <row r="103" spans="1:22" x14ac:dyDescent="0.25">
      <c r="A103" s="49">
        <f>'A) Base RI'!A104</f>
        <v>5560</v>
      </c>
      <c r="B103" s="350" t="str">
        <f>'A) Base RI'!B104</f>
        <v>Grandevent</v>
      </c>
      <c r="C103" s="410">
        <v>130904.6902604054</v>
      </c>
      <c r="D103" s="410">
        <v>58089.94457713193</v>
      </c>
      <c r="E103" s="411">
        <v>0</v>
      </c>
      <c r="F103" s="411">
        <v>0</v>
      </c>
      <c r="G103" s="411">
        <v>0</v>
      </c>
      <c r="H103" s="352">
        <f t="shared" si="16"/>
        <v>188994.63483753733</v>
      </c>
      <c r="I103" s="412">
        <v>7465.4854411764709</v>
      </c>
      <c r="J103" s="355">
        <f>'B) D RI'!U104</f>
        <v>7406.141029411765</v>
      </c>
      <c r="K103" s="65">
        <f t="shared" si="14"/>
        <v>25.315786404876313</v>
      </c>
      <c r="L103" s="33">
        <f>'B) D RI'!S104</f>
        <v>68</v>
      </c>
      <c r="M103" s="33">
        <f t="shared" si="9"/>
        <v>42.684213595123687</v>
      </c>
      <c r="N103" s="33">
        <f>'J) Plafonnement effort'!G102+'J) Plafonnement effort'!H102-'K) Plafonnement aide'!I102</f>
        <v>23.911712634470728</v>
      </c>
      <c r="O103" s="130">
        <f t="shared" si="10"/>
        <v>66.595926229594411</v>
      </c>
      <c r="P103" s="47">
        <f t="shared" si="11"/>
        <v>0</v>
      </c>
      <c r="Q103" s="57">
        <f t="shared" si="15"/>
        <v>0</v>
      </c>
      <c r="R103" s="151">
        <f t="shared" si="12"/>
        <v>66.595926229594411</v>
      </c>
      <c r="S103" s="130">
        <f t="shared" si="13"/>
        <v>-1.4040737704055886</v>
      </c>
      <c r="T103" s="150">
        <f t="shared" si="17"/>
        <v>0</v>
      </c>
      <c r="V103" s="12"/>
    </row>
    <row r="104" spans="1:22" x14ac:dyDescent="0.25">
      <c r="A104" s="49">
        <f>'A) Base RI'!A105</f>
        <v>5561</v>
      </c>
      <c r="B104" s="350" t="str">
        <f>'A) Base RI'!B105</f>
        <v>Grandson</v>
      </c>
      <c r="C104" s="410">
        <v>2302842.3672370119</v>
      </c>
      <c r="D104" s="410">
        <v>867752.39481649175</v>
      </c>
      <c r="E104" s="411">
        <v>0</v>
      </c>
      <c r="F104" s="411">
        <v>0</v>
      </c>
      <c r="G104" s="411">
        <v>0</v>
      </c>
      <c r="H104" s="352">
        <f t="shared" si="16"/>
        <v>3170594.7620535037</v>
      </c>
      <c r="I104" s="412">
        <v>124296.34985507248</v>
      </c>
      <c r="J104" s="355">
        <f>'B) D RI'!U105</f>
        <v>113542.57695652173</v>
      </c>
      <c r="K104" s="65">
        <f t="shared" si="14"/>
        <v>25.508349728293435</v>
      </c>
      <c r="L104" s="33">
        <f>'B) D RI'!S105</f>
        <v>69</v>
      </c>
      <c r="M104" s="33">
        <f t="shared" si="9"/>
        <v>43.491650271706561</v>
      </c>
      <c r="N104" s="33">
        <f>'J) Plafonnement effort'!G103+'J) Plafonnement effort'!H103-'K) Plafonnement aide'!I103</f>
        <v>20.857631808908117</v>
      </c>
      <c r="O104" s="130">
        <f t="shared" si="10"/>
        <v>64.349282080614671</v>
      </c>
      <c r="P104" s="47">
        <f t="shared" si="11"/>
        <v>0</v>
      </c>
      <c r="Q104" s="57">
        <f t="shared" si="15"/>
        <v>0</v>
      </c>
      <c r="R104" s="151">
        <f t="shared" si="12"/>
        <v>64.349282080614671</v>
      </c>
      <c r="S104" s="130">
        <f t="shared" si="13"/>
        <v>-4.650717919385329</v>
      </c>
      <c r="T104" s="150">
        <f t="shared" si="17"/>
        <v>0</v>
      </c>
      <c r="V104" s="12"/>
    </row>
    <row r="105" spans="1:22" x14ac:dyDescent="0.25">
      <c r="A105" s="49">
        <f>'A) Base RI'!A106</f>
        <v>5562</v>
      </c>
      <c r="B105" s="350" t="str">
        <f>'A) Base RI'!B106</f>
        <v>Mauborget</v>
      </c>
      <c r="C105" s="410">
        <v>94476.520709423581</v>
      </c>
      <c r="D105" s="410">
        <v>84137.121259121006</v>
      </c>
      <c r="E105" s="411">
        <v>0</v>
      </c>
      <c r="F105" s="411">
        <v>0</v>
      </c>
      <c r="G105" s="411">
        <v>0</v>
      </c>
      <c r="H105" s="352">
        <f t="shared" si="16"/>
        <v>178613.64196854457</v>
      </c>
      <c r="I105" s="412">
        <v>5288.8125476190471</v>
      </c>
      <c r="J105" s="355">
        <f>'B) D RI'!U106</f>
        <v>5487.2855</v>
      </c>
      <c r="K105" s="65">
        <f t="shared" si="14"/>
        <v>33.771974400747865</v>
      </c>
      <c r="L105" s="33">
        <f>'B) D RI'!S106</f>
        <v>70</v>
      </c>
      <c r="M105" s="33">
        <f t="shared" si="9"/>
        <v>36.228025599252135</v>
      </c>
      <c r="N105" s="33">
        <f>'J) Plafonnement effort'!G104+'J) Plafonnement effort'!H104-'K) Plafonnement aide'!I104</f>
        <v>38.784038067009689</v>
      </c>
      <c r="O105" s="130">
        <f t="shared" si="10"/>
        <v>75.012063666261824</v>
      </c>
      <c r="P105" s="47">
        <f t="shared" si="11"/>
        <v>0</v>
      </c>
      <c r="Q105" s="57">
        <f t="shared" si="15"/>
        <v>0</v>
      </c>
      <c r="R105" s="151">
        <f t="shared" si="12"/>
        <v>75.012063666261824</v>
      </c>
      <c r="S105" s="130">
        <f t="shared" si="13"/>
        <v>5.0120636662618239</v>
      </c>
      <c r="T105" s="150">
        <f t="shared" si="17"/>
        <v>0</v>
      </c>
      <c r="V105" s="12"/>
    </row>
    <row r="106" spans="1:22" x14ac:dyDescent="0.25">
      <c r="A106" s="49">
        <f>'A) Base RI'!A107</f>
        <v>5563</v>
      </c>
      <c r="B106" s="350" t="str">
        <f>'A) Base RI'!B107</f>
        <v>Mutrux</v>
      </c>
      <c r="C106" s="410">
        <v>54091.415504555254</v>
      </c>
      <c r="D106" s="410">
        <v>-45513.149519904407</v>
      </c>
      <c r="E106" s="411">
        <v>0</v>
      </c>
      <c r="F106" s="411">
        <v>0</v>
      </c>
      <c r="G106" s="411">
        <v>0</v>
      </c>
      <c r="H106" s="352">
        <f t="shared" si="16"/>
        <v>8578.2659846508468</v>
      </c>
      <c r="I106" s="412">
        <v>3325.060127388535</v>
      </c>
      <c r="J106" s="355">
        <f>'B) D RI'!U107</f>
        <v>4022.9622499999991</v>
      </c>
      <c r="K106" s="65">
        <f t="shared" si="14"/>
        <v>2.5798829663234155</v>
      </c>
      <c r="L106" s="33">
        <f>'B) D RI'!S107</f>
        <v>80</v>
      </c>
      <c r="M106" s="33">
        <f t="shared" si="9"/>
        <v>77.42011703367659</v>
      </c>
      <c r="N106" s="33">
        <f>'J) Plafonnement effort'!G105+'J) Plafonnement effort'!H105-'K) Plafonnement aide'!I105</f>
        <v>3.1365892278372769</v>
      </c>
      <c r="O106" s="130">
        <f t="shared" si="10"/>
        <v>80.556706261513867</v>
      </c>
      <c r="P106" s="47">
        <f t="shared" si="11"/>
        <v>0</v>
      </c>
      <c r="Q106" s="57">
        <f t="shared" si="15"/>
        <v>0</v>
      </c>
      <c r="R106" s="151">
        <f t="shared" si="12"/>
        <v>80.556706261513867</v>
      </c>
      <c r="S106" s="130">
        <f t="shared" si="13"/>
        <v>0.55670626151386671</v>
      </c>
      <c r="T106" s="150">
        <f t="shared" si="17"/>
        <v>0</v>
      </c>
      <c r="V106" s="12"/>
    </row>
    <row r="107" spans="1:22" x14ac:dyDescent="0.25">
      <c r="A107" s="49">
        <f>'A) Base RI'!A108</f>
        <v>5564</v>
      </c>
      <c r="B107" s="350" t="str">
        <f>'A) Base RI'!B108</f>
        <v>Novalles</v>
      </c>
      <c r="C107" s="410">
        <v>55823.213473270596</v>
      </c>
      <c r="D107" s="410">
        <v>6226.7388100456446</v>
      </c>
      <c r="E107" s="411">
        <v>0</v>
      </c>
      <c r="F107" s="411">
        <v>0</v>
      </c>
      <c r="G107" s="411">
        <v>0</v>
      </c>
      <c r="H107" s="352">
        <f t="shared" si="16"/>
        <v>62049.952283316241</v>
      </c>
      <c r="I107" s="412">
        <v>2879.4712828947363</v>
      </c>
      <c r="J107" s="355">
        <f>'B) D RI'!U108</f>
        <v>2263.2775657894736</v>
      </c>
      <c r="K107" s="65">
        <f t="shared" si="14"/>
        <v>21.549078350570436</v>
      </c>
      <c r="L107" s="33">
        <f>'B) D RI'!S108</f>
        <v>76</v>
      </c>
      <c r="M107" s="33">
        <f t="shared" si="9"/>
        <v>54.45092164942956</v>
      </c>
      <c r="N107" s="33">
        <f>'J) Plafonnement effort'!G106+'J) Plafonnement effort'!H106-'K) Plafonnement aide'!I106</f>
        <v>-0.10429677020350248</v>
      </c>
      <c r="O107" s="130">
        <f t="shared" si="10"/>
        <v>54.346624879226056</v>
      </c>
      <c r="P107" s="47">
        <f t="shared" si="11"/>
        <v>0</v>
      </c>
      <c r="Q107" s="57">
        <f t="shared" si="15"/>
        <v>0</v>
      </c>
      <c r="R107" s="151">
        <f t="shared" si="12"/>
        <v>54.346624879226056</v>
      </c>
      <c r="S107" s="130">
        <f t="shared" si="13"/>
        <v>-21.653375120773944</v>
      </c>
      <c r="T107" s="150">
        <f t="shared" si="17"/>
        <v>0</v>
      </c>
      <c r="V107" s="12"/>
    </row>
    <row r="108" spans="1:22" x14ac:dyDescent="0.25">
      <c r="A108" s="49">
        <f>'A) Base RI'!A109</f>
        <v>5565</v>
      </c>
      <c r="B108" s="350" t="str">
        <f>'A) Base RI'!B109</f>
        <v>Onnens</v>
      </c>
      <c r="C108" s="410">
        <v>361664.56521130796</v>
      </c>
      <c r="D108" s="410">
        <v>358828.39456597721</v>
      </c>
      <c r="E108" s="411">
        <v>0</v>
      </c>
      <c r="F108" s="411">
        <v>0</v>
      </c>
      <c r="G108" s="411">
        <v>0</v>
      </c>
      <c r="H108" s="352">
        <f t="shared" si="16"/>
        <v>720492.95977728511</v>
      </c>
      <c r="I108" s="412">
        <v>21859.350153846153</v>
      </c>
      <c r="J108" s="355">
        <f>'B) D RI'!U109</f>
        <v>18486.800307692305</v>
      </c>
      <c r="K108" s="65">
        <f t="shared" si="14"/>
        <v>32.960401599610883</v>
      </c>
      <c r="L108" s="33">
        <f>'B) D RI'!S109</f>
        <v>65</v>
      </c>
      <c r="M108" s="33">
        <f t="shared" si="9"/>
        <v>32.039598400389117</v>
      </c>
      <c r="N108" s="33">
        <f>'J) Plafonnement effort'!G107+'J) Plafonnement effort'!H107-'K) Plafonnement aide'!I107</f>
        <v>28.271261125741802</v>
      </c>
      <c r="O108" s="130">
        <f t="shared" si="10"/>
        <v>60.310859526130919</v>
      </c>
      <c r="P108" s="47">
        <f t="shared" si="11"/>
        <v>0</v>
      </c>
      <c r="Q108" s="57">
        <f t="shared" si="15"/>
        <v>0</v>
      </c>
      <c r="R108" s="151">
        <f t="shared" si="12"/>
        <v>60.310859526130919</v>
      </c>
      <c r="S108" s="130">
        <f t="shared" si="13"/>
        <v>-4.6891404738690809</v>
      </c>
      <c r="T108" s="150">
        <f t="shared" si="17"/>
        <v>0</v>
      </c>
      <c r="V108" s="12"/>
    </row>
    <row r="109" spans="1:22" x14ac:dyDescent="0.25">
      <c r="A109" s="49">
        <f>'A) Base RI'!A110</f>
        <v>5566</v>
      </c>
      <c r="B109" s="350" t="str">
        <f>'A) Base RI'!B110</f>
        <v>Provence</v>
      </c>
      <c r="C109" s="410">
        <v>166862.38309871434</v>
      </c>
      <c r="D109" s="410">
        <v>-102074.70278485841</v>
      </c>
      <c r="E109" s="411">
        <v>0</v>
      </c>
      <c r="F109" s="411">
        <v>0</v>
      </c>
      <c r="G109" s="411">
        <v>0</v>
      </c>
      <c r="H109" s="352">
        <f t="shared" si="16"/>
        <v>64787.680313855933</v>
      </c>
      <c r="I109" s="412">
        <v>8283.9104526748961</v>
      </c>
      <c r="J109" s="355">
        <f>'B) D RI'!U110</f>
        <v>8488.3012345678999</v>
      </c>
      <c r="K109" s="65">
        <f t="shared" si="14"/>
        <v>7.8209054387998389</v>
      </c>
      <c r="L109" s="33">
        <f>'B) D RI'!S110</f>
        <v>81</v>
      </c>
      <c r="M109" s="33">
        <f t="shared" si="9"/>
        <v>73.179094561200159</v>
      </c>
      <c r="N109" s="33">
        <f>'J) Plafonnement effort'!G108+'J) Plafonnement effort'!H108-'K) Plafonnement aide'!I108</f>
        <v>-20.19157914901534</v>
      </c>
      <c r="O109" s="130">
        <f t="shared" si="10"/>
        <v>52.98751541218482</v>
      </c>
      <c r="P109" s="47">
        <f t="shared" si="11"/>
        <v>0</v>
      </c>
      <c r="Q109" s="57">
        <f t="shared" si="15"/>
        <v>0</v>
      </c>
      <c r="R109" s="151">
        <f t="shared" si="12"/>
        <v>52.98751541218482</v>
      </c>
      <c r="S109" s="130">
        <f t="shared" si="13"/>
        <v>-28.01248458781518</v>
      </c>
      <c r="T109" s="150">
        <f t="shared" si="17"/>
        <v>0</v>
      </c>
      <c r="V109" s="12"/>
    </row>
    <row r="110" spans="1:22" x14ac:dyDescent="0.25">
      <c r="A110" s="49">
        <f>'A) Base RI'!A111</f>
        <v>5568</v>
      </c>
      <c r="B110" s="350" t="str">
        <f>'A) Base RI'!B111</f>
        <v>Sainte-Croix</v>
      </c>
      <c r="C110" s="410">
        <v>2314939.634079393</v>
      </c>
      <c r="D110" s="410">
        <v>-2003670.0807293935</v>
      </c>
      <c r="E110" s="411">
        <v>0</v>
      </c>
      <c r="F110" s="411">
        <v>0</v>
      </c>
      <c r="G110" s="411">
        <v>0</v>
      </c>
      <c r="H110" s="352">
        <f t="shared" si="16"/>
        <v>311269.55334999948</v>
      </c>
      <c r="I110" s="412">
        <v>103146.8182857143</v>
      </c>
      <c r="J110" s="355">
        <f>'B) D RI'!U111</f>
        <v>109300.43271428571</v>
      </c>
      <c r="K110" s="65">
        <f t="shared" si="14"/>
        <v>3.0177329608732091</v>
      </c>
      <c r="L110" s="33">
        <f>'B) D RI'!S111</f>
        <v>70</v>
      </c>
      <c r="M110" s="33">
        <f t="shared" si="9"/>
        <v>66.982267039126796</v>
      </c>
      <c r="N110" s="33">
        <f>'J) Plafonnement effort'!G109+'J) Plafonnement effort'!H109-'K) Plafonnement aide'!I109</f>
        <v>-5.7223745730663484</v>
      </c>
      <c r="O110" s="130">
        <f t="shared" si="10"/>
        <v>61.25989246606045</v>
      </c>
      <c r="P110" s="47">
        <f t="shared" si="11"/>
        <v>0</v>
      </c>
      <c r="Q110" s="57">
        <f t="shared" si="15"/>
        <v>0</v>
      </c>
      <c r="R110" s="151">
        <f t="shared" si="12"/>
        <v>61.25989246606045</v>
      </c>
      <c r="S110" s="130">
        <f t="shared" si="13"/>
        <v>-8.7401075339395504</v>
      </c>
      <c r="T110" s="150">
        <f t="shared" si="17"/>
        <v>0</v>
      </c>
      <c r="V110" s="12"/>
    </row>
    <row r="111" spans="1:22" x14ac:dyDescent="0.25">
      <c r="A111" s="49">
        <f>'A) Base RI'!A112</f>
        <v>5571</v>
      </c>
      <c r="B111" s="350" t="str">
        <f>'A) Base RI'!B112</f>
        <v>Tévenon</v>
      </c>
      <c r="C111" s="410">
        <v>413947.87758212717</v>
      </c>
      <c r="D111" s="410">
        <v>-20422.89465069893</v>
      </c>
      <c r="E111" s="411">
        <v>0</v>
      </c>
      <c r="F111" s="411">
        <v>0</v>
      </c>
      <c r="G111" s="411">
        <v>0</v>
      </c>
      <c r="H111" s="352">
        <f t="shared" si="16"/>
        <v>393524.98293142824</v>
      </c>
      <c r="I111" s="412">
        <v>22505.207716894973</v>
      </c>
      <c r="J111" s="355">
        <f>'B) D RI'!U112</f>
        <v>24815.960251141551</v>
      </c>
      <c r="K111" s="65">
        <f t="shared" si="14"/>
        <v>17.485952046379182</v>
      </c>
      <c r="L111" s="33">
        <f>'B) D RI'!S112</f>
        <v>73</v>
      </c>
      <c r="M111" s="33">
        <f t="shared" si="9"/>
        <v>55.514047953620818</v>
      </c>
      <c r="N111" s="33">
        <f>'J) Plafonnement effort'!G110+'J) Plafonnement effort'!H110-'K) Plafonnement aide'!I110</f>
        <v>13.247469017959954</v>
      </c>
      <c r="O111" s="130">
        <f t="shared" si="10"/>
        <v>68.761516971580775</v>
      </c>
      <c r="P111" s="47">
        <f t="shared" si="11"/>
        <v>0</v>
      </c>
      <c r="Q111" s="57">
        <f t="shared" si="15"/>
        <v>0</v>
      </c>
      <c r="R111" s="151">
        <f t="shared" si="12"/>
        <v>68.761516971580775</v>
      </c>
      <c r="S111" s="130">
        <f t="shared" si="13"/>
        <v>-4.2384830284192248</v>
      </c>
      <c r="T111" s="150">
        <f t="shared" si="17"/>
        <v>0</v>
      </c>
      <c r="V111" s="12"/>
    </row>
    <row r="112" spans="1:22" x14ac:dyDescent="0.25">
      <c r="A112" s="49">
        <f>'A) Base RI'!A113</f>
        <v>5581</v>
      </c>
      <c r="B112" s="350" t="str">
        <f>'A) Base RI'!B113</f>
        <v>Belmont-sur-Lausanne</v>
      </c>
      <c r="C112" s="410">
        <v>3402402.5828547454</v>
      </c>
      <c r="D112" s="410">
        <v>2403114.8900825344</v>
      </c>
      <c r="E112" s="411">
        <v>0</v>
      </c>
      <c r="F112" s="411">
        <v>0</v>
      </c>
      <c r="G112" s="411">
        <v>0</v>
      </c>
      <c r="H112" s="352">
        <f t="shared" si="16"/>
        <v>5805517.4729372803</v>
      </c>
      <c r="I112" s="412">
        <v>187970.76781774583</v>
      </c>
      <c r="J112" s="355">
        <f>'B) D RI'!U113</f>
        <v>187774.68592592591</v>
      </c>
      <c r="K112" s="65">
        <f t="shared" si="14"/>
        <v>30.885214442312858</v>
      </c>
      <c r="L112" s="33">
        <f>'B) D RI'!S113</f>
        <v>72</v>
      </c>
      <c r="M112" s="33">
        <f t="shared" si="9"/>
        <v>41.114785557687142</v>
      </c>
      <c r="N112" s="33">
        <f>'J) Plafonnement effort'!G111+'J) Plafonnement effort'!H111-'K) Plafonnement aide'!I111</f>
        <v>25.498189223302941</v>
      </c>
      <c r="O112" s="130">
        <f t="shared" si="10"/>
        <v>66.612974780990086</v>
      </c>
      <c r="P112" s="47">
        <f t="shared" si="11"/>
        <v>0</v>
      </c>
      <c r="Q112" s="57">
        <f t="shared" si="15"/>
        <v>0</v>
      </c>
      <c r="R112" s="151">
        <f t="shared" si="12"/>
        <v>66.612974780990086</v>
      </c>
      <c r="S112" s="130">
        <f t="shared" si="13"/>
        <v>-5.3870252190099137</v>
      </c>
      <c r="T112" s="150">
        <f t="shared" si="17"/>
        <v>0</v>
      </c>
      <c r="V112" s="12"/>
    </row>
    <row r="113" spans="1:22" x14ac:dyDescent="0.25">
      <c r="A113" s="49">
        <f>'A) Base RI'!A114</f>
        <v>5582</v>
      </c>
      <c r="B113" s="350" t="str">
        <f>'A) Base RI'!B114</f>
        <v>Cheseaux-sur-Lausanne</v>
      </c>
      <c r="C113" s="410">
        <v>3009985.984790151</v>
      </c>
      <c r="D113" s="410">
        <v>1519935.3749171938</v>
      </c>
      <c r="E113" s="411">
        <v>0</v>
      </c>
      <c r="F113" s="411">
        <v>0</v>
      </c>
      <c r="G113" s="411">
        <v>0</v>
      </c>
      <c r="H113" s="352">
        <f t="shared" si="16"/>
        <v>4529921.3597073443</v>
      </c>
      <c r="I113" s="412">
        <v>177854.9614765101</v>
      </c>
      <c r="J113" s="355">
        <f>'B) D RI'!U114</f>
        <v>167195.61731543625</v>
      </c>
      <c r="K113" s="65">
        <f t="shared" si="14"/>
        <v>25.469749744966357</v>
      </c>
      <c r="L113" s="33">
        <f>'B) D RI'!S114</f>
        <v>74.5</v>
      </c>
      <c r="M113" s="33">
        <f t="shared" si="9"/>
        <v>49.030250255033643</v>
      </c>
      <c r="N113" s="33">
        <f>'J) Plafonnement effort'!G112+'J) Plafonnement effort'!H112-'K) Plafonnement aide'!I112</f>
        <v>22.311880396621898</v>
      </c>
      <c r="O113" s="130">
        <f t="shared" si="10"/>
        <v>71.342130651655538</v>
      </c>
      <c r="P113" s="47">
        <f t="shared" si="11"/>
        <v>0</v>
      </c>
      <c r="Q113" s="57">
        <f t="shared" si="15"/>
        <v>0</v>
      </c>
      <c r="R113" s="151">
        <f t="shared" si="12"/>
        <v>71.342130651655538</v>
      </c>
      <c r="S113" s="130">
        <f t="shared" si="13"/>
        <v>-3.1578693483444624</v>
      </c>
      <c r="T113" s="150">
        <f t="shared" si="17"/>
        <v>0</v>
      </c>
      <c r="V113" s="12"/>
    </row>
    <row r="114" spans="1:22" x14ac:dyDescent="0.25">
      <c r="A114" s="49">
        <f>'A) Base RI'!A115</f>
        <v>5583</v>
      </c>
      <c r="B114" s="350" t="str">
        <f>'A) Base RI'!B115</f>
        <v>Crissier</v>
      </c>
      <c r="C114" s="410">
        <v>7140797.8733274527</v>
      </c>
      <c r="D114" s="410">
        <v>2751572.2294834605</v>
      </c>
      <c r="E114" s="411">
        <v>0</v>
      </c>
      <c r="F114" s="411">
        <v>0</v>
      </c>
      <c r="G114" s="411">
        <v>0</v>
      </c>
      <c r="H114" s="352">
        <f t="shared" si="16"/>
        <v>9892370.1028109137</v>
      </c>
      <c r="I114" s="412">
        <v>343062.59507692308</v>
      </c>
      <c r="J114" s="355">
        <f>'B) D RI'!U115</f>
        <v>313349.85476923082</v>
      </c>
      <c r="K114" s="65">
        <f t="shared" si="14"/>
        <v>28.835466893710173</v>
      </c>
      <c r="L114" s="33">
        <f>'B) D RI'!S115</f>
        <v>65</v>
      </c>
      <c r="M114" s="33">
        <f t="shared" si="9"/>
        <v>36.164533106289824</v>
      </c>
      <c r="N114" s="33">
        <f>'J) Plafonnement effort'!G113+'J) Plafonnement effort'!H113-'K) Plafonnement aide'!I113</f>
        <v>16.885769317524215</v>
      </c>
      <c r="O114" s="130">
        <f t="shared" si="10"/>
        <v>53.050302423814038</v>
      </c>
      <c r="P114" s="47">
        <f t="shared" si="11"/>
        <v>0</v>
      </c>
      <c r="Q114" s="57">
        <f t="shared" si="15"/>
        <v>0</v>
      </c>
      <c r="R114" s="151">
        <f t="shared" si="12"/>
        <v>53.050302423814038</v>
      </c>
      <c r="S114" s="130">
        <f t="shared" si="13"/>
        <v>-11.949697576185962</v>
      </c>
      <c r="T114" s="150">
        <f t="shared" si="17"/>
        <v>0</v>
      </c>
      <c r="V114" s="12"/>
    </row>
    <row r="115" spans="1:22" x14ac:dyDescent="0.25">
      <c r="A115" s="49">
        <f>'A) Base RI'!A116</f>
        <v>5584</v>
      </c>
      <c r="B115" s="350" t="str">
        <f>'A) Base RI'!B116</f>
        <v>Epalinges</v>
      </c>
      <c r="C115" s="410">
        <v>10686723.640535511</v>
      </c>
      <c r="D115" s="410">
        <v>4169695.8683256768</v>
      </c>
      <c r="E115" s="411">
        <v>0</v>
      </c>
      <c r="F115" s="411">
        <v>0</v>
      </c>
      <c r="G115" s="411">
        <v>0</v>
      </c>
      <c r="H115" s="352">
        <f t="shared" si="16"/>
        <v>14856419.508861188</v>
      </c>
      <c r="I115" s="412">
        <v>468635.24666666664</v>
      </c>
      <c r="J115" s="355">
        <f>'B) D RI'!U116</f>
        <v>475091.38424242428</v>
      </c>
      <c r="K115" s="65">
        <f t="shared" si="14"/>
        <v>31.701455694023672</v>
      </c>
      <c r="L115" s="33">
        <f>'B) D RI'!S116</f>
        <v>66</v>
      </c>
      <c r="M115" s="33">
        <f t="shared" ref="M115:M166" si="18">L115-K115</f>
        <v>34.298544305976328</v>
      </c>
      <c r="N115" s="33">
        <f>'J) Plafonnement effort'!G114+'J) Plafonnement effort'!H114-'K) Plafonnement aide'!I114</f>
        <v>19.934584799272283</v>
      </c>
      <c r="O115" s="130">
        <f t="shared" ref="O115:O166" si="19">M115+N115</f>
        <v>54.233129105248608</v>
      </c>
      <c r="P115" s="47">
        <f t="shared" ref="P115:P166" si="20">IF(O115&gt;$P$5,$P$5-O115,0)</f>
        <v>0</v>
      </c>
      <c r="Q115" s="57">
        <f t="shared" si="15"/>
        <v>0</v>
      </c>
      <c r="R115" s="151">
        <f t="shared" ref="R115:R166" si="21">O115+P115</f>
        <v>54.233129105248608</v>
      </c>
      <c r="S115" s="130">
        <f t="shared" ref="S115:S166" si="22">R115-L115</f>
        <v>-11.766870894751392</v>
      </c>
      <c r="T115" s="150">
        <f t="shared" si="17"/>
        <v>0</v>
      </c>
      <c r="V115" s="12"/>
    </row>
    <row r="116" spans="1:22" x14ac:dyDescent="0.25">
      <c r="A116" s="49">
        <f>'A) Base RI'!A117</f>
        <v>5585</v>
      </c>
      <c r="B116" s="350" t="str">
        <f>'A) Base RI'!B117</f>
        <v>Jouxtens-Mézery</v>
      </c>
      <c r="C116" s="410">
        <v>6838772.0254295766</v>
      </c>
      <c r="D116" s="410">
        <v>3262562.087794641</v>
      </c>
      <c r="E116" s="411">
        <v>0</v>
      </c>
      <c r="F116" s="411">
        <v>-93535.305677048047</v>
      </c>
      <c r="G116" s="411">
        <v>0</v>
      </c>
      <c r="H116" s="352">
        <f t="shared" si="16"/>
        <v>10007798.807547169</v>
      </c>
      <c r="I116" s="412">
        <v>222395.52905660376</v>
      </c>
      <c r="J116" s="355">
        <f>'B) D RI'!U117</f>
        <v>229695.06966101698</v>
      </c>
      <c r="K116" s="65">
        <f t="shared" si="14"/>
        <v>45</v>
      </c>
      <c r="L116" s="33">
        <f>'B) D RI'!S117</f>
        <v>59</v>
      </c>
      <c r="M116" s="33">
        <f t="shared" si="18"/>
        <v>14</v>
      </c>
      <c r="N116" s="33">
        <f>'J) Plafonnement effort'!G115+'J) Plafonnement effort'!H115-'K) Plafonnement aide'!I115</f>
        <v>45</v>
      </c>
      <c r="O116" s="130">
        <f t="shared" si="19"/>
        <v>59</v>
      </c>
      <c r="P116" s="47">
        <f t="shared" si="20"/>
        <v>0</v>
      </c>
      <c r="Q116" s="57">
        <f t="shared" si="15"/>
        <v>0</v>
      </c>
      <c r="R116" s="151">
        <f t="shared" si="21"/>
        <v>59</v>
      </c>
      <c r="S116" s="130">
        <f t="shared" si="22"/>
        <v>0</v>
      </c>
      <c r="T116" s="150">
        <f t="shared" si="17"/>
        <v>0</v>
      </c>
      <c r="V116" s="12"/>
    </row>
    <row r="117" spans="1:22" x14ac:dyDescent="0.25">
      <c r="A117" s="49">
        <f>'A) Base RI'!A118</f>
        <v>5586</v>
      </c>
      <c r="B117" s="350" t="str">
        <f>'A) Base RI'!B118</f>
        <v>Lausanne</v>
      </c>
      <c r="C117" s="410">
        <v>110479719.5812521</v>
      </c>
      <c r="D117" s="410">
        <v>-34079039.429843143</v>
      </c>
      <c r="E117" s="411">
        <v>0</v>
      </c>
      <c r="F117" s="411">
        <v>0</v>
      </c>
      <c r="G117" s="411">
        <v>0</v>
      </c>
      <c r="H117" s="352">
        <f t="shared" si="16"/>
        <v>76400680.151408955</v>
      </c>
      <c r="I117" s="412">
        <v>5998569.406244725</v>
      </c>
      <c r="J117" s="355">
        <f>'B) D RI'!U118</f>
        <v>6038274.9810970454</v>
      </c>
      <c r="K117" s="65">
        <f t="shared" ref="K117:K167" si="23">H117/I117</f>
        <v>12.736483480856805</v>
      </c>
      <c r="L117" s="33">
        <f>'B) D RI'!S118</f>
        <v>79</v>
      </c>
      <c r="M117" s="33">
        <f t="shared" si="18"/>
        <v>66.263516519143195</v>
      </c>
      <c r="N117" s="33">
        <f>'J) Plafonnement effort'!G116+'J) Plafonnement effort'!H116-'K) Plafonnement aide'!I116</f>
        <v>2.8112165556153101</v>
      </c>
      <c r="O117" s="130">
        <f t="shared" si="19"/>
        <v>69.074733074758512</v>
      </c>
      <c r="P117" s="47">
        <f t="shared" si="20"/>
        <v>0</v>
      </c>
      <c r="Q117" s="57">
        <f t="shared" si="15"/>
        <v>0</v>
      </c>
      <c r="R117" s="151">
        <f t="shared" si="21"/>
        <v>69.074733074758512</v>
      </c>
      <c r="S117" s="130">
        <f t="shared" si="22"/>
        <v>-9.9252669252414876</v>
      </c>
      <c r="T117" s="150">
        <f t="shared" si="17"/>
        <v>0</v>
      </c>
      <c r="V117" s="12"/>
    </row>
    <row r="118" spans="1:22" x14ac:dyDescent="0.25">
      <c r="A118" s="49">
        <f>'A) Base RI'!A119</f>
        <v>5587</v>
      </c>
      <c r="B118" s="350" t="str">
        <f>'A) Base RI'!B119</f>
        <v>Le Mont-sur-Lausanne</v>
      </c>
      <c r="C118" s="410">
        <v>7235477.1323313424</v>
      </c>
      <c r="D118" s="410">
        <v>4195379.1859635673</v>
      </c>
      <c r="E118" s="411">
        <v>0</v>
      </c>
      <c r="F118" s="411">
        <v>0</v>
      </c>
      <c r="G118" s="411">
        <v>0</v>
      </c>
      <c r="H118" s="352">
        <f t="shared" si="16"/>
        <v>11430856.318294909</v>
      </c>
      <c r="I118" s="412">
        <v>426789.42020000005</v>
      </c>
      <c r="J118" s="355">
        <f>'B) D RI'!U119</f>
        <v>437426.32075555553</v>
      </c>
      <c r="K118" s="65">
        <f t="shared" si="23"/>
        <v>26.783363825978242</v>
      </c>
      <c r="L118" s="33">
        <f>'B) D RI'!S119</f>
        <v>75</v>
      </c>
      <c r="M118" s="33">
        <f t="shared" si="18"/>
        <v>48.216636174021758</v>
      </c>
      <c r="N118" s="33">
        <f>'J) Plafonnement effort'!G117+'J) Plafonnement effort'!H117-'K) Plafonnement aide'!I117</f>
        <v>21.705477210905574</v>
      </c>
      <c r="O118" s="130">
        <f t="shared" si="19"/>
        <v>69.922113384927329</v>
      </c>
      <c r="P118" s="47">
        <f t="shared" si="20"/>
        <v>0</v>
      </c>
      <c r="Q118" s="57">
        <f t="shared" ref="Q118:Q167" si="24">P118*J118</f>
        <v>0</v>
      </c>
      <c r="R118" s="151">
        <f t="shared" si="21"/>
        <v>69.922113384927329</v>
      </c>
      <c r="S118" s="130">
        <f t="shared" si="22"/>
        <v>-5.0778866150726714</v>
      </c>
      <c r="T118" s="150">
        <f t="shared" si="17"/>
        <v>0</v>
      </c>
      <c r="V118" s="12"/>
    </row>
    <row r="119" spans="1:22" x14ac:dyDescent="0.25">
      <c r="A119" s="49">
        <f>'A) Base RI'!A120</f>
        <v>5588</v>
      </c>
      <c r="B119" s="350" t="str">
        <f>'A) Base RI'!B120</f>
        <v>Paudex</v>
      </c>
      <c r="C119" s="410">
        <v>2918344.8335107453</v>
      </c>
      <c r="D119" s="410">
        <v>1910143.9653228053</v>
      </c>
      <c r="E119" s="411">
        <v>0</v>
      </c>
      <c r="F119" s="411">
        <v>0</v>
      </c>
      <c r="G119" s="411">
        <v>0</v>
      </c>
      <c r="H119" s="352">
        <f t="shared" si="16"/>
        <v>4828488.7988335509</v>
      </c>
      <c r="I119" s="412">
        <v>123307.63563298491</v>
      </c>
      <c r="J119" s="355">
        <f>'B) D RI'!U120</f>
        <v>134588.09264705883</v>
      </c>
      <c r="K119" s="65">
        <f t="shared" si="23"/>
        <v>39.158068144337413</v>
      </c>
      <c r="L119" s="33">
        <f>'B) D RI'!S120</f>
        <v>68</v>
      </c>
      <c r="M119" s="33">
        <f t="shared" si="18"/>
        <v>28.841931855662587</v>
      </c>
      <c r="N119" s="33">
        <f>'J) Plafonnement effort'!G118+'J) Plafonnement effort'!H118-'K) Plafonnement aide'!I118</f>
        <v>43.058324979234577</v>
      </c>
      <c r="O119" s="130">
        <f t="shared" si="19"/>
        <v>71.900256834897164</v>
      </c>
      <c r="P119" s="47">
        <f t="shared" si="20"/>
        <v>0</v>
      </c>
      <c r="Q119" s="57">
        <f t="shared" si="24"/>
        <v>0</v>
      </c>
      <c r="R119" s="151">
        <f t="shared" si="21"/>
        <v>71.900256834897164</v>
      </c>
      <c r="S119" s="130">
        <f t="shared" si="22"/>
        <v>3.9002568348971636</v>
      </c>
      <c r="T119" s="150">
        <f t="shared" si="17"/>
        <v>0</v>
      </c>
      <c r="V119" s="12"/>
    </row>
    <row r="120" spans="1:22" x14ac:dyDescent="0.25">
      <c r="A120" s="49">
        <f>'A) Base RI'!A121</f>
        <v>5589</v>
      </c>
      <c r="B120" s="350" t="str">
        <f>'A) Base RI'!B121</f>
        <v>Prilly</v>
      </c>
      <c r="C120" s="410">
        <v>7472473.0049135014</v>
      </c>
      <c r="D120" s="410">
        <v>-1887608.2130897287</v>
      </c>
      <c r="E120" s="411">
        <v>0</v>
      </c>
      <c r="F120" s="411">
        <v>0</v>
      </c>
      <c r="G120" s="411">
        <v>0</v>
      </c>
      <c r="H120" s="352">
        <f t="shared" si="16"/>
        <v>5584864.7918237727</v>
      </c>
      <c r="I120" s="412">
        <v>426033.15632653062</v>
      </c>
      <c r="J120" s="355">
        <f>'B) D RI'!U121</f>
        <v>418113.86360020924</v>
      </c>
      <c r="K120" s="65">
        <f t="shared" si="23"/>
        <v>13.108990952674317</v>
      </c>
      <c r="L120" s="33">
        <f>'B) D RI'!S121</f>
        <v>73.5</v>
      </c>
      <c r="M120" s="33">
        <f t="shared" si="18"/>
        <v>60.391009047325682</v>
      </c>
      <c r="N120" s="33">
        <f>'J) Plafonnement effort'!G119+'J) Plafonnement effort'!H119-'K) Plafonnement aide'!I119</f>
        <v>4.6843298205835815</v>
      </c>
      <c r="O120" s="130">
        <f t="shared" si="19"/>
        <v>65.075338867909267</v>
      </c>
      <c r="P120" s="47">
        <f t="shared" si="20"/>
        <v>0</v>
      </c>
      <c r="Q120" s="57">
        <f t="shared" si="24"/>
        <v>0</v>
      </c>
      <c r="R120" s="151">
        <f t="shared" si="21"/>
        <v>65.075338867909267</v>
      </c>
      <c r="S120" s="130">
        <f t="shared" si="22"/>
        <v>-8.4246611320907334</v>
      </c>
      <c r="T120" s="150">
        <f t="shared" si="17"/>
        <v>0</v>
      </c>
      <c r="V120" s="12"/>
    </row>
    <row r="121" spans="1:22" x14ac:dyDescent="0.25">
      <c r="A121" s="49">
        <f>'A) Base RI'!A122</f>
        <v>5590</v>
      </c>
      <c r="B121" s="350" t="str">
        <f>'A) Base RI'!B122</f>
        <v>Pully</v>
      </c>
      <c r="C121" s="410">
        <v>35691411.196599394</v>
      </c>
      <c r="D121" s="410">
        <v>11978713.650449116</v>
      </c>
      <c r="E121" s="411">
        <v>0</v>
      </c>
      <c r="F121" s="411">
        <v>0</v>
      </c>
      <c r="G121" s="411">
        <v>0</v>
      </c>
      <c r="H121" s="352">
        <f t="shared" si="16"/>
        <v>47670124.847048506</v>
      </c>
      <c r="I121" s="412">
        <v>1404840.8814754093</v>
      </c>
      <c r="J121" s="355">
        <f>'B) D RI'!U122</f>
        <v>1533094.7704683845</v>
      </c>
      <c r="K121" s="65">
        <f t="shared" si="23"/>
        <v>33.932757421597671</v>
      </c>
      <c r="L121" s="33">
        <f>'B) D RI'!S122</f>
        <v>61</v>
      </c>
      <c r="M121" s="33">
        <f t="shared" si="18"/>
        <v>27.067242578402329</v>
      </c>
      <c r="N121" s="33">
        <f>'J) Plafonnement effort'!G120+'J) Plafonnement effort'!H120-'K) Plafonnement aide'!I120</f>
        <v>35.889564516126306</v>
      </c>
      <c r="O121" s="130">
        <f t="shared" si="19"/>
        <v>62.956807094528635</v>
      </c>
      <c r="P121" s="47">
        <f t="shared" si="20"/>
        <v>0</v>
      </c>
      <c r="Q121" s="57">
        <f t="shared" si="24"/>
        <v>0</v>
      </c>
      <c r="R121" s="151">
        <f t="shared" si="21"/>
        <v>62.956807094528635</v>
      </c>
      <c r="S121" s="130">
        <f t="shared" si="22"/>
        <v>1.9568070945286351</v>
      </c>
      <c r="T121" s="150">
        <f t="shared" si="17"/>
        <v>0</v>
      </c>
      <c r="V121" s="12"/>
    </row>
    <row r="122" spans="1:22" x14ac:dyDescent="0.25">
      <c r="A122" s="49">
        <f>'A) Base RI'!A123</f>
        <v>5591</v>
      </c>
      <c r="B122" s="350" t="str">
        <f>'A) Base RI'!B123</f>
        <v>Renens</v>
      </c>
      <c r="C122" s="410">
        <v>11478932.40415002</v>
      </c>
      <c r="D122" s="410">
        <v>-13903512.385702508</v>
      </c>
      <c r="E122" s="411">
        <v>0</v>
      </c>
      <c r="F122" s="411">
        <v>0</v>
      </c>
      <c r="G122" s="411">
        <v>0</v>
      </c>
      <c r="H122" s="352">
        <f t="shared" si="16"/>
        <v>-2424579.9815524872</v>
      </c>
      <c r="I122" s="412">
        <v>580334.81221110106</v>
      </c>
      <c r="J122" s="355">
        <f>'B) D RI'!U123</f>
        <v>563128.30316651508</v>
      </c>
      <c r="K122" s="65">
        <f t="shared" si="23"/>
        <v>-4.1778985691289678</v>
      </c>
      <c r="L122" s="33">
        <f>'B) D RI'!S123</f>
        <v>78.5</v>
      </c>
      <c r="M122" s="33">
        <f t="shared" si="18"/>
        <v>82.677898569128971</v>
      </c>
      <c r="N122" s="33">
        <f>'J) Plafonnement effort'!G121+'J) Plafonnement effort'!H121-'K) Plafonnement aide'!I121</f>
        <v>-19.026947368088578</v>
      </c>
      <c r="O122" s="130">
        <f t="shared" si="19"/>
        <v>63.650951201040392</v>
      </c>
      <c r="P122" s="47">
        <f t="shared" si="20"/>
        <v>0</v>
      </c>
      <c r="Q122" s="57">
        <f t="shared" si="24"/>
        <v>0</v>
      </c>
      <c r="R122" s="151">
        <f t="shared" si="21"/>
        <v>63.650951201040392</v>
      </c>
      <c r="S122" s="130">
        <f t="shared" si="22"/>
        <v>-14.849048798959608</v>
      </c>
      <c r="T122" s="150">
        <f t="shared" si="17"/>
        <v>0</v>
      </c>
      <c r="V122" s="12"/>
    </row>
    <row r="123" spans="1:22" x14ac:dyDescent="0.25">
      <c r="A123" s="49">
        <f>'A) Base RI'!A124</f>
        <v>5592</v>
      </c>
      <c r="B123" s="350" t="str">
        <f>'A) Base RI'!B124</f>
        <v>Romanel-sur-Lausanne</v>
      </c>
      <c r="C123" s="410">
        <v>1921951.6449832679</v>
      </c>
      <c r="D123" s="410">
        <v>521565.14659169549</v>
      </c>
      <c r="E123" s="411">
        <v>0</v>
      </c>
      <c r="F123" s="411">
        <v>0</v>
      </c>
      <c r="G123" s="411">
        <v>0</v>
      </c>
      <c r="H123" s="352">
        <f t="shared" si="16"/>
        <v>2443516.7915749634</v>
      </c>
      <c r="I123" s="412">
        <v>113924.20114285716</v>
      </c>
      <c r="J123" s="355">
        <f>'B) D RI'!U124</f>
        <v>113674.73902777777</v>
      </c>
      <c r="K123" s="65">
        <f t="shared" si="23"/>
        <v>21.448619056023702</v>
      </c>
      <c r="L123" s="33">
        <f>'B) D RI'!S124</f>
        <v>72</v>
      </c>
      <c r="M123" s="33">
        <f t="shared" si="18"/>
        <v>50.551380943976298</v>
      </c>
      <c r="N123" s="33">
        <f>'J) Plafonnement effort'!G122+'J) Plafonnement effort'!H122-'K) Plafonnement aide'!I122</f>
        <v>19.337583242340127</v>
      </c>
      <c r="O123" s="130">
        <f t="shared" si="19"/>
        <v>69.888964186316429</v>
      </c>
      <c r="P123" s="47">
        <f t="shared" si="20"/>
        <v>0</v>
      </c>
      <c r="Q123" s="57">
        <f t="shared" si="24"/>
        <v>0</v>
      </c>
      <c r="R123" s="151">
        <f t="shared" si="21"/>
        <v>69.888964186316429</v>
      </c>
      <c r="S123" s="130">
        <f t="shared" si="22"/>
        <v>-2.1110358136835714</v>
      </c>
      <c r="T123" s="150">
        <f t="shared" si="17"/>
        <v>0</v>
      </c>
      <c r="V123" s="12"/>
    </row>
    <row r="124" spans="1:22" x14ac:dyDescent="0.25">
      <c r="A124" s="49">
        <f>'A) Base RI'!A125</f>
        <v>5601</v>
      </c>
      <c r="B124" s="350" t="str">
        <f>'A) Base RI'!B125</f>
        <v>Chexbres</v>
      </c>
      <c r="C124" s="410">
        <v>1871865.9861869258</v>
      </c>
      <c r="D124" s="410">
        <v>1419171.4386883713</v>
      </c>
      <c r="E124" s="411">
        <v>0</v>
      </c>
      <c r="F124" s="411">
        <v>0</v>
      </c>
      <c r="G124" s="411">
        <v>0</v>
      </c>
      <c r="H124" s="352">
        <f t="shared" si="16"/>
        <v>3291037.4248752971</v>
      </c>
      <c r="I124" s="412">
        <v>102834.27275362321</v>
      </c>
      <c r="J124" s="355">
        <f>'B) D RI'!U125</f>
        <v>103470.98536231882</v>
      </c>
      <c r="K124" s="65">
        <f t="shared" si="23"/>
        <v>32.003313066259246</v>
      </c>
      <c r="L124" s="33">
        <f>'B) D RI'!S125</f>
        <v>69</v>
      </c>
      <c r="M124" s="33">
        <f t="shared" si="18"/>
        <v>36.996686933740754</v>
      </c>
      <c r="N124" s="33">
        <f>'J) Plafonnement effort'!G123+'J) Plafonnement effort'!H123-'K) Plafonnement aide'!I123</f>
        <v>30.132417110420207</v>
      </c>
      <c r="O124" s="130">
        <f t="shared" si="19"/>
        <v>67.129104044160954</v>
      </c>
      <c r="P124" s="47">
        <f t="shared" si="20"/>
        <v>0</v>
      </c>
      <c r="Q124" s="57">
        <f t="shared" si="24"/>
        <v>0</v>
      </c>
      <c r="R124" s="151">
        <f t="shared" si="21"/>
        <v>67.129104044160954</v>
      </c>
      <c r="S124" s="130">
        <f t="shared" si="22"/>
        <v>-1.8708959558390461</v>
      </c>
      <c r="T124" s="150">
        <f t="shared" si="17"/>
        <v>0</v>
      </c>
      <c r="V124" s="12"/>
    </row>
    <row r="125" spans="1:22" x14ac:dyDescent="0.25">
      <c r="A125" s="49">
        <f>'A) Base RI'!A126</f>
        <v>5604</v>
      </c>
      <c r="B125" s="350" t="str">
        <f>'A) Base RI'!B126</f>
        <v>Forel (Lavaux)</v>
      </c>
      <c r="C125" s="410">
        <v>1317869.5561890844</v>
      </c>
      <c r="D125" s="410">
        <v>633650.15741115191</v>
      </c>
      <c r="E125" s="411">
        <v>0</v>
      </c>
      <c r="F125" s="411">
        <v>0</v>
      </c>
      <c r="G125" s="411">
        <v>0</v>
      </c>
      <c r="H125" s="352">
        <f t="shared" si="16"/>
        <v>1951519.7136002365</v>
      </c>
      <c r="I125" s="412">
        <v>76415.868285714285</v>
      </c>
      <c r="J125" s="355">
        <f>'B) D RI'!U126</f>
        <v>73971.129714285707</v>
      </c>
      <c r="K125" s="65">
        <f t="shared" si="23"/>
        <v>25.538147473553828</v>
      </c>
      <c r="L125" s="33">
        <f>'B) D RI'!S126</f>
        <v>70</v>
      </c>
      <c r="M125" s="33">
        <f t="shared" si="18"/>
        <v>44.461852526446172</v>
      </c>
      <c r="N125" s="33">
        <f>'J) Plafonnement effort'!G124+'J) Plafonnement effort'!H124-'K) Plafonnement aide'!I124</f>
        <v>19.790204517474219</v>
      </c>
      <c r="O125" s="130">
        <f t="shared" si="19"/>
        <v>64.252057043920388</v>
      </c>
      <c r="P125" s="47">
        <f t="shared" si="20"/>
        <v>0</v>
      </c>
      <c r="Q125" s="57">
        <f t="shared" si="24"/>
        <v>0</v>
      </c>
      <c r="R125" s="151">
        <f t="shared" si="21"/>
        <v>64.252057043920388</v>
      </c>
      <c r="S125" s="130">
        <f t="shared" si="22"/>
        <v>-5.747942956079612</v>
      </c>
      <c r="T125" s="150">
        <f t="shared" si="17"/>
        <v>0</v>
      </c>
      <c r="V125" s="12"/>
    </row>
    <row r="126" spans="1:22" x14ac:dyDescent="0.25">
      <c r="A126" s="49">
        <f>'A) Base RI'!A127</f>
        <v>5606</v>
      </c>
      <c r="B126" s="350" t="str">
        <f>'A) Base RI'!B127</f>
        <v>Lutry</v>
      </c>
      <c r="C126" s="410">
        <v>21119454.091036242</v>
      </c>
      <c r="D126" s="410">
        <v>9527665.1151290387</v>
      </c>
      <c r="E126" s="411">
        <v>0</v>
      </c>
      <c r="F126" s="411">
        <v>0</v>
      </c>
      <c r="G126" s="411">
        <v>0</v>
      </c>
      <c r="H126" s="352">
        <f t="shared" si="16"/>
        <v>30647119.20616528</v>
      </c>
      <c r="I126" s="412">
        <v>833790.99884169886</v>
      </c>
      <c r="J126" s="355">
        <f>'B) D RI'!U127</f>
        <v>806998.35454311455</v>
      </c>
      <c r="K126" s="65">
        <f t="shared" si="23"/>
        <v>36.756356507494338</v>
      </c>
      <c r="L126" s="33">
        <f>'B) D RI'!S127</f>
        <v>55.5</v>
      </c>
      <c r="M126" s="33">
        <f t="shared" si="18"/>
        <v>18.743643492505662</v>
      </c>
      <c r="N126" s="33">
        <f>'J) Plafonnement effort'!G125+'J) Plafonnement effort'!H125-'K) Plafonnement aide'!I125</f>
        <v>35.808541443000408</v>
      </c>
      <c r="O126" s="130">
        <f t="shared" si="19"/>
        <v>54.55218493550607</v>
      </c>
      <c r="P126" s="47">
        <f t="shared" si="20"/>
        <v>0</v>
      </c>
      <c r="Q126" s="57">
        <f t="shared" si="24"/>
        <v>0</v>
      </c>
      <c r="R126" s="151">
        <f t="shared" si="21"/>
        <v>54.55218493550607</v>
      </c>
      <c r="S126" s="130">
        <f t="shared" si="22"/>
        <v>-0.94781506449393049</v>
      </c>
      <c r="T126" s="150">
        <f t="shared" si="17"/>
        <v>0</v>
      </c>
      <c r="V126" s="12"/>
    </row>
    <row r="127" spans="1:22" x14ac:dyDescent="0.25">
      <c r="A127" s="49">
        <f>'A) Base RI'!A128</f>
        <v>5607</v>
      </c>
      <c r="B127" s="350" t="str">
        <f>'A) Base RI'!B128</f>
        <v>Puidoux</v>
      </c>
      <c r="C127" s="410">
        <v>2059974.6147459976</v>
      </c>
      <c r="D127" s="410">
        <v>1013180.5132930586</v>
      </c>
      <c r="E127" s="411">
        <v>0</v>
      </c>
      <c r="F127" s="411">
        <v>0</v>
      </c>
      <c r="G127" s="411">
        <v>0</v>
      </c>
      <c r="H127" s="352">
        <f t="shared" si="16"/>
        <v>3073155.1280390564</v>
      </c>
      <c r="I127" s="412">
        <v>111751.15780124225</v>
      </c>
      <c r="J127" s="355">
        <f>'B) D RI'!U128</f>
        <v>100918.13995031056</v>
      </c>
      <c r="K127" s="65">
        <f t="shared" si="23"/>
        <v>27.499984684766233</v>
      </c>
      <c r="L127" s="33">
        <f>'B) D RI'!S128</f>
        <v>70</v>
      </c>
      <c r="M127" s="33">
        <f t="shared" si="18"/>
        <v>42.500015315233767</v>
      </c>
      <c r="N127" s="33">
        <f>'J) Plafonnement effort'!G126+'J) Plafonnement effort'!H126-'K) Plafonnement aide'!I126</f>
        <v>13.963887176094405</v>
      </c>
      <c r="O127" s="130">
        <f t="shared" si="19"/>
        <v>56.46390249132817</v>
      </c>
      <c r="P127" s="47">
        <f t="shared" si="20"/>
        <v>0</v>
      </c>
      <c r="Q127" s="57">
        <f t="shared" si="24"/>
        <v>0</v>
      </c>
      <c r="R127" s="151">
        <f t="shared" si="21"/>
        <v>56.46390249132817</v>
      </c>
      <c r="S127" s="130">
        <f t="shared" si="22"/>
        <v>-13.53609750867183</v>
      </c>
      <c r="T127" s="150">
        <f t="shared" si="17"/>
        <v>0</v>
      </c>
      <c r="V127" s="12"/>
    </row>
    <row r="128" spans="1:22" x14ac:dyDescent="0.25">
      <c r="A128" s="49">
        <f>'A) Base RI'!A129</f>
        <v>5609</v>
      </c>
      <c r="B128" s="350" t="str">
        <f>'A) Base RI'!B129</f>
        <v>Rivaz</v>
      </c>
      <c r="C128" s="410">
        <v>207586.41618621236</v>
      </c>
      <c r="D128" s="410">
        <v>179000.90776438391</v>
      </c>
      <c r="E128" s="411">
        <v>0</v>
      </c>
      <c r="F128" s="411">
        <v>0</v>
      </c>
      <c r="G128" s="411">
        <v>0</v>
      </c>
      <c r="H128" s="352">
        <f t="shared" si="16"/>
        <v>386587.32395059627</v>
      </c>
      <c r="I128" s="412">
        <v>13518.908661417323</v>
      </c>
      <c r="J128" s="355">
        <f>'B) D RI'!U129</f>
        <v>13641.583779527558</v>
      </c>
      <c r="K128" s="65">
        <f t="shared" si="23"/>
        <v>28.596045260214549</v>
      </c>
      <c r="L128" s="33">
        <f>'B) D RI'!S129</f>
        <v>63.5</v>
      </c>
      <c r="M128" s="33">
        <f t="shared" si="18"/>
        <v>34.903954739785448</v>
      </c>
      <c r="N128" s="33">
        <f>'J) Plafonnement effort'!G127+'J) Plafonnement effort'!H127-'K) Plafonnement aide'!I127</f>
        <v>26.254140040548247</v>
      </c>
      <c r="O128" s="130">
        <f t="shared" si="19"/>
        <v>61.158094780333698</v>
      </c>
      <c r="P128" s="47">
        <f t="shared" si="20"/>
        <v>0</v>
      </c>
      <c r="Q128" s="57">
        <f t="shared" si="24"/>
        <v>0</v>
      </c>
      <c r="R128" s="151">
        <f t="shared" si="21"/>
        <v>61.158094780333698</v>
      </c>
      <c r="S128" s="130">
        <f t="shared" si="22"/>
        <v>-2.3419052196663017</v>
      </c>
      <c r="T128" s="150">
        <f t="shared" si="17"/>
        <v>0</v>
      </c>
      <c r="V128" s="12"/>
    </row>
    <row r="129" spans="1:22" x14ac:dyDescent="0.25">
      <c r="A129" s="49">
        <f>'A) Base RI'!A130</f>
        <v>5610</v>
      </c>
      <c r="B129" s="350" t="str">
        <f>'A) Base RI'!B130</f>
        <v>St-Saphorin (Lavaux)</v>
      </c>
      <c r="C129" s="410">
        <v>333443.07840950589</v>
      </c>
      <c r="D129" s="410">
        <v>368926.1434282824</v>
      </c>
      <c r="E129" s="411">
        <v>0</v>
      </c>
      <c r="F129" s="411">
        <v>0</v>
      </c>
      <c r="G129" s="411">
        <v>0</v>
      </c>
      <c r="H129" s="352">
        <f t="shared" si="16"/>
        <v>702369.22183778835</v>
      </c>
      <c r="I129" s="412">
        <v>21494.070428571435</v>
      </c>
      <c r="J129" s="355">
        <f>'B) D RI'!U130</f>
        <v>22278.713000000003</v>
      </c>
      <c r="K129" s="65">
        <f t="shared" si="23"/>
        <v>32.677348116629858</v>
      </c>
      <c r="L129" s="33">
        <f>'B) D RI'!S130</f>
        <v>70</v>
      </c>
      <c r="M129" s="33">
        <f t="shared" si="18"/>
        <v>37.322651883370142</v>
      </c>
      <c r="N129" s="33">
        <f>'J) Plafonnement effort'!G128+'J) Plafonnement effort'!H128-'K) Plafonnement aide'!I128</f>
        <v>35.093000898597026</v>
      </c>
      <c r="O129" s="130">
        <f t="shared" si="19"/>
        <v>72.415652781967168</v>
      </c>
      <c r="P129" s="47">
        <f t="shared" si="20"/>
        <v>0</v>
      </c>
      <c r="Q129" s="57">
        <f t="shared" si="24"/>
        <v>0</v>
      </c>
      <c r="R129" s="151">
        <f t="shared" si="21"/>
        <v>72.415652781967168</v>
      </c>
      <c r="S129" s="130">
        <f t="shared" si="22"/>
        <v>2.415652781967168</v>
      </c>
      <c r="T129" s="150">
        <f t="shared" si="17"/>
        <v>0</v>
      </c>
      <c r="V129" s="12"/>
    </row>
    <row r="130" spans="1:22" x14ac:dyDescent="0.25">
      <c r="A130" s="49">
        <f>'A) Base RI'!A131</f>
        <v>5611</v>
      </c>
      <c r="B130" s="350" t="str">
        <f>'A) Base RI'!B131</f>
        <v>Savigny</v>
      </c>
      <c r="C130" s="410">
        <v>2856709.6186237587</v>
      </c>
      <c r="D130" s="410">
        <v>1386784.3361211393</v>
      </c>
      <c r="E130" s="411">
        <v>0</v>
      </c>
      <c r="F130" s="411">
        <v>0</v>
      </c>
      <c r="G130" s="411">
        <v>0</v>
      </c>
      <c r="H130" s="352">
        <f t="shared" si="16"/>
        <v>4243493.9547448978</v>
      </c>
      <c r="I130" s="412">
        <v>137747.50487922705</v>
      </c>
      <c r="J130" s="355">
        <f>'B) D RI'!U131</f>
        <v>134929.74355072467</v>
      </c>
      <c r="K130" s="65">
        <f t="shared" si="23"/>
        <v>30.80632174401611</v>
      </c>
      <c r="L130" s="33">
        <f>'B) D RI'!S131</f>
        <v>69</v>
      </c>
      <c r="M130" s="33">
        <f t="shared" si="18"/>
        <v>38.19367825598389</v>
      </c>
      <c r="N130" s="33">
        <f>'J) Plafonnement effort'!G129+'J) Plafonnement effort'!H129-'K) Plafonnement aide'!I129</f>
        <v>25.156024848404581</v>
      </c>
      <c r="O130" s="130">
        <f t="shared" si="19"/>
        <v>63.349703104388468</v>
      </c>
      <c r="P130" s="47">
        <f t="shared" si="20"/>
        <v>0</v>
      </c>
      <c r="Q130" s="57">
        <f t="shared" si="24"/>
        <v>0</v>
      </c>
      <c r="R130" s="151">
        <f t="shared" si="21"/>
        <v>63.349703104388468</v>
      </c>
      <c r="S130" s="130">
        <f t="shared" si="22"/>
        <v>-5.6502968956115325</v>
      </c>
      <c r="T130" s="150">
        <f t="shared" si="17"/>
        <v>0</v>
      </c>
      <c r="V130" s="12"/>
    </row>
    <row r="131" spans="1:22" x14ac:dyDescent="0.25">
      <c r="A131" s="49">
        <f>'A) Base RI'!A132</f>
        <v>5613</v>
      </c>
      <c r="B131" s="350" t="str">
        <f>'A) Base RI'!B132</f>
        <v>Bourg-en-Lavaux</v>
      </c>
      <c r="C131" s="410">
        <v>5392500.8544032006</v>
      </c>
      <c r="D131" s="410">
        <v>3562193.2948614089</v>
      </c>
      <c r="E131" s="411">
        <v>0</v>
      </c>
      <c r="F131" s="411">
        <v>0</v>
      </c>
      <c r="G131" s="411">
        <v>0</v>
      </c>
      <c r="H131" s="352">
        <f t="shared" si="16"/>
        <v>8954694.1492646094</v>
      </c>
      <c r="I131" s="412">
        <v>293991.54098360648</v>
      </c>
      <c r="J131" s="355">
        <f>'B) D RI'!U132</f>
        <v>333126.87406250008</v>
      </c>
      <c r="K131" s="65">
        <f t="shared" si="23"/>
        <v>30.459019736775147</v>
      </c>
      <c r="L131" s="33">
        <f>'B) D RI'!S132</f>
        <v>64</v>
      </c>
      <c r="M131" s="33">
        <f t="shared" si="18"/>
        <v>33.540980263224853</v>
      </c>
      <c r="N131" s="33">
        <f>'J) Plafonnement effort'!G130+'J) Plafonnement effort'!H130-'K) Plafonnement aide'!I130</f>
        <v>35.264442658792866</v>
      </c>
      <c r="O131" s="130">
        <f t="shared" si="19"/>
        <v>68.805422922017726</v>
      </c>
      <c r="P131" s="47">
        <f t="shared" si="20"/>
        <v>0</v>
      </c>
      <c r="Q131" s="57">
        <f t="shared" si="24"/>
        <v>0</v>
      </c>
      <c r="R131" s="151">
        <f t="shared" si="21"/>
        <v>68.805422922017726</v>
      </c>
      <c r="S131" s="130">
        <f t="shared" si="22"/>
        <v>4.8054229220177263</v>
      </c>
      <c r="T131" s="150">
        <f t="shared" si="17"/>
        <v>0</v>
      </c>
      <c r="V131" s="12"/>
    </row>
    <row r="132" spans="1:22" x14ac:dyDescent="0.25">
      <c r="A132" s="49">
        <f>'A) Base RI'!A133</f>
        <v>5621</v>
      </c>
      <c r="B132" s="350" t="str">
        <f>'A) Base RI'!B133</f>
        <v>Aclens</v>
      </c>
      <c r="C132" s="410">
        <v>1038143.3396381473</v>
      </c>
      <c r="D132" s="410">
        <v>661968.81247467978</v>
      </c>
      <c r="E132" s="411">
        <v>0</v>
      </c>
      <c r="F132" s="411">
        <v>0</v>
      </c>
      <c r="G132" s="411">
        <v>0</v>
      </c>
      <c r="H132" s="352">
        <f t="shared" si="16"/>
        <v>1700112.1521128272</v>
      </c>
      <c r="I132" s="412">
        <v>39594.745087976538</v>
      </c>
      <c r="J132" s="355">
        <f>'B) D RI'!U133</f>
        <v>27514.906070381232</v>
      </c>
      <c r="K132" s="65">
        <f t="shared" si="23"/>
        <v>42.937822893803357</v>
      </c>
      <c r="L132" s="33">
        <f>'B) D RI'!S133</f>
        <v>62</v>
      </c>
      <c r="M132" s="33">
        <f t="shared" si="18"/>
        <v>19.062177106196643</v>
      </c>
      <c r="N132" s="33">
        <f>'J) Plafonnement effort'!G131+'J) Plafonnement effort'!H131-'K) Plafonnement aide'!I131</f>
        <v>38.255117085171825</v>
      </c>
      <c r="O132" s="130">
        <f t="shared" si="19"/>
        <v>57.317294191368468</v>
      </c>
      <c r="P132" s="47">
        <f t="shared" si="20"/>
        <v>0</v>
      </c>
      <c r="Q132" s="57">
        <f t="shared" si="24"/>
        <v>0</v>
      </c>
      <c r="R132" s="151">
        <f t="shared" si="21"/>
        <v>57.317294191368468</v>
      </c>
      <c r="S132" s="130">
        <f t="shared" si="22"/>
        <v>-4.6827058086315319</v>
      </c>
      <c r="T132" s="150">
        <f t="shared" si="17"/>
        <v>0</v>
      </c>
      <c r="V132" s="12"/>
    </row>
    <row r="133" spans="1:22" x14ac:dyDescent="0.25">
      <c r="A133" s="49">
        <f>'A) Base RI'!A134</f>
        <v>5622</v>
      </c>
      <c r="B133" s="350" t="str">
        <f>'A) Base RI'!B134</f>
        <v>Bremblens</v>
      </c>
      <c r="C133" s="410">
        <v>503492.42602582183</v>
      </c>
      <c r="D133" s="410">
        <v>426438.08749459899</v>
      </c>
      <c r="E133" s="411">
        <v>0</v>
      </c>
      <c r="F133" s="411">
        <v>0</v>
      </c>
      <c r="G133" s="411">
        <v>0</v>
      </c>
      <c r="H133" s="352">
        <f t="shared" si="16"/>
        <v>929930.51352042076</v>
      </c>
      <c r="I133" s="412">
        <v>25350.281363636361</v>
      </c>
      <c r="J133" s="355">
        <f>'B) D RI'!U134</f>
        <v>27505.151666666668</v>
      </c>
      <c r="K133" s="65">
        <f t="shared" si="23"/>
        <v>36.683242295462527</v>
      </c>
      <c r="L133" s="33">
        <f>'B) D RI'!S134</f>
        <v>66</v>
      </c>
      <c r="M133" s="33">
        <f t="shared" si="18"/>
        <v>29.316757704537473</v>
      </c>
      <c r="N133" s="33">
        <f>'J) Plafonnement effort'!G132+'J) Plafonnement effort'!H132-'K) Plafonnement aide'!I132</f>
        <v>36.61821108422987</v>
      </c>
      <c r="O133" s="130">
        <f t="shared" si="19"/>
        <v>65.93496878876735</v>
      </c>
      <c r="P133" s="47">
        <f t="shared" si="20"/>
        <v>0</v>
      </c>
      <c r="Q133" s="57">
        <f t="shared" si="24"/>
        <v>0</v>
      </c>
      <c r="R133" s="151">
        <f t="shared" si="21"/>
        <v>65.93496878876735</v>
      </c>
      <c r="S133" s="130">
        <f t="shared" si="22"/>
        <v>-6.5031211232650321E-2</v>
      </c>
      <c r="T133" s="150">
        <f t="shared" si="17"/>
        <v>0</v>
      </c>
      <c r="V133" s="12"/>
    </row>
    <row r="134" spans="1:22" x14ac:dyDescent="0.25">
      <c r="A134" s="49">
        <f>'A) Base RI'!A135</f>
        <v>5623</v>
      </c>
      <c r="B134" s="350" t="str">
        <f>'A) Base RI'!B135</f>
        <v>Buchillon</v>
      </c>
      <c r="C134" s="410">
        <v>3949023.0559674012</v>
      </c>
      <c r="D134" s="410">
        <v>1748835.0569776727</v>
      </c>
      <c r="E134" s="411">
        <v>0</v>
      </c>
      <c r="F134" s="411">
        <v>-372615.44124696043</v>
      </c>
      <c r="G134" s="411">
        <v>0</v>
      </c>
      <c r="H134" s="352">
        <f t="shared" si="16"/>
        <v>5325242.6716981139</v>
      </c>
      <c r="I134" s="412">
        <v>118338.72603773585</v>
      </c>
      <c r="J134" s="355">
        <f>'B) D RI'!U135</f>
        <v>89779.897358490547</v>
      </c>
      <c r="K134" s="65">
        <f t="shared" si="23"/>
        <v>45.000000000000007</v>
      </c>
      <c r="L134" s="33">
        <f>'B) D RI'!S135</f>
        <v>53</v>
      </c>
      <c r="M134" s="33">
        <f t="shared" si="18"/>
        <v>7.9999999999999929</v>
      </c>
      <c r="N134" s="33">
        <f>'J) Plafonnement effort'!G133+'J) Plafonnement effort'!H133-'K) Plafonnement aide'!I133</f>
        <v>45</v>
      </c>
      <c r="O134" s="130">
        <f t="shared" si="19"/>
        <v>52.999999999999993</v>
      </c>
      <c r="P134" s="47">
        <f t="shared" si="20"/>
        <v>0</v>
      </c>
      <c r="Q134" s="57">
        <f t="shared" si="24"/>
        <v>0</v>
      </c>
      <c r="R134" s="151">
        <f t="shared" si="21"/>
        <v>52.999999999999993</v>
      </c>
      <c r="S134" s="130">
        <f t="shared" si="22"/>
        <v>0</v>
      </c>
      <c r="T134" s="150">
        <f t="shared" si="17"/>
        <v>0</v>
      </c>
      <c r="V134" s="12"/>
    </row>
    <row r="135" spans="1:22" x14ac:dyDescent="0.25">
      <c r="A135" s="49">
        <f>'A) Base RI'!A136</f>
        <v>5624</v>
      </c>
      <c r="B135" s="350" t="str">
        <f>'A) Base RI'!B136</f>
        <v>Bussigny</v>
      </c>
      <c r="C135" s="410">
        <v>7252605.1112402212</v>
      </c>
      <c r="D135" s="410">
        <v>3061276.78064036</v>
      </c>
      <c r="E135" s="411">
        <v>0</v>
      </c>
      <c r="F135" s="411">
        <v>0</v>
      </c>
      <c r="G135" s="411">
        <v>0</v>
      </c>
      <c r="H135" s="352">
        <f t="shared" ref="H135:H198" si="25">SUM(C135:G135)</f>
        <v>10313881.891880581</v>
      </c>
      <c r="I135" s="412">
        <v>383784.23111111118</v>
      </c>
      <c r="J135" s="355">
        <f>'B) D RI'!U136</f>
        <v>397950.93625000003</v>
      </c>
      <c r="K135" s="65">
        <f t="shared" si="23"/>
        <v>26.874167971988825</v>
      </c>
      <c r="L135" s="33">
        <f>'B) D RI'!S136</f>
        <v>64</v>
      </c>
      <c r="M135" s="33">
        <f t="shared" si="18"/>
        <v>37.125832028011175</v>
      </c>
      <c r="N135" s="33">
        <f>'J) Plafonnement effort'!G134+'J) Plafonnement effort'!H134-'K) Plafonnement aide'!I134</f>
        <v>25.312419726916399</v>
      </c>
      <c r="O135" s="130">
        <f t="shared" si="19"/>
        <v>62.438251754927578</v>
      </c>
      <c r="P135" s="47">
        <f t="shared" si="20"/>
        <v>0</v>
      </c>
      <c r="Q135" s="57">
        <f t="shared" si="24"/>
        <v>0</v>
      </c>
      <c r="R135" s="151">
        <f t="shared" si="21"/>
        <v>62.438251754927578</v>
      </c>
      <c r="S135" s="130">
        <f t="shared" si="22"/>
        <v>-1.5617482450724225</v>
      </c>
      <c r="T135" s="150">
        <f t="shared" ref="T135:T198" si="26">+C135+D135+E135+F135+G135-H135</f>
        <v>0</v>
      </c>
      <c r="V135" s="12"/>
    </row>
    <row r="136" spans="1:22" x14ac:dyDescent="0.25">
      <c r="A136" s="49">
        <f>'A) Base RI'!A137</f>
        <v>5625</v>
      </c>
      <c r="B136" s="350" t="str">
        <f>'A) Base RI'!B137</f>
        <v>Bussy-Chardonney</v>
      </c>
      <c r="C136" s="410">
        <v>263574.41611392424</v>
      </c>
      <c r="D136" s="410">
        <v>136208.93733834528</v>
      </c>
      <c r="E136" s="411">
        <v>0</v>
      </c>
      <c r="F136" s="411">
        <v>0</v>
      </c>
      <c r="G136" s="411">
        <v>0</v>
      </c>
      <c r="H136" s="352">
        <f t="shared" si="25"/>
        <v>399783.35345226951</v>
      </c>
      <c r="I136" s="412">
        <v>13516.350747863249</v>
      </c>
      <c r="J136" s="355">
        <f>'B) D RI'!U137</f>
        <v>16807.989913419911</v>
      </c>
      <c r="K136" s="65">
        <f t="shared" si="23"/>
        <v>29.577758147144102</v>
      </c>
      <c r="L136" s="33">
        <f>'B) D RI'!S137</f>
        <v>77</v>
      </c>
      <c r="M136" s="33">
        <f t="shared" si="18"/>
        <v>47.422241852855898</v>
      </c>
      <c r="N136" s="33">
        <f>'J) Plafonnement effort'!G135+'J) Plafonnement effort'!H135-'K) Plafonnement aide'!I135</f>
        <v>30.566002277346172</v>
      </c>
      <c r="O136" s="130">
        <f t="shared" si="19"/>
        <v>77.988244130202077</v>
      </c>
      <c r="P136" s="47">
        <f t="shared" si="20"/>
        <v>0</v>
      </c>
      <c r="Q136" s="57">
        <f t="shared" si="24"/>
        <v>0</v>
      </c>
      <c r="R136" s="151">
        <f t="shared" si="21"/>
        <v>77.988244130202077</v>
      </c>
      <c r="S136" s="130">
        <f t="shared" si="22"/>
        <v>0.98824413020207658</v>
      </c>
      <c r="T136" s="150">
        <f t="shared" si="26"/>
        <v>0</v>
      </c>
      <c r="V136" s="12"/>
    </row>
    <row r="137" spans="1:22" x14ac:dyDescent="0.25">
      <c r="A137" s="49">
        <f>'A) Base RI'!A138</f>
        <v>5627</v>
      </c>
      <c r="B137" s="350" t="str">
        <f>'A) Base RI'!B138</f>
        <v>Chavannes-près-Renens</v>
      </c>
      <c r="C137" s="410">
        <v>3310375.6673193788</v>
      </c>
      <c r="D137" s="410">
        <v>-4113458.7471883926</v>
      </c>
      <c r="E137" s="411">
        <v>0</v>
      </c>
      <c r="F137" s="411">
        <v>0</v>
      </c>
      <c r="G137" s="411">
        <v>0</v>
      </c>
      <c r="H137" s="352">
        <f t="shared" si="25"/>
        <v>-803083.07986901375</v>
      </c>
      <c r="I137" s="412">
        <v>182156.43953586498</v>
      </c>
      <c r="J137" s="355">
        <f>'B) D RI'!U138</f>
        <v>211976.34008438818</v>
      </c>
      <c r="K137" s="65">
        <f t="shared" si="23"/>
        <v>-4.4087548149012532</v>
      </c>
      <c r="L137" s="33">
        <f>'B) D RI'!S138</f>
        <v>79</v>
      </c>
      <c r="M137" s="33">
        <f t="shared" si="18"/>
        <v>83.408754814901258</v>
      </c>
      <c r="N137" s="33">
        <f>'J) Plafonnement effort'!G136+'J) Plafonnement effort'!H136-'K) Plafonnement aide'!I136</f>
        <v>-0.28693329487657149</v>
      </c>
      <c r="O137" s="130">
        <f t="shared" si="19"/>
        <v>83.121821520024682</v>
      </c>
      <c r="P137" s="47">
        <f t="shared" si="20"/>
        <v>0</v>
      </c>
      <c r="Q137" s="57">
        <f t="shared" si="24"/>
        <v>0</v>
      </c>
      <c r="R137" s="151">
        <f t="shared" si="21"/>
        <v>83.121821520024682</v>
      </c>
      <c r="S137" s="130">
        <f t="shared" si="22"/>
        <v>4.1218215200246817</v>
      </c>
      <c r="T137" s="150">
        <f t="shared" si="26"/>
        <v>0</v>
      </c>
      <c r="V137" s="12"/>
    </row>
    <row r="138" spans="1:22" x14ac:dyDescent="0.25">
      <c r="A138" s="49">
        <f>'A) Base RI'!A139</f>
        <v>5628</v>
      </c>
      <c r="B138" s="350" t="str">
        <f>'A) Base RI'!B139</f>
        <v>Chigny</v>
      </c>
      <c r="C138" s="410">
        <v>636094.25534406211</v>
      </c>
      <c r="D138" s="410">
        <v>452377.07115657581</v>
      </c>
      <c r="E138" s="411">
        <v>0</v>
      </c>
      <c r="F138" s="411">
        <v>0</v>
      </c>
      <c r="G138" s="411">
        <v>0</v>
      </c>
      <c r="H138" s="352">
        <f t="shared" si="25"/>
        <v>1088471.3265006379</v>
      </c>
      <c r="I138" s="412">
        <v>27139.331451612899</v>
      </c>
      <c r="J138" s="355">
        <f>'B) D RI'!U139</f>
        <v>22390.960806451614</v>
      </c>
      <c r="K138" s="65">
        <f t="shared" si="23"/>
        <v>40.106784813077986</v>
      </c>
      <c r="L138" s="33">
        <f>'B) D RI'!S139</f>
        <v>62</v>
      </c>
      <c r="M138" s="33">
        <f t="shared" si="18"/>
        <v>21.893215186922014</v>
      </c>
      <c r="N138" s="33">
        <f>'J) Plafonnement effort'!G137+'J) Plafonnement effort'!H137-'K) Plafonnement aide'!I137</f>
        <v>38.756402690125284</v>
      </c>
      <c r="O138" s="130">
        <f t="shared" si="19"/>
        <v>60.649617877047298</v>
      </c>
      <c r="P138" s="47">
        <f t="shared" si="20"/>
        <v>0</v>
      </c>
      <c r="Q138" s="57">
        <f t="shared" si="24"/>
        <v>0</v>
      </c>
      <c r="R138" s="151">
        <f t="shared" si="21"/>
        <v>60.649617877047298</v>
      </c>
      <c r="S138" s="130">
        <f t="shared" si="22"/>
        <v>-1.350382122952702</v>
      </c>
      <c r="T138" s="150">
        <f t="shared" si="26"/>
        <v>0</v>
      </c>
      <c r="V138" s="12"/>
    </row>
    <row r="139" spans="1:22" x14ac:dyDescent="0.25">
      <c r="A139" s="49">
        <f>'A) Base RI'!A140</f>
        <v>5629</v>
      </c>
      <c r="B139" s="350" t="str">
        <f>'A) Base RI'!B140</f>
        <v>Clarmont</v>
      </c>
      <c r="C139" s="410">
        <v>131815.70658534818</v>
      </c>
      <c r="D139" s="410">
        <v>77356.732890704763</v>
      </c>
      <c r="E139" s="411">
        <v>0</v>
      </c>
      <c r="F139" s="411">
        <v>0</v>
      </c>
      <c r="G139" s="411">
        <v>0</v>
      </c>
      <c r="H139" s="352">
        <f t="shared" si="25"/>
        <v>209172.43947605294</v>
      </c>
      <c r="I139" s="412">
        <v>6960.0919999999987</v>
      </c>
      <c r="J139" s="355">
        <f>'B) D RI'!U140</f>
        <v>6767.1243999999997</v>
      </c>
      <c r="K139" s="65">
        <f t="shared" si="23"/>
        <v>30.053114165165198</v>
      </c>
      <c r="L139" s="33">
        <f>'B) D RI'!S140</f>
        <v>75</v>
      </c>
      <c r="M139" s="33">
        <f t="shared" si="18"/>
        <v>44.946885834834802</v>
      </c>
      <c r="N139" s="33">
        <f>'J) Plafonnement effort'!G138+'J) Plafonnement effort'!H138-'K) Plafonnement aide'!I138</f>
        <v>24.462121239890422</v>
      </c>
      <c r="O139" s="130">
        <f t="shared" si="19"/>
        <v>69.409007074725224</v>
      </c>
      <c r="P139" s="47">
        <f t="shared" si="20"/>
        <v>0</v>
      </c>
      <c r="Q139" s="57">
        <f t="shared" si="24"/>
        <v>0</v>
      </c>
      <c r="R139" s="151">
        <f t="shared" si="21"/>
        <v>69.409007074725224</v>
      </c>
      <c r="S139" s="130">
        <f t="shared" si="22"/>
        <v>-5.5909929252747759</v>
      </c>
      <c r="T139" s="150">
        <f t="shared" si="26"/>
        <v>0</v>
      </c>
      <c r="V139" s="12"/>
    </row>
    <row r="140" spans="1:22" x14ac:dyDescent="0.25">
      <c r="A140" s="49">
        <f>'A) Base RI'!A141</f>
        <v>5631</v>
      </c>
      <c r="B140" s="350" t="str">
        <f>'A) Base RI'!B141</f>
        <v>Denens</v>
      </c>
      <c r="C140" s="410">
        <v>807652.57012702059</v>
      </c>
      <c r="D140" s="410">
        <v>750493.83283241617</v>
      </c>
      <c r="E140" s="411">
        <v>0</v>
      </c>
      <c r="F140" s="411">
        <v>0</v>
      </c>
      <c r="G140" s="411">
        <v>0</v>
      </c>
      <c r="H140" s="352">
        <f t="shared" si="25"/>
        <v>1558146.4029594366</v>
      </c>
      <c r="I140" s="412">
        <v>43908.937857142853</v>
      </c>
      <c r="J140" s="355">
        <f>'B) D RI'!U141</f>
        <v>51475.873428571431</v>
      </c>
      <c r="K140" s="65">
        <f t="shared" si="23"/>
        <v>35.4858595766731</v>
      </c>
      <c r="L140" s="33">
        <f>'B) D RI'!S141</f>
        <v>70</v>
      </c>
      <c r="M140" s="33">
        <f t="shared" si="18"/>
        <v>34.5141404233269</v>
      </c>
      <c r="N140" s="33">
        <f>'J) Plafonnement effort'!G139+'J) Plafonnement effort'!H139-'K) Plafonnement aide'!I139</f>
        <v>39.681477843822435</v>
      </c>
      <c r="O140" s="130">
        <f t="shared" si="19"/>
        <v>74.195618267149342</v>
      </c>
      <c r="P140" s="47">
        <f t="shared" si="20"/>
        <v>0</v>
      </c>
      <c r="Q140" s="57">
        <f t="shared" si="24"/>
        <v>0</v>
      </c>
      <c r="R140" s="151">
        <f t="shared" si="21"/>
        <v>74.195618267149342</v>
      </c>
      <c r="S140" s="130">
        <f t="shared" si="22"/>
        <v>4.1956182671493423</v>
      </c>
      <c r="T140" s="150">
        <f t="shared" si="26"/>
        <v>0</v>
      </c>
      <c r="V140" s="12"/>
    </row>
    <row r="141" spans="1:22" x14ac:dyDescent="0.25">
      <c r="A141" s="49">
        <f>'A) Base RI'!A142</f>
        <v>5632</v>
      </c>
      <c r="B141" s="350" t="str">
        <f>'A) Base RI'!B142</f>
        <v>Denges</v>
      </c>
      <c r="C141" s="410">
        <v>1266253.605525515</v>
      </c>
      <c r="D141" s="410">
        <v>942672.54664632818</v>
      </c>
      <c r="E141" s="411">
        <v>0</v>
      </c>
      <c r="F141" s="411">
        <v>0</v>
      </c>
      <c r="G141" s="411">
        <v>0</v>
      </c>
      <c r="H141" s="352">
        <f t="shared" si="25"/>
        <v>2208926.1521718432</v>
      </c>
      <c r="I141" s="412">
        <v>69010.195161290321</v>
      </c>
      <c r="J141" s="355">
        <f>'B) D RI'!U142</f>
        <v>72992.009193548365</v>
      </c>
      <c r="K141" s="65">
        <f t="shared" si="23"/>
        <v>32.00869302005524</v>
      </c>
      <c r="L141" s="33">
        <f>'B) D RI'!S142</f>
        <v>62</v>
      </c>
      <c r="M141" s="33">
        <f t="shared" si="18"/>
        <v>29.99130697994476</v>
      </c>
      <c r="N141" s="33">
        <f>'J) Plafonnement effort'!G140+'J) Plafonnement effort'!H140-'K) Plafonnement aide'!I140</f>
        <v>29.633747375086042</v>
      </c>
      <c r="O141" s="130">
        <f t="shared" si="19"/>
        <v>59.625054355030798</v>
      </c>
      <c r="P141" s="47">
        <f t="shared" si="20"/>
        <v>0</v>
      </c>
      <c r="Q141" s="57">
        <f t="shared" si="24"/>
        <v>0</v>
      </c>
      <c r="R141" s="151">
        <f t="shared" si="21"/>
        <v>59.625054355030798</v>
      </c>
      <c r="S141" s="130">
        <f t="shared" si="22"/>
        <v>-2.3749456449692019</v>
      </c>
      <c r="T141" s="150">
        <f t="shared" si="26"/>
        <v>0</v>
      </c>
      <c r="V141" s="12"/>
    </row>
    <row r="142" spans="1:22" x14ac:dyDescent="0.25">
      <c r="A142" s="49">
        <f>'A) Base RI'!A143</f>
        <v>5633</v>
      </c>
      <c r="B142" s="350" t="str">
        <f>'A) Base RI'!B143</f>
        <v>Echandens</v>
      </c>
      <c r="C142" s="410">
        <v>2233699.6101071974</v>
      </c>
      <c r="D142" s="410">
        <v>1912586.9533985597</v>
      </c>
      <c r="E142" s="411">
        <v>0</v>
      </c>
      <c r="F142" s="411">
        <v>0</v>
      </c>
      <c r="G142" s="411">
        <v>0</v>
      </c>
      <c r="H142" s="352">
        <f t="shared" si="25"/>
        <v>4146286.5635057571</v>
      </c>
      <c r="I142" s="412">
        <v>138978.74822580643</v>
      </c>
      <c r="J142" s="355">
        <f>'B) D RI'!U143</f>
        <v>160902.30048387093</v>
      </c>
      <c r="K142" s="65">
        <f t="shared" si="23"/>
        <v>29.833961065536847</v>
      </c>
      <c r="L142" s="33">
        <f>'B) D RI'!S143</f>
        <v>62</v>
      </c>
      <c r="M142" s="33">
        <f t="shared" si="18"/>
        <v>32.166038934463153</v>
      </c>
      <c r="N142" s="33">
        <f>'J) Plafonnement effort'!G141+'J) Plafonnement effort'!H141-'K) Plafonnement aide'!I141</f>
        <v>31.266748496360478</v>
      </c>
      <c r="O142" s="130">
        <f t="shared" si="19"/>
        <v>63.43278743082363</v>
      </c>
      <c r="P142" s="47">
        <f t="shared" si="20"/>
        <v>0</v>
      </c>
      <c r="Q142" s="57">
        <f t="shared" si="24"/>
        <v>0</v>
      </c>
      <c r="R142" s="151">
        <f t="shared" si="21"/>
        <v>63.43278743082363</v>
      </c>
      <c r="S142" s="130">
        <f t="shared" si="22"/>
        <v>1.4327874308236304</v>
      </c>
      <c r="T142" s="150">
        <f t="shared" si="26"/>
        <v>0</v>
      </c>
      <c r="V142" s="12"/>
    </row>
    <row r="143" spans="1:22" x14ac:dyDescent="0.25">
      <c r="A143" s="49">
        <f>'A) Base RI'!A144</f>
        <v>5634</v>
      </c>
      <c r="B143" s="350" t="str">
        <f>'A) Base RI'!B144</f>
        <v>Echichens</v>
      </c>
      <c r="C143" s="410">
        <v>3123866.1895712726</v>
      </c>
      <c r="D143" s="410">
        <v>2452141.4655856867</v>
      </c>
      <c r="E143" s="411">
        <v>0</v>
      </c>
      <c r="F143" s="411">
        <v>0</v>
      </c>
      <c r="G143" s="411">
        <v>0</v>
      </c>
      <c r="H143" s="352">
        <f t="shared" si="25"/>
        <v>5576007.6551569588</v>
      </c>
      <c r="I143" s="412">
        <v>173327.76338235298</v>
      </c>
      <c r="J143" s="355">
        <f>'B) D RI'!U144</f>
        <v>173253.00779411764</v>
      </c>
      <c r="K143" s="65">
        <f t="shared" si="23"/>
        <v>32.170308704996934</v>
      </c>
      <c r="L143" s="33">
        <f>'B) D RI'!S144</f>
        <v>68</v>
      </c>
      <c r="M143" s="33">
        <f t="shared" si="18"/>
        <v>35.829691295003066</v>
      </c>
      <c r="N143" s="33">
        <f>'J) Plafonnement effort'!G142+'J) Plafonnement effort'!H142-'K) Plafonnement aide'!I142</f>
        <v>35.689902897223625</v>
      </c>
      <c r="O143" s="130">
        <f t="shared" si="19"/>
        <v>71.519594192226691</v>
      </c>
      <c r="P143" s="47">
        <f t="shared" si="20"/>
        <v>0</v>
      </c>
      <c r="Q143" s="57">
        <f t="shared" si="24"/>
        <v>0</v>
      </c>
      <c r="R143" s="151">
        <f t="shared" si="21"/>
        <v>71.519594192226691</v>
      </c>
      <c r="S143" s="130">
        <f t="shared" si="22"/>
        <v>3.5195941922266911</v>
      </c>
      <c r="T143" s="150">
        <f t="shared" si="26"/>
        <v>0</v>
      </c>
      <c r="V143" s="12"/>
    </row>
    <row r="144" spans="1:22" x14ac:dyDescent="0.25">
      <c r="A144" s="49">
        <f>'A) Base RI'!A145</f>
        <v>5635</v>
      </c>
      <c r="B144" s="350" t="str">
        <f>'A) Base RI'!B145</f>
        <v>Ecublens</v>
      </c>
      <c r="C144" s="410">
        <v>7769258.7631792072</v>
      </c>
      <c r="D144" s="410">
        <v>-1758071.5116443615</v>
      </c>
      <c r="E144" s="411">
        <v>0</v>
      </c>
      <c r="F144" s="411">
        <v>0</v>
      </c>
      <c r="G144" s="411">
        <v>0</v>
      </c>
      <c r="H144" s="352">
        <f t="shared" si="25"/>
        <v>6011187.2515348457</v>
      </c>
      <c r="I144" s="412">
        <v>437106.29065104178</v>
      </c>
      <c r="J144" s="355">
        <f>'B) D RI'!U145</f>
        <v>489428.14554687496</v>
      </c>
      <c r="K144" s="65">
        <f t="shared" si="23"/>
        <v>13.752232306200781</v>
      </c>
      <c r="L144" s="33">
        <f>'B) D RI'!S145</f>
        <v>64</v>
      </c>
      <c r="M144" s="33">
        <f t="shared" si="18"/>
        <v>50.247767693799219</v>
      </c>
      <c r="N144" s="33">
        <f>'J) Plafonnement effort'!G143+'J) Plafonnement effort'!H143-'K) Plafonnement aide'!I143</f>
        <v>12.352823485280769</v>
      </c>
      <c r="O144" s="130">
        <f t="shared" si="19"/>
        <v>62.600591179079984</v>
      </c>
      <c r="P144" s="47">
        <f t="shared" si="20"/>
        <v>0</v>
      </c>
      <c r="Q144" s="57">
        <f t="shared" si="24"/>
        <v>0</v>
      </c>
      <c r="R144" s="151">
        <f t="shared" si="21"/>
        <v>62.600591179079984</v>
      </c>
      <c r="S144" s="130">
        <f t="shared" si="22"/>
        <v>-1.3994088209200157</v>
      </c>
      <c r="T144" s="150">
        <f t="shared" si="26"/>
        <v>0</v>
      </c>
      <c r="V144" s="12"/>
    </row>
    <row r="145" spans="1:22" x14ac:dyDescent="0.25">
      <c r="A145" s="49">
        <f>'A) Base RI'!A146</f>
        <v>5636</v>
      </c>
      <c r="B145" s="350" t="str">
        <f>'A) Base RI'!B146</f>
        <v>Etoy</v>
      </c>
      <c r="C145" s="410">
        <v>4314838.4070368819</v>
      </c>
      <c r="D145" s="410">
        <v>2709205.5773848933</v>
      </c>
      <c r="E145" s="411">
        <v>0</v>
      </c>
      <c r="F145" s="411">
        <v>0</v>
      </c>
      <c r="G145" s="411">
        <v>0</v>
      </c>
      <c r="H145" s="352">
        <f t="shared" si="25"/>
        <v>7024043.9844217747</v>
      </c>
      <c r="I145" s="412">
        <v>187871.92573770491</v>
      </c>
      <c r="J145" s="355">
        <f>'B) D RI'!U146</f>
        <v>176252.1018032787</v>
      </c>
      <c r="K145" s="65">
        <f t="shared" si="23"/>
        <v>37.387406111056251</v>
      </c>
      <c r="L145" s="33">
        <f>'B) D RI'!S146</f>
        <v>61</v>
      </c>
      <c r="M145" s="33">
        <f t="shared" si="18"/>
        <v>23.612593888943749</v>
      </c>
      <c r="N145" s="33">
        <f>'J) Plafonnement effort'!G144+'J) Plafonnement effort'!H144-'K) Plafonnement aide'!I144</f>
        <v>35.732508551580729</v>
      </c>
      <c r="O145" s="130">
        <f t="shared" si="19"/>
        <v>59.345102440524478</v>
      </c>
      <c r="P145" s="47">
        <f t="shared" si="20"/>
        <v>0</v>
      </c>
      <c r="Q145" s="57">
        <f t="shared" si="24"/>
        <v>0</v>
      </c>
      <c r="R145" s="151">
        <f t="shared" si="21"/>
        <v>59.345102440524478</v>
      </c>
      <c r="S145" s="130">
        <f t="shared" si="22"/>
        <v>-1.654897559475522</v>
      </c>
      <c r="T145" s="150">
        <f t="shared" si="26"/>
        <v>0</v>
      </c>
      <c r="V145" s="12"/>
    </row>
    <row r="146" spans="1:22" x14ac:dyDescent="0.25">
      <c r="A146" s="49">
        <f>'A) Base RI'!A147</f>
        <v>5637</v>
      </c>
      <c r="B146" s="350" t="str">
        <f>'A) Base RI'!B147</f>
        <v>Lavigny</v>
      </c>
      <c r="C146" s="410">
        <v>660722.2461632567</v>
      </c>
      <c r="D146" s="410">
        <v>378945.95496993209</v>
      </c>
      <c r="E146" s="411">
        <v>0</v>
      </c>
      <c r="F146" s="411">
        <v>0</v>
      </c>
      <c r="G146" s="411">
        <v>0</v>
      </c>
      <c r="H146" s="352">
        <f t="shared" si="25"/>
        <v>1039668.2011331888</v>
      </c>
      <c r="I146" s="412">
        <v>35857.018299776282</v>
      </c>
      <c r="J146" s="355">
        <f>'B) D RI'!U147</f>
        <v>37192.899776286358</v>
      </c>
      <c r="K146" s="65">
        <f t="shared" si="23"/>
        <v>28.99483142857072</v>
      </c>
      <c r="L146" s="33">
        <f>'B) D RI'!S147</f>
        <v>74.5</v>
      </c>
      <c r="M146" s="33">
        <f t="shared" si="18"/>
        <v>45.50516857142928</v>
      </c>
      <c r="N146" s="33">
        <f>'J) Plafonnement effort'!G145+'J) Plafonnement effort'!H145-'K) Plafonnement aide'!I145</f>
        <v>24.008045388392198</v>
      </c>
      <c r="O146" s="130">
        <f t="shared" si="19"/>
        <v>69.513213959821485</v>
      </c>
      <c r="P146" s="47">
        <f t="shared" si="20"/>
        <v>0</v>
      </c>
      <c r="Q146" s="57">
        <f t="shared" si="24"/>
        <v>0</v>
      </c>
      <c r="R146" s="151">
        <f t="shared" si="21"/>
        <v>69.513213959821485</v>
      </c>
      <c r="S146" s="130">
        <f t="shared" si="22"/>
        <v>-4.9867860401785151</v>
      </c>
      <c r="T146" s="150">
        <f t="shared" si="26"/>
        <v>0</v>
      </c>
      <c r="V146" s="12"/>
    </row>
    <row r="147" spans="1:22" x14ac:dyDescent="0.25">
      <c r="A147" s="49">
        <f>'A) Base RI'!A148</f>
        <v>5638</v>
      </c>
      <c r="B147" s="350" t="str">
        <f>'A) Base RI'!B148</f>
        <v>Lonay</v>
      </c>
      <c r="C147" s="410">
        <v>4122069.2522953604</v>
      </c>
      <c r="D147" s="410">
        <v>2452611.9549875832</v>
      </c>
      <c r="E147" s="411">
        <v>0</v>
      </c>
      <c r="F147" s="411">
        <v>0</v>
      </c>
      <c r="G147" s="411">
        <v>0</v>
      </c>
      <c r="H147" s="352">
        <f t="shared" si="25"/>
        <v>6574681.2072829437</v>
      </c>
      <c r="I147" s="412">
        <v>168179.65436363633</v>
      </c>
      <c r="J147" s="355">
        <f>'B) D RI'!U148</f>
        <v>157137.98454545456</v>
      </c>
      <c r="K147" s="65">
        <f t="shared" si="23"/>
        <v>39.09320204135534</v>
      </c>
      <c r="L147" s="33">
        <f>'B) D RI'!S148</f>
        <v>55</v>
      </c>
      <c r="M147" s="33">
        <f t="shared" si="18"/>
        <v>15.90679795864466</v>
      </c>
      <c r="N147" s="33">
        <f>'J) Plafonnement effort'!G146+'J) Plafonnement effort'!H146-'K) Plafonnement aide'!I146</f>
        <v>40.499070508914144</v>
      </c>
      <c r="O147" s="130">
        <f t="shared" si="19"/>
        <v>56.405868467558804</v>
      </c>
      <c r="P147" s="47">
        <f t="shared" si="20"/>
        <v>0</v>
      </c>
      <c r="Q147" s="57">
        <f t="shared" si="24"/>
        <v>0</v>
      </c>
      <c r="R147" s="151">
        <f t="shared" si="21"/>
        <v>56.405868467558804</v>
      </c>
      <c r="S147" s="130">
        <f t="shared" si="22"/>
        <v>1.405868467558804</v>
      </c>
      <c r="T147" s="150">
        <f t="shared" si="26"/>
        <v>0</v>
      </c>
      <c r="V147" s="12"/>
    </row>
    <row r="148" spans="1:22" x14ac:dyDescent="0.25">
      <c r="A148" s="49">
        <f>'A) Base RI'!A149</f>
        <v>5639</v>
      </c>
      <c r="B148" s="350" t="str">
        <f>'A) Base RI'!B149</f>
        <v>Lully</v>
      </c>
      <c r="C148" s="410">
        <v>843525.58371613582</v>
      </c>
      <c r="D148" s="410">
        <v>798750.06645133637</v>
      </c>
      <c r="E148" s="411">
        <v>0</v>
      </c>
      <c r="F148" s="411">
        <v>0</v>
      </c>
      <c r="G148" s="411">
        <v>0</v>
      </c>
      <c r="H148" s="352">
        <f t="shared" si="25"/>
        <v>1642275.6501674722</v>
      </c>
      <c r="I148" s="412">
        <v>46761.274262295083</v>
      </c>
      <c r="J148" s="355">
        <f>'B) D RI'!U149</f>
        <v>47176.43180327869</v>
      </c>
      <c r="K148" s="65">
        <f t="shared" si="23"/>
        <v>35.120421247623803</v>
      </c>
      <c r="L148" s="33">
        <f>'B) D RI'!S149</f>
        <v>61</v>
      </c>
      <c r="M148" s="33">
        <f t="shared" si="18"/>
        <v>25.879578752376197</v>
      </c>
      <c r="N148" s="33">
        <f>'J) Plafonnement effort'!G147+'J) Plafonnement effort'!H147-'K) Plafonnement aide'!I147</f>
        <v>36.250645198272366</v>
      </c>
      <c r="O148" s="130">
        <f t="shared" si="19"/>
        <v>62.130223950648563</v>
      </c>
      <c r="P148" s="47">
        <f t="shared" si="20"/>
        <v>0</v>
      </c>
      <c r="Q148" s="57">
        <f t="shared" si="24"/>
        <v>0</v>
      </c>
      <c r="R148" s="151">
        <f t="shared" si="21"/>
        <v>62.130223950648563</v>
      </c>
      <c r="S148" s="130">
        <f t="shared" si="22"/>
        <v>1.1302239506485634</v>
      </c>
      <c r="T148" s="150">
        <f t="shared" si="26"/>
        <v>0</v>
      </c>
      <c r="V148" s="12"/>
    </row>
    <row r="149" spans="1:22" x14ac:dyDescent="0.25">
      <c r="A149" s="49">
        <f>'A) Base RI'!A150</f>
        <v>5640</v>
      </c>
      <c r="B149" s="350" t="str">
        <f>'A) Base RI'!B150</f>
        <v>Lussy-sur-Morges</v>
      </c>
      <c r="C149" s="410">
        <v>1290035.2927365596</v>
      </c>
      <c r="D149" s="410">
        <v>881967.12833071453</v>
      </c>
      <c r="E149" s="411">
        <v>0</v>
      </c>
      <c r="F149" s="411">
        <v>0</v>
      </c>
      <c r="G149" s="411">
        <v>0</v>
      </c>
      <c r="H149" s="352">
        <f t="shared" si="25"/>
        <v>2172002.4210672742</v>
      </c>
      <c r="I149" s="412">
        <v>53028.3909090909</v>
      </c>
      <c r="J149" s="355">
        <f>'B) D RI'!U150</f>
        <v>61400.456666666665</v>
      </c>
      <c r="K149" s="65">
        <f t="shared" si="23"/>
        <v>40.95923681317884</v>
      </c>
      <c r="L149" s="33">
        <f>'B) D RI'!S150</f>
        <v>66</v>
      </c>
      <c r="M149" s="33">
        <f t="shared" si="18"/>
        <v>25.04076318682116</v>
      </c>
      <c r="N149" s="33">
        <f>'J) Plafonnement effort'!G148+'J) Plafonnement effort'!H148-'K) Plafonnement aide'!I148</f>
        <v>45</v>
      </c>
      <c r="O149" s="130">
        <f t="shared" si="19"/>
        <v>70.040763186821152</v>
      </c>
      <c r="P149" s="47">
        <f t="shared" si="20"/>
        <v>0</v>
      </c>
      <c r="Q149" s="57">
        <f t="shared" si="24"/>
        <v>0</v>
      </c>
      <c r="R149" s="151">
        <f t="shared" si="21"/>
        <v>70.040763186821152</v>
      </c>
      <c r="S149" s="130">
        <f t="shared" si="22"/>
        <v>4.0407631868211524</v>
      </c>
      <c r="T149" s="150">
        <f t="shared" si="26"/>
        <v>0</v>
      </c>
      <c r="V149" s="12"/>
    </row>
    <row r="150" spans="1:22" x14ac:dyDescent="0.25">
      <c r="A150" s="49">
        <f>'A) Base RI'!A151</f>
        <v>5642</v>
      </c>
      <c r="B150" s="350" t="str">
        <f>'A) Base RI'!B151</f>
        <v>Morges</v>
      </c>
      <c r="C150" s="410">
        <v>14814467.863221817</v>
      </c>
      <c r="D150" s="410">
        <v>3910406.2806570772</v>
      </c>
      <c r="E150" s="411">
        <v>0</v>
      </c>
      <c r="F150" s="411">
        <v>0</v>
      </c>
      <c r="G150" s="411">
        <v>0</v>
      </c>
      <c r="H150" s="352">
        <f t="shared" si="25"/>
        <v>18724874.143878892</v>
      </c>
      <c r="I150" s="412">
        <v>759222.5945985401</v>
      </c>
      <c r="J150" s="355">
        <f>'B) D RI'!U151</f>
        <v>842114.79489051085</v>
      </c>
      <c r="K150" s="65">
        <f t="shared" si="23"/>
        <v>24.663220348151238</v>
      </c>
      <c r="L150" s="33">
        <f>'B) D RI'!S151</f>
        <v>68.5</v>
      </c>
      <c r="M150" s="33">
        <f t="shared" si="18"/>
        <v>43.836779651848758</v>
      </c>
      <c r="N150" s="33">
        <f>'J) Plafonnement effort'!G149+'J) Plafonnement effort'!H149-'K) Plafonnement aide'!I149</f>
        <v>26.349843404136124</v>
      </c>
      <c r="O150" s="130">
        <f t="shared" si="19"/>
        <v>70.186623055984882</v>
      </c>
      <c r="P150" s="47">
        <f t="shared" si="20"/>
        <v>0</v>
      </c>
      <c r="Q150" s="57">
        <f t="shared" si="24"/>
        <v>0</v>
      </c>
      <c r="R150" s="151">
        <f t="shared" si="21"/>
        <v>70.186623055984882</v>
      </c>
      <c r="S150" s="130">
        <f t="shared" si="22"/>
        <v>1.6866230559848816</v>
      </c>
      <c r="T150" s="150">
        <f t="shared" si="26"/>
        <v>0</v>
      </c>
      <c r="V150" s="12"/>
    </row>
    <row r="151" spans="1:22" x14ac:dyDescent="0.25">
      <c r="A151" s="49">
        <f>'A) Base RI'!A152</f>
        <v>5643</v>
      </c>
      <c r="B151" s="350" t="str">
        <f>'A) Base RI'!B152</f>
        <v>Préverenges</v>
      </c>
      <c r="C151" s="410">
        <v>4073580.3331436566</v>
      </c>
      <c r="D151" s="410">
        <v>2959363.4548633592</v>
      </c>
      <c r="E151" s="411">
        <v>0</v>
      </c>
      <c r="F151" s="411">
        <v>0</v>
      </c>
      <c r="G151" s="411">
        <v>0</v>
      </c>
      <c r="H151" s="352">
        <f t="shared" si="25"/>
        <v>7032943.7880070154</v>
      </c>
      <c r="I151" s="412">
        <v>260053.614375</v>
      </c>
      <c r="J151" s="355">
        <f>'B) D RI'!U152</f>
        <v>259364.760625</v>
      </c>
      <c r="K151" s="65">
        <f t="shared" si="23"/>
        <v>27.044207037497419</v>
      </c>
      <c r="L151" s="33">
        <f>'B) D RI'!S152</f>
        <v>64</v>
      </c>
      <c r="M151" s="33">
        <f t="shared" si="18"/>
        <v>36.955792962502585</v>
      </c>
      <c r="N151" s="33">
        <f>'J) Plafonnement effort'!G150+'J) Plafonnement effort'!H150-'K) Plafonnement aide'!I150</f>
        <v>31.243788399549615</v>
      </c>
      <c r="O151" s="130">
        <f t="shared" si="19"/>
        <v>68.1995813620522</v>
      </c>
      <c r="P151" s="47">
        <f t="shared" si="20"/>
        <v>0</v>
      </c>
      <c r="Q151" s="57">
        <f t="shared" si="24"/>
        <v>0</v>
      </c>
      <c r="R151" s="151">
        <f t="shared" si="21"/>
        <v>68.1995813620522</v>
      </c>
      <c r="S151" s="130">
        <f t="shared" si="22"/>
        <v>4.1995813620522</v>
      </c>
      <c r="T151" s="150">
        <f t="shared" si="26"/>
        <v>0</v>
      </c>
      <c r="V151" s="12"/>
    </row>
    <row r="152" spans="1:22" x14ac:dyDescent="0.25">
      <c r="A152" s="49">
        <f>'A) Base RI'!A153</f>
        <v>5644</v>
      </c>
      <c r="B152" s="350" t="str">
        <f>'A) Base RI'!B153</f>
        <v>Reverolle</v>
      </c>
      <c r="C152" s="410">
        <v>238373.68412990691</v>
      </c>
      <c r="D152" s="410">
        <v>107011.12738569459</v>
      </c>
      <c r="E152" s="411">
        <v>0</v>
      </c>
      <c r="F152" s="411">
        <v>0</v>
      </c>
      <c r="G152" s="411">
        <v>0</v>
      </c>
      <c r="H152" s="352">
        <f t="shared" si="25"/>
        <v>345384.81151560147</v>
      </c>
      <c r="I152" s="412">
        <v>13341.614868421055</v>
      </c>
      <c r="J152" s="355">
        <f>'B) D RI'!U153</f>
        <v>16859.730657894735</v>
      </c>
      <c r="K152" s="65">
        <f t="shared" si="23"/>
        <v>25.887781570813463</v>
      </c>
      <c r="L152" s="33">
        <f>'B) D RI'!S153</f>
        <v>76</v>
      </c>
      <c r="M152" s="33">
        <f t="shared" si="18"/>
        <v>50.112218429186541</v>
      </c>
      <c r="N152" s="33">
        <f>'J) Plafonnement effort'!G151+'J) Plafonnement effort'!H151-'K) Plafonnement aide'!I151</f>
        <v>27.54027660826609</v>
      </c>
      <c r="O152" s="130">
        <f t="shared" si="19"/>
        <v>77.652495037452638</v>
      </c>
      <c r="P152" s="47">
        <f t="shared" si="20"/>
        <v>0</v>
      </c>
      <c r="Q152" s="57">
        <f t="shared" si="24"/>
        <v>0</v>
      </c>
      <c r="R152" s="151">
        <f t="shared" si="21"/>
        <v>77.652495037452638</v>
      </c>
      <c r="S152" s="130">
        <f t="shared" si="22"/>
        <v>1.6524950374526384</v>
      </c>
      <c r="T152" s="150">
        <f t="shared" si="26"/>
        <v>0</v>
      </c>
      <c r="V152" s="12"/>
    </row>
    <row r="153" spans="1:22" x14ac:dyDescent="0.25">
      <c r="A153" s="49">
        <f>'A) Base RI'!A154</f>
        <v>5645</v>
      </c>
      <c r="B153" s="350" t="str">
        <f>'A) Base RI'!B154</f>
        <v>Romanel-sur-Morges</v>
      </c>
      <c r="C153" s="410">
        <v>484161.02166412631</v>
      </c>
      <c r="D153" s="410">
        <v>455356.63343186962</v>
      </c>
      <c r="E153" s="411">
        <v>0</v>
      </c>
      <c r="F153" s="411">
        <v>0</v>
      </c>
      <c r="G153" s="411">
        <v>0</v>
      </c>
      <c r="H153" s="352">
        <f t="shared" si="25"/>
        <v>939517.65509599587</v>
      </c>
      <c r="I153" s="412">
        <v>26613.952053571436</v>
      </c>
      <c r="J153" s="355">
        <f>'B) D RI'!U154</f>
        <v>29743.552142857145</v>
      </c>
      <c r="K153" s="65">
        <f t="shared" si="23"/>
        <v>35.301696388602238</v>
      </c>
      <c r="L153" s="33">
        <f>'B) D RI'!S154</f>
        <v>56</v>
      </c>
      <c r="M153" s="33">
        <f t="shared" si="18"/>
        <v>20.698303611397762</v>
      </c>
      <c r="N153" s="33">
        <f>'J) Plafonnement effort'!G152+'J) Plafonnement effort'!H152-'K) Plafonnement aide'!I152</f>
        <v>39.195294994466678</v>
      </c>
      <c r="O153" s="130">
        <f t="shared" si="19"/>
        <v>59.89359860586444</v>
      </c>
      <c r="P153" s="47">
        <f t="shared" si="20"/>
        <v>0</v>
      </c>
      <c r="Q153" s="57">
        <f t="shared" si="24"/>
        <v>0</v>
      </c>
      <c r="R153" s="151">
        <f t="shared" si="21"/>
        <v>59.89359860586444</v>
      </c>
      <c r="S153" s="130">
        <f t="shared" si="22"/>
        <v>3.8935986058644403</v>
      </c>
      <c r="T153" s="150">
        <f t="shared" si="26"/>
        <v>0</v>
      </c>
      <c r="V153" s="12"/>
    </row>
    <row r="154" spans="1:22" x14ac:dyDescent="0.25">
      <c r="A154" s="49">
        <f>'A) Base RI'!A155</f>
        <v>5646</v>
      </c>
      <c r="B154" s="350" t="str">
        <f>'A) Base RI'!B155</f>
        <v>Saint-Prex</v>
      </c>
      <c r="C154" s="410">
        <v>12021312.389473176</v>
      </c>
      <c r="D154" s="410">
        <v>6623773.7365378998</v>
      </c>
      <c r="E154" s="411">
        <v>0</v>
      </c>
      <c r="F154" s="411">
        <v>0</v>
      </c>
      <c r="G154" s="411">
        <v>0</v>
      </c>
      <c r="H154" s="352">
        <f t="shared" si="25"/>
        <v>18645086.126011074</v>
      </c>
      <c r="I154" s="412">
        <v>504902.63036363642</v>
      </c>
      <c r="J154" s="355">
        <f>'B) D RI'!U155</f>
        <v>419083.43709090899</v>
      </c>
      <c r="K154" s="65">
        <f t="shared" si="23"/>
        <v>36.928082772281613</v>
      </c>
      <c r="L154" s="33">
        <f>'B) D RI'!S155</f>
        <v>55</v>
      </c>
      <c r="M154" s="33">
        <f t="shared" si="18"/>
        <v>18.071917227718387</v>
      </c>
      <c r="N154" s="33">
        <f>'J) Plafonnement effort'!G153+'J) Plafonnement effort'!H153-'K) Plafonnement aide'!I153</f>
        <v>36.657691727752429</v>
      </c>
      <c r="O154" s="130">
        <f t="shared" si="19"/>
        <v>54.729608955470816</v>
      </c>
      <c r="P154" s="47">
        <f t="shared" si="20"/>
        <v>0</v>
      </c>
      <c r="Q154" s="57">
        <f t="shared" si="24"/>
        <v>0</v>
      </c>
      <c r="R154" s="151">
        <f t="shared" si="21"/>
        <v>54.729608955470816</v>
      </c>
      <c r="S154" s="130">
        <f t="shared" si="22"/>
        <v>-0.27039104452918394</v>
      </c>
      <c r="T154" s="150">
        <f t="shared" si="26"/>
        <v>0</v>
      </c>
      <c r="V154" s="12"/>
    </row>
    <row r="155" spans="1:22" x14ac:dyDescent="0.25">
      <c r="A155" s="49">
        <f>'A) Base RI'!A156</f>
        <v>5648</v>
      </c>
      <c r="B155" s="350" t="str">
        <f>'A) Base RI'!B156</f>
        <v>Saint-Sulpice</v>
      </c>
      <c r="C155" s="410">
        <v>5656073.3299701884</v>
      </c>
      <c r="D155" s="410">
        <v>3537481.5286081382</v>
      </c>
      <c r="E155" s="411">
        <v>0</v>
      </c>
      <c r="F155" s="411">
        <v>0</v>
      </c>
      <c r="G155" s="411">
        <v>0</v>
      </c>
      <c r="H155" s="352">
        <f t="shared" si="25"/>
        <v>9193554.8585783262</v>
      </c>
      <c r="I155" s="412">
        <v>275285.22849999997</v>
      </c>
      <c r="J155" s="355">
        <f>'B) D RI'!U156</f>
        <v>383471.67436363641</v>
      </c>
      <c r="K155" s="65">
        <f t="shared" si="23"/>
        <v>33.396469940189064</v>
      </c>
      <c r="L155" s="33">
        <f>'B) D RI'!S156</f>
        <v>55</v>
      </c>
      <c r="M155" s="33">
        <f t="shared" si="18"/>
        <v>21.603530059810936</v>
      </c>
      <c r="N155" s="33">
        <f>'J) Plafonnement effort'!G154+'J) Plafonnement effort'!H154-'K) Plafonnement aide'!I154</f>
        <v>40.400256934854127</v>
      </c>
      <c r="O155" s="130">
        <f t="shared" si="19"/>
        <v>62.003786994665063</v>
      </c>
      <c r="P155" s="47">
        <f t="shared" si="20"/>
        <v>0</v>
      </c>
      <c r="Q155" s="57">
        <f t="shared" si="24"/>
        <v>0</v>
      </c>
      <c r="R155" s="151">
        <f t="shared" si="21"/>
        <v>62.003786994665063</v>
      </c>
      <c r="S155" s="130">
        <f t="shared" si="22"/>
        <v>7.003786994665063</v>
      </c>
      <c r="T155" s="150">
        <f t="shared" si="26"/>
        <v>0</v>
      </c>
      <c r="V155" s="12"/>
    </row>
    <row r="156" spans="1:22" x14ac:dyDescent="0.25">
      <c r="A156" s="49">
        <f>'A) Base RI'!A157</f>
        <v>5649</v>
      </c>
      <c r="B156" s="350" t="str">
        <f>'A) Base RI'!B157</f>
        <v>Tolochenaz</v>
      </c>
      <c r="C156" s="410">
        <v>2689102.8033396099</v>
      </c>
      <c r="D156" s="410">
        <v>2032632.8414811499</v>
      </c>
      <c r="E156" s="411">
        <v>0</v>
      </c>
      <c r="F156" s="411">
        <v>0</v>
      </c>
      <c r="G156" s="411">
        <v>0</v>
      </c>
      <c r="H156" s="352">
        <f t="shared" si="25"/>
        <v>4721735.64482076</v>
      </c>
      <c r="I156" s="412">
        <v>134431.35138461535</v>
      </c>
      <c r="J156" s="355">
        <f>'B) D RI'!U157</f>
        <v>109794.23076923077</v>
      </c>
      <c r="K156" s="65">
        <f t="shared" si="23"/>
        <v>35.123768348587227</v>
      </c>
      <c r="L156" s="33">
        <f>'B) D RI'!S157</f>
        <v>65</v>
      </c>
      <c r="M156" s="33">
        <f t="shared" si="18"/>
        <v>29.876231651412773</v>
      </c>
      <c r="N156" s="33">
        <f>'J) Plafonnement effort'!G155+'J) Plafonnement effort'!H155-'K) Plafonnement aide'!I155</f>
        <v>30.460829149834282</v>
      </c>
      <c r="O156" s="130">
        <f t="shared" si="19"/>
        <v>60.337060801247056</v>
      </c>
      <c r="P156" s="47">
        <f t="shared" si="20"/>
        <v>0</v>
      </c>
      <c r="Q156" s="57">
        <f t="shared" si="24"/>
        <v>0</v>
      </c>
      <c r="R156" s="151">
        <f t="shared" si="21"/>
        <v>60.337060801247056</v>
      </c>
      <c r="S156" s="130">
        <f t="shared" si="22"/>
        <v>-4.6629391987529445</v>
      </c>
      <c r="T156" s="150">
        <f t="shared" si="26"/>
        <v>0</v>
      </c>
      <c r="V156" s="12"/>
    </row>
    <row r="157" spans="1:22" x14ac:dyDescent="0.25">
      <c r="A157" s="49">
        <f>'A) Base RI'!A158</f>
        <v>5650</v>
      </c>
      <c r="B157" s="350" t="str">
        <f>'A) Base RI'!B158</f>
        <v>Vaux-sur-Morges</v>
      </c>
      <c r="C157" s="410">
        <v>8206256.4475717358</v>
      </c>
      <c r="D157" s="410">
        <v>2422732.8278865069</v>
      </c>
      <c r="E157" s="411">
        <v>0</v>
      </c>
      <c r="F157" s="411">
        <v>-2300587.8620653846</v>
      </c>
      <c r="G157" s="411">
        <v>0</v>
      </c>
      <c r="H157" s="352">
        <f t="shared" si="25"/>
        <v>8328401.4133928586</v>
      </c>
      <c r="I157" s="412">
        <v>185075.58696428573</v>
      </c>
      <c r="J157" s="355">
        <f>'B) D RI'!U158</f>
        <v>162834.69392857142</v>
      </c>
      <c r="K157" s="65">
        <f t="shared" si="23"/>
        <v>45.000000000000007</v>
      </c>
      <c r="L157" s="33">
        <f>'B) D RI'!S158</f>
        <v>56</v>
      </c>
      <c r="M157" s="33">
        <f t="shared" si="18"/>
        <v>10.999999999999993</v>
      </c>
      <c r="N157" s="33">
        <f>'J) Plafonnement effort'!G156+'J) Plafonnement effort'!H156-'K) Plafonnement aide'!I156</f>
        <v>45</v>
      </c>
      <c r="O157" s="130">
        <f t="shared" si="19"/>
        <v>55.999999999999993</v>
      </c>
      <c r="P157" s="47">
        <f t="shared" si="20"/>
        <v>0</v>
      </c>
      <c r="Q157" s="57">
        <f t="shared" si="24"/>
        <v>0</v>
      </c>
      <c r="R157" s="151">
        <f t="shared" si="21"/>
        <v>55.999999999999993</v>
      </c>
      <c r="S157" s="130">
        <f t="shared" si="22"/>
        <v>0</v>
      </c>
      <c r="T157" s="150">
        <f t="shared" si="26"/>
        <v>0</v>
      </c>
      <c r="V157" s="12"/>
    </row>
    <row r="158" spans="1:22" x14ac:dyDescent="0.25">
      <c r="A158" s="49">
        <f>'A) Base RI'!A159</f>
        <v>5651</v>
      </c>
      <c r="B158" s="350" t="str">
        <f>'A) Base RI'!B159</f>
        <v>Villars-Sainte-Croix</v>
      </c>
      <c r="C158" s="410">
        <v>1065873.8950638354</v>
      </c>
      <c r="D158" s="410">
        <v>990642.99951159093</v>
      </c>
      <c r="E158" s="411">
        <v>0</v>
      </c>
      <c r="F158" s="411">
        <v>0</v>
      </c>
      <c r="G158" s="411">
        <v>0</v>
      </c>
      <c r="H158" s="352">
        <f t="shared" si="25"/>
        <v>2056516.8945754264</v>
      </c>
      <c r="I158" s="412">
        <v>58092.123220338974</v>
      </c>
      <c r="J158" s="355">
        <f>'B) D RI'!U159</f>
        <v>58682.807419354831</v>
      </c>
      <c r="K158" s="65">
        <f t="shared" si="23"/>
        <v>35.400959382655294</v>
      </c>
      <c r="L158" s="33">
        <f>'B) D RI'!S159</f>
        <v>62</v>
      </c>
      <c r="M158" s="33">
        <f t="shared" si="18"/>
        <v>26.599040617344706</v>
      </c>
      <c r="N158" s="33">
        <f>'J) Plafonnement effort'!G157+'J) Plafonnement effort'!H157-'K) Plafonnement aide'!I157</f>
        <v>38.112197846498617</v>
      </c>
      <c r="O158" s="130">
        <f t="shared" si="19"/>
        <v>64.71123846384333</v>
      </c>
      <c r="P158" s="47">
        <f t="shared" si="20"/>
        <v>0</v>
      </c>
      <c r="Q158" s="57">
        <f t="shared" si="24"/>
        <v>0</v>
      </c>
      <c r="R158" s="151">
        <f t="shared" si="21"/>
        <v>64.71123846384333</v>
      </c>
      <c r="S158" s="130">
        <f t="shared" si="22"/>
        <v>2.7112384638433298</v>
      </c>
      <c r="T158" s="150">
        <f t="shared" si="26"/>
        <v>0</v>
      </c>
      <c r="V158" s="12"/>
    </row>
    <row r="159" spans="1:22" x14ac:dyDescent="0.25">
      <c r="A159" s="49">
        <f>'A) Base RI'!A160</f>
        <v>5652</v>
      </c>
      <c r="B159" s="350" t="str">
        <f>'A) Base RI'!B160</f>
        <v>Villars-sous-Yens</v>
      </c>
      <c r="C159" s="410">
        <v>467761.38795982074</v>
      </c>
      <c r="D159" s="410">
        <v>504923.87652521412</v>
      </c>
      <c r="E159" s="411">
        <v>0</v>
      </c>
      <c r="F159" s="411">
        <v>0</v>
      </c>
      <c r="G159" s="411">
        <v>0</v>
      </c>
      <c r="H159" s="352">
        <f t="shared" si="25"/>
        <v>972685.26448503486</v>
      </c>
      <c r="I159" s="412">
        <v>29800.949188596489</v>
      </c>
      <c r="J159" s="355">
        <f>'B) D RI'!U160</f>
        <v>32935.200285087711</v>
      </c>
      <c r="K159" s="65">
        <f t="shared" si="23"/>
        <v>32.639405487703009</v>
      </c>
      <c r="L159" s="33">
        <f>'B) D RI'!S160</f>
        <v>76</v>
      </c>
      <c r="M159" s="33">
        <f t="shared" si="18"/>
        <v>43.360594512296991</v>
      </c>
      <c r="N159" s="33">
        <f>'J) Plafonnement effort'!G158+'J) Plafonnement effort'!H158-'K) Plafonnement aide'!I158</f>
        <v>35.507218993632833</v>
      </c>
      <c r="O159" s="130">
        <f t="shared" si="19"/>
        <v>78.867813505929831</v>
      </c>
      <c r="P159" s="47">
        <f t="shared" si="20"/>
        <v>0</v>
      </c>
      <c r="Q159" s="57">
        <f t="shared" si="24"/>
        <v>0</v>
      </c>
      <c r="R159" s="151">
        <f t="shared" si="21"/>
        <v>78.867813505929831</v>
      </c>
      <c r="S159" s="130">
        <f t="shared" si="22"/>
        <v>2.8678135059298313</v>
      </c>
      <c r="T159" s="150">
        <f t="shared" si="26"/>
        <v>0</v>
      </c>
      <c r="V159" s="12"/>
    </row>
    <row r="160" spans="1:22" x14ac:dyDescent="0.25">
      <c r="A160" s="49">
        <f>'A) Base RI'!A161</f>
        <v>5653</v>
      </c>
      <c r="B160" s="350" t="str">
        <f>'A) Base RI'!B161</f>
        <v>Vufflens-le-Château</v>
      </c>
      <c r="C160" s="410">
        <v>1261877.4711887243</v>
      </c>
      <c r="D160" s="410">
        <v>1043498.1522243101</v>
      </c>
      <c r="E160" s="411">
        <v>0</v>
      </c>
      <c r="F160" s="411">
        <v>0</v>
      </c>
      <c r="G160" s="411">
        <v>0</v>
      </c>
      <c r="H160" s="352">
        <f t="shared" si="25"/>
        <v>2305375.6234130342</v>
      </c>
      <c r="I160" s="412">
        <v>61961.229272727272</v>
      </c>
      <c r="J160" s="355">
        <f>'B) D RI'!U161</f>
        <v>71866.827999999994</v>
      </c>
      <c r="K160" s="65">
        <f t="shared" si="23"/>
        <v>37.206744450884607</v>
      </c>
      <c r="L160" s="33">
        <f>'B) D RI'!S161</f>
        <v>60</v>
      </c>
      <c r="M160" s="33">
        <f t="shared" si="18"/>
        <v>22.793255549115393</v>
      </c>
      <c r="N160" s="33">
        <f>'J) Plafonnement effort'!G159+'J) Plafonnement effort'!H159-'K) Plafonnement aide'!I159</f>
        <v>45</v>
      </c>
      <c r="O160" s="130">
        <f t="shared" si="19"/>
        <v>67.793255549115401</v>
      </c>
      <c r="P160" s="47">
        <f t="shared" si="20"/>
        <v>0</v>
      </c>
      <c r="Q160" s="57">
        <f t="shared" si="24"/>
        <v>0</v>
      </c>
      <c r="R160" s="151">
        <f t="shared" si="21"/>
        <v>67.793255549115401</v>
      </c>
      <c r="S160" s="130">
        <f t="shared" si="22"/>
        <v>7.7932555491154005</v>
      </c>
      <c r="T160" s="150">
        <f t="shared" si="26"/>
        <v>0</v>
      </c>
      <c r="V160" s="12"/>
    </row>
    <row r="161" spans="1:22" x14ac:dyDescent="0.25">
      <c r="A161" s="49">
        <f>'A) Base RI'!A162</f>
        <v>5654</v>
      </c>
      <c r="B161" s="350" t="str">
        <f>'A) Base RI'!B162</f>
        <v>Vullierens</v>
      </c>
      <c r="C161" s="410">
        <v>338987.06926388695</v>
      </c>
      <c r="D161" s="410">
        <v>233550.73476559701</v>
      </c>
      <c r="E161" s="411">
        <v>0</v>
      </c>
      <c r="F161" s="411">
        <v>0</v>
      </c>
      <c r="G161" s="411">
        <v>0</v>
      </c>
      <c r="H161" s="352">
        <f t="shared" si="25"/>
        <v>572537.80402948393</v>
      </c>
      <c r="I161" s="412">
        <v>19280.901315789473</v>
      </c>
      <c r="J161" s="355">
        <f>'B) D RI'!U162</f>
        <v>18067.402499999997</v>
      </c>
      <c r="K161" s="65">
        <f t="shared" si="23"/>
        <v>29.694556009195615</v>
      </c>
      <c r="L161" s="33">
        <f>'B) D RI'!S162</f>
        <v>76</v>
      </c>
      <c r="M161" s="33">
        <f t="shared" si="18"/>
        <v>46.305443990804385</v>
      </c>
      <c r="N161" s="33">
        <f>'J) Plafonnement effort'!G160+'J) Plafonnement effort'!H160-'K) Plafonnement aide'!I160</f>
        <v>23.777035288916519</v>
      </c>
      <c r="O161" s="130">
        <f t="shared" si="19"/>
        <v>70.0824792797209</v>
      </c>
      <c r="P161" s="47">
        <f t="shared" si="20"/>
        <v>0</v>
      </c>
      <c r="Q161" s="57">
        <f t="shared" si="24"/>
        <v>0</v>
      </c>
      <c r="R161" s="151">
        <f t="shared" si="21"/>
        <v>70.0824792797209</v>
      </c>
      <c r="S161" s="130">
        <f t="shared" si="22"/>
        <v>-5.9175207202791</v>
      </c>
      <c r="T161" s="150">
        <f t="shared" si="26"/>
        <v>0</v>
      </c>
      <c r="V161" s="12"/>
    </row>
    <row r="162" spans="1:22" x14ac:dyDescent="0.25">
      <c r="A162" s="49">
        <f>'A) Base RI'!A163</f>
        <v>5655</v>
      </c>
      <c r="B162" s="350" t="str">
        <f>'A) Base RI'!B163</f>
        <v>Yens</v>
      </c>
      <c r="C162" s="410">
        <v>1612316.3789164606</v>
      </c>
      <c r="D162" s="410">
        <v>1379837.4994128449</v>
      </c>
      <c r="E162" s="411">
        <v>0</v>
      </c>
      <c r="F162" s="411">
        <v>0</v>
      </c>
      <c r="G162" s="411">
        <v>0</v>
      </c>
      <c r="H162" s="352">
        <f t="shared" si="25"/>
        <v>2992153.8783293054</v>
      </c>
      <c r="I162" s="412">
        <v>87292.806849315064</v>
      </c>
      <c r="J162" s="355">
        <f>'B) D RI'!U163</f>
        <v>77231.578767123297</v>
      </c>
      <c r="K162" s="65">
        <f t="shared" si="23"/>
        <v>34.277210074071334</v>
      </c>
      <c r="L162" s="33">
        <f>'B) D RI'!S163</f>
        <v>73</v>
      </c>
      <c r="M162" s="33">
        <f t="shared" si="18"/>
        <v>38.722789925928666</v>
      </c>
      <c r="N162" s="33">
        <f>'J) Plafonnement effort'!G161+'J) Plafonnement effort'!H161-'K) Plafonnement aide'!I161</f>
        <v>35.76271413523714</v>
      </c>
      <c r="O162" s="130">
        <f t="shared" si="19"/>
        <v>74.485504061165813</v>
      </c>
      <c r="P162" s="47">
        <f t="shared" si="20"/>
        <v>0</v>
      </c>
      <c r="Q162" s="57">
        <f t="shared" si="24"/>
        <v>0</v>
      </c>
      <c r="R162" s="151">
        <f t="shared" si="21"/>
        <v>74.485504061165813</v>
      </c>
      <c r="S162" s="130">
        <f t="shared" si="22"/>
        <v>1.4855040611658126</v>
      </c>
      <c r="T162" s="150">
        <f t="shared" si="26"/>
        <v>0</v>
      </c>
      <c r="V162" s="12"/>
    </row>
    <row r="163" spans="1:22" x14ac:dyDescent="0.25">
      <c r="A163" s="49">
        <f>'A) Base RI'!A164</f>
        <v>5661</v>
      </c>
      <c r="B163" s="350" t="str">
        <f>'A) Base RI'!B164</f>
        <v>Boulens</v>
      </c>
      <c r="C163" s="410">
        <v>166043.79914679646</v>
      </c>
      <c r="D163" s="410">
        <v>-14671.891542425175</v>
      </c>
      <c r="E163" s="411">
        <v>0</v>
      </c>
      <c r="F163" s="411">
        <v>0</v>
      </c>
      <c r="G163" s="411">
        <v>0</v>
      </c>
      <c r="H163" s="352">
        <f t="shared" si="25"/>
        <v>151371.90760437128</v>
      </c>
      <c r="I163" s="412">
        <v>10339.57164556962</v>
      </c>
      <c r="J163" s="355">
        <f>'B) D RI'!U164</f>
        <v>10067.366438356165</v>
      </c>
      <c r="K163" s="65">
        <f t="shared" si="23"/>
        <v>14.640055970716379</v>
      </c>
      <c r="L163" s="33">
        <f>'B) D RI'!S164</f>
        <v>73</v>
      </c>
      <c r="M163" s="33">
        <f t="shared" si="18"/>
        <v>58.359944029283625</v>
      </c>
      <c r="N163" s="33">
        <f>'J) Plafonnement effort'!G162+'J) Plafonnement effort'!H162-'K) Plafonnement aide'!I162</f>
        <v>8.6768251111071457</v>
      </c>
      <c r="O163" s="130">
        <f t="shared" si="19"/>
        <v>67.036769140390774</v>
      </c>
      <c r="P163" s="47">
        <f t="shared" si="20"/>
        <v>0</v>
      </c>
      <c r="Q163" s="57">
        <f t="shared" si="24"/>
        <v>0</v>
      </c>
      <c r="R163" s="151">
        <f t="shared" si="21"/>
        <v>67.036769140390774</v>
      </c>
      <c r="S163" s="130">
        <f t="shared" si="22"/>
        <v>-5.9632308596092258</v>
      </c>
      <c r="T163" s="150">
        <f t="shared" si="26"/>
        <v>0</v>
      </c>
      <c r="V163" s="12"/>
    </row>
    <row r="164" spans="1:22" x14ac:dyDescent="0.25">
      <c r="A164" s="49">
        <f>'A) Base RI'!A165</f>
        <v>5663</v>
      </c>
      <c r="B164" s="350" t="str">
        <f>'A) Base RI'!B165</f>
        <v>Bussy-sur-Moudon</v>
      </c>
      <c r="C164" s="410">
        <v>84719.264404549074</v>
      </c>
      <c r="D164" s="410">
        <v>-31383.236271259957</v>
      </c>
      <c r="E164" s="411">
        <v>0</v>
      </c>
      <c r="F164" s="411">
        <v>0</v>
      </c>
      <c r="G164" s="411">
        <v>0</v>
      </c>
      <c r="H164" s="352">
        <f t="shared" si="25"/>
        <v>53336.028133289117</v>
      </c>
      <c r="I164" s="412">
        <v>5294.5642500000013</v>
      </c>
      <c r="J164" s="355">
        <f>'B) D RI'!U165</f>
        <v>6357.5273750000006</v>
      </c>
      <c r="K164" s="65">
        <f t="shared" si="23"/>
        <v>10.073733288492836</v>
      </c>
      <c r="L164" s="33">
        <f>'B) D RI'!S165</f>
        <v>80</v>
      </c>
      <c r="M164" s="33">
        <f t="shared" si="18"/>
        <v>69.926266711507168</v>
      </c>
      <c r="N164" s="33">
        <f>'J) Plafonnement effort'!G163+'J) Plafonnement effort'!H163-'K) Plafonnement aide'!I163</f>
        <v>13.665179000235286</v>
      </c>
      <c r="O164" s="130">
        <f t="shared" si="19"/>
        <v>83.591445711742452</v>
      </c>
      <c r="P164" s="47">
        <f t="shared" si="20"/>
        <v>0</v>
      </c>
      <c r="Q164" s="57">
        <f t="shared" si="24"/>
        <v>0</v>
      </c>
      <c r="R164" s="151">
        <f t="shared" si="21"/>
        <v>83.591445711742452</v>
      </c>
      <c r="S164" s="130">
        <f t="shared" si="22"/>
        <v>3.5914457117424519</v>
      </c>
      <c r="T164" s="150">
        <f t="shared" si="26"/>
        <v>0</v>
      </c>
      <c r="V164" s="12"/>
    </row>
    <row r="165" spans="1:22" x14ac:dyDescent="0.25">
      <c r="A165" s="49">
        <f>'A) Base RI'!A166</f>
        <v>5665</v>
      </c>
      <c r="B165" s="350" t="str">
        <f>'A) Base RI'!B166</f>
        <v>Chavannes-sur-Moudon</v>
      </c>
      <c r="C165" s="410">
        <v>77184.68099710028</v>
      </c>
      <c r="D165" s="410">
        <v>-42136.726136773766</v>
      </c>
      <c r="E165" s="411">
        <v>0</v>
      </c>
      <c r="F165" s="411">
        <v>0</v>
      </c>
      <c r="G165" s="411">
        <v>0</v>
      </c>
      <c r="H165" s="352">
        <f t="shared" si="25"/>
        <v>35047.954860326514</v>
      </c>
      <c r="I165" s="412">
        <v>4618.4299999999994</v>
      </c>
      <c r="J165" s="355">
        <f>'B) D RI'!U166</f>
        <v>4734.8986301369869</v>
      </c>
      <c r="K165" s="65">
        <f t="shared" si="23"/>
        <v>7.5887162651218096</v>
      </c>
      <c r="L165" s="33">
        <f>'B) D RI'!S166</f>
        <v>73</v>
      </c>
      <c r="M165" s="33">
        <f t="shared" si="18"/>
        <v>65.411283734878197</v>
      </c>
      <c r="N165" s="33">
        <f>'J) Plafonnement effort'!G164+'J) Plafonnement effort'!H164-'K) Plafonnement aide'!I164</f>
        <v>4.8524963041014866</v>
      </c>
      <c r="O165" s="130">
        <f t="shared" si="19"/>
        <v>70.263780038979689</v>
      </c>
      <c r="P165" s="47">
        <f t="shared" si="20"/>
        <v>0</v>
      </c>
      <c r="Q165" s="57">
        <f t="shared" si="24"/>
        <v>0</v>
      </c>
      <c r="R165" s="151">
        <f t="shared" si="21"/>
        <v>70.263780038979689</v>
      </c>
      <c r="S165" s="130">
        <f t="shared" si="22"/>
        <v>-2.7362199610203106</v>
      </c>
      <c r="T165" s="150">
        <f t="shared" si="26"/>
        <v>0</v>
      </c>
      <c r="V165" s="12"/>
    </row>
    <row r="166" spans="1:22" x14ac:dyDescent="0.25">
      <c r="A166" s="49">
        <f>'A) Base RI'!A167</f>
        <v>5669</v>
      </c>
      <c r="B166" s="350" t="str">
        <f>'A) Base RI'!B167</f>
        <v>Curtilles</v>
      </c>
      <c r="C166" s="410">
        <v>125178.15348946799</v>
      </c>
      <c r="D166" s="410">
        <v>-24184.004112151713</v>
      </c>
      <c r="E166" s="411">
        <v>0</v>
      </c>
      <c r="F166" s="411">
        <v>0</v>
      </c>
      <c r="G166" s="411">
        <v>0</v>
      </c>
      <c r="H166" s="352">
        <f t="shared" si="25"/>
        <v>100994.14937731628</v>
      </c>
      <c r="I166" s="412">
        <v>7795.8649333333315</v>
      </c>
      <c r="J166" s="355">
        <f>'B) D RI'!U167</f>
        <v>10002.199066666666</v>
      </c>
      <c r="K166" s="65">
        <f t="shared" si="23"/>
        <v>12.954835703410977</v>
      </c>
      <c r="L166" s="33">
        <f>'B) D RI'!S167</f>
        <v>75</v>
      </c>
      <c r="M166" s="33">
        <f t="shared" si="18"/>
        <v>62.045164296589022</v>
      </c>
      <c r="N166" s="33">
        <f>'J) Plafonnement effort'!G165+'J) Plafonnement effort'!H165-'K) Plafonnement aide'!I165</f>
        <v>21.308583039092245</v>
      </c>
      <c r="O166" s="130">
        <f t="shared" si="19"/>
        <v>83.353747335681263</v>
      </c>
      <c r="P166" s="47">
        <f t="shared" si="20"/>
        <v>0</v>
      </c>
      <c r="Q166" s="57">
        <f t="shared" si="24"/>
        <v>0</v>
      </c>
      <c r="R166" s="151">
        <f t="shared" si="21"/>
        <v>83.353747335681263</v>
      </c>
      <c r="S166" s="130">
        <f t="shared" si="22"/>
        <v>8.3537473356812626</v>
      </c>
      <c r="T166" s="150">
        <f t="shared" si="26"/>
        <v>0</v>
      </c>
      <c r="V166" s="12"/>
    </row>
    <row r="167" spans="1:22" x14ac:dyDescent="0.25">
      <c r="A167" s="49">
        <f>'A) Base RI'!A168</f>
        <v>5671</v>
      </c>
      <c r="B167" s="350" t="str">
        <f>'A) Base RI'!B168</f>
        <v>Dompierre</v>
      </c>
      <c r="C167" s="410">
        <v>107355.22693352932</v>
      </c>
      <c r="D167" s="410">
        <v>-24138.115558300051</v>
      </c>
      <c r="E167" s="411">
        <v>0</v>
      </c>
      <c r="F167" s="411">
        <v>0</v>
      </c>
      <c r="G167" s="411">
        <v>0</v>
      </c>
      <c r="H167" s="352">
        <f t="shared" si="25"/>
        <v>83217.111375229273</v>
      </c>
      <c r="I167" s="412">
        <v>6158.8938749999998</v>
      </c>
      <c r="J167" s="355">
        <f>'B) D RI'!U168</f>
        <v>6571.3844999999983</v>
      </c>
      <c r="K167" s="65">
        <f t="shared" si="23"/>
        <v>13.511697565210811</v>
      </c>
      <c r="L167" s="33">
        <f>'B) D RI'!S168</f>
        <v>80</v>
      </c>
      <c r="M167" s="33">
        <f t="shared" ref="M167:M218" si="27">L167-K167</f>
        <v>66.48830243478919</v>
      </c>
      <c r="N167" s="33">
        <f>'J) Plafonnement effort'!G166+'J) Plafonnement effort'!H166-'K) Plafonnement aide'!I166</f>
        <v>11.050023142072265</v>
      </c>
      <c r="O167" s="130">
        <f t="shared" ref="O167:O218" si="28">M167+N167</f>
        <v>77.538325576861453</v>
      </c>
      <c r="P167" s="47">
        <f t="shared" ref="P167:P218" si="29">IF(O167&gt;$P$5,$P$5-O167,0)</f>
        <v>0</v>
      </c>
      <c r="Q167" s="57">
        <f t="shared" si="24"/>
        <v>0</v>
      </c>
      <c r="R167" s="151">
        <f t="shared" ref="R167:R218" si="30">O167+P167</f>
        <v>77.538325576861453</v>
      </c>
      <c r="S167" s="130">
        <f t="shared" ref="S167:S218" si="31">R167-L167</f>
        <v>-2.4616744231385468</v>
      </c>
      <c r="T167" s="150">
        <f t="shared" si="26"/>
        <v>0</v>
      </c>
      <c r="V167" s="12"/>
    </row>
    <row r="168" spans="1:22" x14ac:dyDescent="0.25">
      <c r="A168" s="49">
        <f>'A) Base RI'!A169</f>
        <v>5673</v>
      </c>
      <c r="B168" s="350" t="str">
        <f>'A) Base RI'!B169</f>
        <v>Hermenches</v>
      </c>
      <c r="C168" s="410">
        <v>148872.67982594029</v>
      </c>
      <c r="D168" s="410">
        <v>-18712.635864042095</v>
      </c>
      <c r="E168" s="411">
        <v>0</v>
      </c>
      <c r="F168" s="411">
        <v>0</v>
      </c>
      <c r="G168" s="411">
        <v>0</v>
      </c>
      <c r="H168" s="352">
        <f t="shared" si="25"/>
        <v>130160.04396189819</v>
      </c>
      <c r="I168" s="412">
        <v>9293.9345333333331</v>
      </c>
      <c r="J168" s="355">
        <f>'B) D RI'!U169</f>
        <v>9909.6989333333331</v>
      </c>
      <c r="K168" s="65">
        <f t="shared" ref="K168:K220" si="32">H168/I168</f>
        <v>14.004837616950095</v>
      </c>
      <c r="L168" s="33">
        <f>'B) D RI'!S169</f>
        <v>75</v>
      </c>
      <c r="M168" s="33">
        <f t="shared" si="27"/>
        <v>60.995162383049902</v>
      </c>
      <c r="N168" s="33">
        <f>'J) Plafonnement effort'!G167+'J) Plafonnement effort'!H167-'K) Plafonnement aide'!I167</f>
        <v>6.5046531306284194</v>
      </c>
      <c r="O168" s="130">
        <f t="shared" si="28"/>
        <v>67.499815513678328</v>
      </c>
      <c r="P168" s="47">
        <f t="shared" si="29"/>
        <v>0</v>
      </c>
      <c r="Q168" s="57">
        <f t="shared" ref="Q168:Q221" si="33">P168*J168</f>
        <v>0</v>
      </c>
      <c r="R168" s="151">
        <f t="shared" si="30"/>
        <v>67.499815513678328</v>
      </c>
      <c r="S168" s="130">
        <f t="shared" si="31"/>
        <v>-7.5001844863216718</v>
      </c>
      <c r="T168" s="150">
        <f t="shared" si="26"/>
        <v>0</v>
      </c>
      <c r="V168" s="12"/>
    </row>
    <row r="169" spans="1:22" x14ac:dyDescent="0.25">
      <c r="A169" s="49">
        <f>'A) Base RI'!A170</f>
        <v>5674</v>
      </c>
      <c r="B169" s="350" t="str">
        <f>'A) Base RI'!B170</f>
        <v>Lovatens</v>
      </c>
      <c r="C169" s="410">
        <v>61508.899221477288</v>
      </c>
      <c r="D169" s="410">
        <v>-26127.879546662305</v>
      </c>
      <c r="E169" s="411">
        <v>0</v>
      </c>
      <c r="F169" s="411">
        <v>0</v>
      </c>
      <c r="G169" s="411">
        <v>0</v>
      </c>
      <c r="H169" s="352">
        <f t="shared" si="25"/>
        <v>35381.019674814983</v>
      </c>
      <c r="I169" s="412">
        <v>3277.031161904762</v>
      </c>
      <c r="J169" s="355">
        <f>'B) D RI'!U170</f>
        <v>3215.0507999999995</v>
      </c>
      <c r="K169" s="65">
        <f t="shared" si="32"/>
        <v>10.796668669531327</v>
      </c>
      <c r="L169" s="33">
        <f>'B) D RI'!S170</f>
        <v>75</v>
      </c>
      <c r="M169" s="33">
        <f t="shared" si="27"/>
        <v>64.203331330468671</v>
      </c>
      <c r="N169" s="33">
        <f>'J) Plafonnement effort'!G168+'J) Plafonnement effort'!H168-'K) Plafonnement aide'!I168</f>
        <v>3.4222674929080941</v>
      </c>
      <c r="O169" s="130">
        <f t="shared" si="28"/>
        <v>67.625598823376762</v>
      </c>
      <c r="P169" s="47">
        <f t="shared" si="29"/>
        <v>0</v>
      </c>
      <c r="Q169" s="57">
        <f t="shared" si="33"/>
        <v>0</v>
      </c>
      <c r="R169" s="151">
        <f t="shared" si="30"/>
        <v>67.625598823376762</v>
      </c>
      <c r="S169" s="130">
        <f t="shared" si="31"/>
        <v>-7.3744011766232376</v>
      </c>
      <c r="T169" s="150">
        <f t="shared" si="26"/>
        <v>0</v>
      </c>
      <c r="V169" s="12"/>
    </row>
    <row r="170" spans="1:22" x14ac:dyDescent="0.25">
      <c r="A170" s="49">
        <f>'A) Base RI'!A171</f>
        <v>5675</v>
      </c>
      <c r="B170" s="350" t="str">
        <f>'A) Base RI'!B171</f>
        <v>Lucens</v>
      </c>
      <c r="C170" s="410">
        <v>1693316.2044166827</v>
      </c>
      <c r="D170" s="410">
        <v>-1484051.3170877222</v>
      </c>
      <c r="E170" s="411">
        <v>0</v>
      </c>
      <c r="F170" s="411">
        <v>0</v>
      </c>
      <c r="G170" s="411">
        <v>0</v>
      </c>
      <c r="H170" s="352">
        <f t="shared" si="25"/>
        <v>209264.88732896047</v>
      </c>
      <c r="I170" s="412">
        <v>92142.722793148874</v>
      </c>
      <c r="J170" s="355">
        <f>'B) D RI'!U171</f>
        <v>97758.400909090895</v>
      </c>
      <c r="K170" s="65">
        <f t="shared" ref="K170" si="34">H170/I170</f>
        <v>2.2710951118596641</v>
      </c>
      <c r="L170" s="33">
        <f>'B) D RI'!S171</f>
        <v>69</v>
      </c>
      <c r="M170" s="33">
        <f t="shared" ref="M170" si="35">L170-K170</f>
        <v>66.728904888140335</v>
      </c>
      <c r="N170" s="33">
        <f>'J) Plafonnement effort'!G169+'J) Plafonnement effort'!H169-'K) Plafonnement aide'!I169</f>
        <v>0.26767214458350352</v>
      </c>
      <c r="O170" s="130">
        <f t="shared" ref="O170" si="36">M170+N170</f>
        <v>66.996577032723835</v>
      </c>
      <c r="P170" s="47">
        <f t="shared" ref="P170" si="37">IF(O170&gt;$P$5,$P$5-O170,0)</f>
        <v>0</v>
      </c>
      <c r="Q170" s="57">
        <f t="shared" ref="Q170" si="38">P170*J170</f>
        <v>0</v>
      </c>
      <c r="R170" s="151">
        <f t="shared" ref="R170" si="39">O170+P170</f>
        <v>66.996577032723835</v>
      </c>
      <c r="S170" s="130">
        <f t="shared" ref="S170" si="40">R170-L170</f>
        <v>-2.0034229672761654</v>
      </c>
      <c r="T170" s="150">
        <f t="shared" si="26"/>
        <v>0</v>
      </c>
      <c r="V170" s="12"/>
    </row>
    <row r="171" spans="1:22" x14ac:dyDescent="0.25">
      <c r="A171" s="49">
        <f>'A) Base RI'!A172</f>
        <v>5678</v>
      </c>
      <c r="B171" s="350" t="str">
        <f>'A) Base RI'!B172</f>
        <v>Moudon</v>
      </c>
      <c r="C171" s="410">
        <v>2168276.5612995559</v>
      </c>
      <c r="D171" s="410">
        <v>-3703198.3605046794</v>
      </c>
      <c r="E171" s="411">
        <v>756229.64080512337</v>
      </c>
      <c r="F171" s="411">
        <v>0</v>
      </c>
      <c r="G171" s="411">
        <v>0</v>
      </c>
      <c r="H171" s="352">
        <f t="shared" si="25"/>
        <v>-778692.15840000007</v>
      </c>
      <c r="I171" s="412">
        <v>119798.79359999999</v>
      </c>
      <c r="J171" s="355">
        <f>'B) D RI'!U172</f>
        <v>126080.27293333331</v>
      </c>
      <c r="K171" s="65">
        <f t="shared" si="32"/>
        <v>-6.5000000000000009</v>
      </c>
      <c r="L171" s="33">
        <f>'B) D RI'!S172</f>
        <v>75</v>
      </c>
      <c r="M171" s="33">
        <f t="shared" si="27"/>
        <v>81.5</v>
      </c>
      <c r="N171" s="33">
        <f>'J) Plafonnement effort'!G170+'J) Plafonnement effort'!H170-'K) Plafonnement aide'!I170</f>
        <v>-16.169701359426014</v>
      </c>
      <c r="O171" s="130">
        <f t="shared" si="28"/>
        <v>65.330298640573986</v>
      </c>
      <c r="P171" s="47">
        <f t="shared" si="29"/>
        <v>0</v>
      </c>
      <c r="Q171" s="57">
        <f t="shared" si="33"/>
        <v>0</v>
      </c>
      <c r="R171" s="151">
        <f t="shared" si="30"/>
        <v>65.330298640573986</v>
      </c>
      <c r="S171" s="130">
        <f t="shared" si="31"/>
        <v>-9.6697013594260142</v>
      </c>
      <c r="T171" s="150">
        <f t="shared" si="26"/>
        <v>0</v>
      </c>
      <c r="V171" s="12"/>
    </row>
    <row r="172" spans="1:22" x14ac:dyDescent="0.25">
      <c r="A172" s="49">
        <f>'A) Base RI'!A173</f>
        <v>5680</v>
      </c>
      <c r="B172" s="350" t="str">
        <f>'A) Base RI'!B173</f>
        <v>Ogens</v>
      </c>
      <c r="C172" s="410">
        <v>123225.63313279285</v>
      </c>
      <c r="D172" s="410">
        <v>-77299.946176535435</v>
      </c>
      <c r="E172" s="411">
        <v>0</v>
      </c>
      <c r="F172" s="411">
        <v>0</v>
      </c>
      <c r="G172" s="411">
        <v>0</v>
      </c>
      <c r="H172" s="352">
        <f t="shared" si="25"/>
        <v>45925.686956257414</v>
      </c>
      <c r="I172" s="412">
        <v>6445.3270940170942</v>
      </c>
      <c r="J172" s="355">
        <f>'B) D RI'!U173</f>
        <v>6313.5037606837595</v>
      </c>
      <c r="K172" s="65">
        <f t="shared" si="32"/>
        <v>7.1254237816554191</v>
      </c>
      <c r="L172" s="33">
        <f>'B) D RI'!S173</f>
        <v>78</v>
      </c>
      <c r="M172" s="33">
        <f t="shared" si="27"/>
        <v>70.874576218344586</v>
      </c>
      <c r="N172" s="33">
        <f>'J) Plafonnement effort'!G171+'J) Plafonnement effort'!H171-'K) Plafonnement aide'!I171</f>
        <v>0.99972887338696914</v>
      </c>
      <c r="O172" s="130">
        <f t="shared" si="28"/>
        <v>71.874305091731557</v>
      </c>
      <c r="P172" s="47">
        <f t="shared" si="29"/>
        <v>0</v>
      </c>
      <c r="Q172" s="57">
        <f t="shared" si="33"/>
        <v>0</v>
      </c>
      <c r="R172" s="151">
        <f t="shared" si="30"/>
        <v>71.874305091731557</v>
      </c>
      <c r="S172" s="130">
        <f t="shared" si="31"/>
        <v>-6.1256949082684429</v>
      </c>
      <c r="T172" s="150">
        <f t="shared" si="26"/>
        <v>0</v>
      </c>
      <c r="V172" s="12"/>
    </row>
    <row r="173" spans="1:22" x14ac:dyDescent="0.25">
      <c r="A173" s="49">
        <f>'A) Base RI'!A174</f>
        <v>5683</v>
      </c>
      <c r="B173" s="350" t="str">
        <f>'A) Base RI'!B174</f>
        <v>Prévonloup</v>
      </c>
      <c r="C173" s="410">
        <v>68701.339579917214</v>
      </c>
      <c r="D173" s="410">
        <v>-46971.610127380001</v>
      </c>
      <c r="E173" s="411">
        <v>0</v>
      </c>
      <c r="F173" s="411">
        <v>0</v>
      </c>
      <c r="G173" s="411">
        <v>0</v>
      </c>
      <c r="H173" s="352">
        <f t="shared" si="25"/>
        <v>21729.729452537213</v>
      </c>
      <c r="I173" s="412">
        <v>3724.6422972972978</v>
      </c>
      <c r="J173" s="355">
        <f>'B) D RI'!U174</f>
        <v>4589.3872972972958</v>
      </c>
      <c r="K173" s="65">
        <f t="shared" si="32"/>
        <v>5.8340446459261059</v>
      </c>
      <c r="L173" s="33">
        <f>'B) D RI'!S174</f>
        <v>74</v>
      </c>
      <c r="M173" s="33">
        <f t="shared" si="27"/>
        <v>68.165955354073901</v>
      </c>
      <c r="N173" s="33">
        <f>'J) Plafonnement effort'!G172+'J) Plafonnement effort'!H172-'K) Plafonnement aide'!I172</f>
        <v>4.0113485570690033</v>
      </c>
      <c r="O173" s="130">
        <f t="shared" si="28"/>
        <v>72.1773039111429</v>
      </c>
      <c r="P173" s="47">
        <f t="shared" si="29"/>
        <v>0</v>
      </c>
      <c r="Q173" s="57">
        <f t="shared" si="33"/>
        <v>0</v>
      </c>
      <c r="R173" s="151">
        <f t="shared" si="30"/>
        <v>72.1773039111429</v>
      </c>
      <c r="S173" s="130">
        <f t="shared" si="31"/>
        <v>-1.8226960888571</v>
      </c>
      <c r="T173" s="150">
        <f t="shared" si="26"/>
        <v>0</v>
      </c>
      <c r="V173" s="12"/>
    </row>
    <row r="174" spans="1:22" x14ac:dyDescent="0.25">
      <c r="A174" s="49">
        <f>'A) Base RI'!A175</f>
        <v>5684</v>
      </c>
      <c r="B174" s="350" t="str">
        <f>'A) Base RI'!B175</f>
        <v>Rossenges</v>
      </c>
      <c r="C174" s="410">
        <v>34512.654681023283</v>
      </c>
      <c r="D174" s="410">
        <v>8714.2299796066145</v>
      </c>
      <c r="E174" s="411">
        <v>0</v>
      </c>
      <c r="F174" s="411">
        <v>0</v>
      </c>
      <c r="G174" s="411">
        <v>0</v>
      </c>
      <c r="H174" s="352">
        <f t="shared" si="25"/>
        <v>43226.884660629898</v>
      </c>
      <c r="I174" s="412">
        <v>1951.4436666666666</v>
      </c>
      <c r="J174" s="355">
        <f>'B) D RI'!U175</f>
        <v>3098.721</v>
      </c>
      <c r="K174" s="65">
        <f t="shared" si="32"/>
        <v>22.151233673307797</v>
      </c>
      <c r="L174" s="33">
        <f>'B) D RI'!S175</f>
        <v>75</v>
      </c>
      <c r="M174" s="33">
        <f t="shared" si="27"/>
        <v>52.8487663266922</v>
      </c>
      <c r="N174" s="33">
        <f>'J) Plafonnement effort'!G173+'J) Plafonnement effort'!H173-'K) Plafonnement aide'!I173</f>
        <v>21.324838443768328</v>
      </c>
      <c r="O174" s="130">
        <f t="shared" si="28"/>
        <v>74.173604770460528</v>
      </c>
      <c r="P174" s="47">
        <f t="shared" si="29"/>
        <v>0</v>
      </c>
      <c r="Q174" s="57">
        <f t="shared" si="33"/>
        <v>0</v>
      </c>
      <c r="R174" s="151">
        <f t="shared" si="30"/>
        <v>74.173604770460528</v>
      </c>
      <c r="S174" s="130">
        <f t="shared" si="31"/>
        <v>-0.82639522953947164</v>
      </c>
      <c r="T174" s="150">
        <f t="shared" si="26"/>
        <v>0</v>
      </c>
      <c r="V174" s="12"/>
    </row>
    <row r="175" spans="1:22" x14ac:dyDescent="0.25">
      <c r="A175" s="49">
        <f>'A) Base RI'!A176</f>
        <v>5688</v>
      </c>
      <c r="B175" s="350" t="str">
        <f>'A) Base RI'!B176</f>
        <v>Syens</v>
      </c>
      <c r="C175" s="410">
        <v>75737.065429302034</v>
      </c>
      <c r="D175" s="410">
        <v>-13153.945284487621</v>
      </c>
      <c r="E175" s="411">
        <v>0</v>
      </c>
      <c r="F175" s="411">
        <v>0</v>
      </c>
      <c r="G175" s="411">
        <v>0</v>
      </c>
      <c r="H175" s="352">
        <f t="shared" si="25"/>
        <v>62583.120144814413</v>
      </c>
      <c r="I175" s="412">
        <v>3966.9414021164025</v>
      </c>
      <c r="J175" s="355">
        <f>'B) D RI'!U176</f>
        <v>2742.3284391534398</v>
      </c>
      <c r="K175" s="65">
        <f t="shared" si="32"/>
        <v>15.776164505839612</v>
      </c>
      <c r="L175" s="33">
        <f>'B) D RI'!S176</f>
        <v>75.599999999999994</v>
      </c>
      <c r="M175" s="33">
        <f t="shared" si="27"/>
        <v>59.823835494160384</v>
      </c>
      <c r="N175" s="33">
        <f>'J) Plafonnement effort'!G174+'J) Plafonnement effort'!H174-'K) Plafonnement aide'!I174</f>
        <v>-23.284742408998913</v>
      </c>
      <c r="O175" s="130">
        <f t="shared" si="28"/>
        <v>36.539093085161468</v>
      </c>
      <c r="P175" s="47">
        <f t="shared" si="29"/>
        <v>0</v>
      </c>
      <c r="Q175" s="57">
        <f t="shared" si="33"/>
        <v>0</v>
      </c>
      <c r="R175" s="151">
        <f t="shared" si="30"/>
        <v>36.539093085161468</v>
      </c>
      <c r="S175" s="130">
        <f t="shared" si="31"/>
        <v>-39.060906914838526</v>
      </c>
      <c r="T175" s="150">
        <f t="shared" si="26"/>
        <v>0</v>
      </c>
      <c r="V175" s="12"/>
    </row>
    <row r="176" spans="1:22" x14ac:dyDescent="0.25">
      <c r="A176" s="49">
        <f>'A) Base RI'!A177</f>
        <v>5690</v>
      </c>
      <c r="B176" s="350" t="str">
        <f>'A) Base RI'!B177</f>
        <v>Villars-le-Comte</v>
      </c>
      <c r="C176" s="410">
        <v>64506.988582704354</v>
      </c>
      <c r="D176" s="410">
        <v>27119.36932614907</v>
      </c>
      <c r="E176" s="411">
        <v>0</v>
      </c>
      <c r="F176" s="411">
        <v>0</v>
      </c>
      <c r="G176" s="411">
        <v>0</v>
      </c>
      <c r="H176" s="352">
        <f t="shared" si="25"/>
        <v>91626.357908853417</v>
      </c>
      <c r="I176" s="412">
        <v>4059.4070238095242</v>
      </c>
      <c r="J176" s="355">
        <f>'B) D RI'!U177</f>
        <v>3018.1645000000003</v>
      </c>
      <c r="K176" s="65">
        <f t="shared" si="32"/>
        <v>22.571365071657006</v>
      </c>
      <c r="L176" s="33">
        <f>'B) D RI'!S177</f>
        <v>70</v>
      </c>
      <c r="M176" s="33">
        <f t="shared" si="27"/>
        <v>47.428634928342994</v>
      </c>
      <c r="N176" s="33">
        <f>'J) Plafonnement effort'!G175+'J) Plafonnement effort'!H175-'K) Plafonnement aide'!I175</f>
        <v>38.194618444789491</v>
      </c>
      <c r="O176" s="130">
        <f t="shared" si="28"/>
        <v>85.623253373132485</v>
      </c>
      <c r="P176" s="47">
        <f t="shared" si="29"/>
        <v>0</v>
      </c>
      <c r="Q176" s="57">
        <f t="shared" si="33"/>
        <v>0</v>
      </c>
      <c r="R176" s="151">
        <f t="shared" si="30"/>
        <v>85.623253373132485</v>
      </c>
      <c r="S176" s="130">
        <f t="shared" si="31"/>
        <v>15.623253373132485</v>
      </c>
      <c r="T176" s="150">
        <f t="shared" si="26"/>
        <v>0</v>
      </c>
      <c r="V176" s="12"/>
    </row>
    <row r="177" spans="1:22" x14ac:dyDescent="0.25">
      <c r="A177" s="49">
        <f>'A) Base RI'!A178</f>
        <v>5692</v>
      </c>
      <c r="B177" s="350" t="str">
        <f>'A) Base RI'!B178</f>
        <v>Vucherens</v>
      </c>
      <c r="C177" s="410">
        <v>315973.93162752211</v>
      </c>
      <c r="D177" s="410">
        <v>7243.1446300956304</v>
      </c>
      <c r="E177" s="411">
        <v>0</v>
      </c>
      <c r="F177" s="411">
        <v>0</v>
      </c>
      <c r="G177" s="411">
        <v>0</v>
      </c>
      <c r="H177" s="352">
        <f t="shared" si="25"/>
        <v>323217.07625761774</v>
      </c>
      <c r="I177" s="412">
        <v>16205.612531645571</v>
      </c>
      <c r="J177" s="355">
        <f>'B) D RI'!U178</f>
        <v>16002.190506329114</v>
      </c>
      <c r="K177" s="65">
        <f t="shared" si="32"/>
        <v>19.944761460046905</v>
      </c>
      <c r="L177" s="33">
        <f>'B) D RI'!S178</f>
        <v>79</v>
      </c>
      <c r="M177" s="33">
        <f t="shared" si="27"/>
        <v>59.055238539953095</v>
      </c>
      <c r="N177" s="33">
        <f>'J) Plafonnement effort'!G176+'J) Plafonnement effort'!H176-'K) Plafonnement aide'!I176</f>
        <v>11.584720144274703</v>
      </c>
      <c r="O177" s="130">
        <f t="shared" si="28"/>
        <v>70.639958684227793</v>
      </c>
      <c r="P177" s="47">
        <f t="shared" si="29"/>
        <v>0</v>
      </c>
      <c r="Q177" s="57">
        <f t="shared" si="33"/>
        <v>0</v>
      </c>
      <c r="R177" s="151">
        <f t="shared" si="30"/>
        <v>70.639958684227793</v>
      </c>
      <c r="S177" s="130">
        <f t="shared" si="31"/>
        <v>-8.3600413157722073</v>
      </c>
      <c r="T177" s="150">
        <f t="shared" si="26"/>
        <v>0</v>
      </c>
      <c r="V177" s="12"/>
    </row>
    <row r="178" spans="1:22" x14ac:dyDescent="0.25">
      <c r="A178" s="49">
        <f>'A) Base RI'!A179</f>
        <v>5693</v>
      </c>
      <c r="B178" s="350" t="str">
        <f>'A) Base RI'!B179</f>
        <v>Montanaire</v>
      </c>
      <c r="C178" s="410">
        <v>1192982.5321795845</v>
      </c>
      <c r="D178" s="410">
        <v>-412671.64256623597</v>
      </c>
      <c r="E178" s="411">
        <v>0</v>
      </c>
      <c r="F178" s="411">
        <v>0</v>
      </c>
      <c r="G178" s="411">
        <v>0</v>
      </c>
      <c r="H178" s="352">
        <f t="shared" si="25"/>
        <v>780310.88961334853</v>
      </c>
      <c r="I178" s="412">
        <v>69929.896527777775</v>
      </c>
      <c r="J178" s="355">
        <f>'B) D RI'!U179</f>
        <v>70807.212499999965</v>
      </c>
      <c r="K178" s="65">
        <f>H178/I178</f>
        <v>11.158473390610423</v>
      </c>
      <c r="L178" s="33">
        <f>'B) D RI'!S179</f>
        <v>72</v>
      </c>
      <c r="M178" s="33">
        <f>L178-K178</f>
        <v>60.841526609389575</v>
      </c>
      <c r="N178" s="33">
        <f>'J) Plafonnement effort'!G177+'J) Plafonnement effort'!H177-'K) Plafonnement aide'!I177</f>
        <v>2.0727591069992535</v>
      </c>
      <c r="O178" s="130">
        <f>M178+N178</f>
        <v>62.914285716388832</v>
      </c>
      <c r="P178" s="47">
        <f t="shared" si="29"/>
        <v>0</v>
      </c>
      <c r="Q178" s="57">
        <f>P178*J178</f>
        <v>0</v>
      </c>
      <c r="R178" s="151">
        <f>O178+P178</f>
        <v>62.914285716388832</v>
      </c>
      <c r="S178" s="130">
        <f>R178-L178</f>
        <v>-9.0857142836111677</v>
      </c>
      <c r="T178" s="150">
        <f t="shared" si="26"/>
        <v>0</v>
      </c>
      <c r="V178" s="12"/>
    </row>
    <row r="179" spans="1:22" x14ac:dyDescent="0.25">
      <c r="A179" s="49">
        <f>'A) Base RI'!A180</f>
        <v>5701</v>
      </c>
      <c r="B179" s="350" t="str">
        <f>'A) Base RI'!B180</f>
        <v>Arnex-sur-Nyon</v>
      </c>
      <c r="C179" s="410">
        <v>282675.570386532</v>
      </c>
      <c r="D179" s="410">
        <v>231253.77823541252</v>
      </c>
      <c r="E179" s="411">
        <v>0</v>
      </c>
      <c r="F179" s="411">
        <v>0</v>
      </c>
      <c r="G179" s="411">
        <v>0</v>
      </c>
      <c r="H179" s="352">
        <f t="shared" si="25"/>
        <v>513929.34862194455</v>
      </c>
      <c r="I179" s="412">
        <v>13502.083857142858</v>
      </c>
      <c r="J179" s="355">
        <f>'B) D RI'!U180</f>
        <v>12068.134285714286</v>
      </c>
      <c r="K179" s="65">
        <f>H179/I179</f>
        <v>38.062965247402623</v>
      </c>
      <c r="L179" s="33">
        <f>'B) D RI'!S180</f>
        <v>70</v>
      </c>
      <c r="M179" s="33">
        <f>L179-K179</f>
        <v>31.937034752597377</v>
      </c>
      <c r="N179" s="33">
        <f>'J) Plafonnement effort'!G178+'J) Plafonnement effort'!H178-'K) Plafonnement aide'!I178</f>
        <v>21.257296052557411</v>
      </c>
      <c r="O179" s="130">
        <f>M179+N179</f>
        <v>53.194330805154792</v>
      </c>
      <c r="P179" s="47">
        <f t="shared" si="29"/>
        <v>0</v>
      </c>
      <c r="Q179" s="57">
        <f>P179*J179</f>
        <v>0</v>
      </c>
      <c r="R179" s="151">
        <f>O179+P179</f>
        <v>53.194330805154792</v>
      </c>
      <c r="S179" s="130">
        <f>R179-L179</f>
        <v>-16.805669194845208</v>
      </c>
      <c r="T179" s="150">
        <f t="shared" si="26"/>
        <v>0</v>
      </c>
      <c r="V179" s="12"/>
    </row>
    <row r="180" spans="1:22" x14ac:dyDescent="0.25">
      <c r="A180" s="49">
        <f>'A) Base RI'!A181</f>
        <v>5702</v>
      </c>
      <c r="B180" s="350" t="str">
        <f>'A) Base RI'!B181</f>
        <v>Arzier-Le Muids</v>
      </c>
      <c r="C180" s="410">
        <v>3788622.0449349219</v>
      </c>
      <c r="D180" s="410">
        <v>2558819.7069593039</v>
      </c>
      <c r="E180" s="411">
        <v>0</v>
      </c>
      <c r="F180" s="411">
        <v>0</v>
      </c>
      <c r="G180" s="411">
        <v>0</v>
      </c>
      <c r="H180" s="352">
        <f t="shared" si="25"/>
        <v>6347441.7518942263</v>
      </c>
      <c r="I180" s="412">
        <v>176072.16864583336</v>
      </c>
      <c r="J180" s="355">
        <f>'B) D RI'!U181</f>
        <v>173952.76901041667</v>
      </c>
      <c r="K180" s="65">
        <f t="shared" si="32"/>
        <v>36.050227589699396</v>
      </c>
      <c r="L180" s="33">
        <f>'B) D RI'!S181</f>
        <v>64</v>
      </c>
      <c r="M180" s="33">
        <f t="shared" si="27"/>
        <v>27.949772410300604</v>
      </c>
      <c r="N180" s="33">
        <f>'J) Plafonnement effort'!G179+'J) Plafonnement effort'!H179-'K) Plafonnement aide'!I179</f>
        <v>36.272656525955696</v>
      </c>
      <c r="O180" s="130">
        <f t="shared" si="28"/>
        <v>64.222428936256307</v>
      </c>
      <c r="P180" s="47">
        <f t="shared" si="29"/>
        <v>0</v>
      </c>
      <c r="Q180" s="57">
        <f t="shared" si="33"/>
        <v>0</v>
      </c>
      <c r="R180" s="151">
        <f t="shared" si="30"/>
        <v>64.222428936256307</v>
      </c>
      <c r="S180" s="130">
        <f t="shared" si="31"/>
        <v>0.222428936256307</v>
      </c>
      <c r="T180" s="150">
        <f t="shared" si="26"/>
        <v>0</v>
      </c>
      <c r="V180" s="12"/>
    </row>
    <row r="181" spans="1:22" x14ac:dyDescent="0.25">
      <c r="A181" s="49">
        <f>'A) Base RI'!A182</f>
        <v>5703</v>
      </c>
      <c r="B181" s="350" t="str">
        <f>'A) Base RI'!B182</f>
        <v>Bassins</v>
      </c>
      <c r="C181" s="410">
        <v>1005228.3959755624</v>
      </c>
      <c r="D181" s="410">
        <v>708808.04754515714</v>
      </c>
      <c r="E181" s="411">
        <v>0</v>
      </c>
      <c r="F181" s="411">
        <v>0</v>
      </c>
      <c r="G181" s="411">
        <v>0</v>
      </c>
      <c r="H181" s="352">
        <f t="shared" si="25"/>
        <v>1714036.4435207197</v>
      </c>
      <c r="I181" s="412">
        <v>55245.232548262546</v>
      </c>
      <c r="J181" s="355">
        <f>'B) D RI'!U182</f>
        <v>58992.28158301158</v>
      </c>
      <c r="K181" s="65">
        <f t="shared" si="32"/>
        <v>31.025961236081823</v>
      </c>
      <c r="L181" s="33">
        <f>'B) D RI'!S182</f>
        <v>74</v>
      </c>
      <c r="M181" s="33">
        <f t="shared" si="27"/>
        <v>42.974038763918173</v>
      </c>
      <c r="N181" s="33">
        <f>'J) Plafonnement effort'!G180+'J) Plafonnement effort'!H180-'K) Plafonnement aide'!I180</f>
        <v>24.75350707844045</v>
      </c>
      <c r="O181" s="130">
        <f t="shared" si="28"/>
        <v>67.727545842358623</v>
      </c>
      <c r="P181" s="47">
        <f t="shared" si="29"/>
        <v>0</v>
      </c>
      <c r="Q181" s="57">
        <f t="shared" si="33"/>
        <v>0</v>
      </c>
      <c r="R181" s="151">
        <f t="shared" si="30"/>
        <v>67.727545842358623</v>
      </c>
      <c r="S181" s="130">
        <f t="shared" si="31"/>
        <v>-6.272454157641377</v>
      </c>
      <c r="T181" s="150">
        <f t="shared" si="26"/>
        <v>0</v>
      </c>
      <c r="V181" s="12"/>
    </row>
    <row r="182" spans="1:22" x14ac:dyDescent="0.25">
      <c r="A182" s="49">
        <f>'A) Base RI'!A183</f>
        <v>5704</v>
      </c>
      <c r="B182" s="350" t="str">
        <f>'A) Base RI'!B183</f>
        <v>Begnins</v>
      </c>
      <c r="C182" s="410">
        <v>2747298.978851926</v>
      </c>
      <c r="D182" s="410">
        <v>1865369.4434543801</v>
      </c>
      <c r="E182" s="411">
        <v>0</v>
      </c>
      <c r="F182" s="411">
        <v>0</v>
      </c>
      <c r="G182" s="411">
        <v>0</v>
      </c>
      <c r="H182" s="352">
        <f t="shared" si="25"/>
        <v>4612668.4223063067</v>
      </c>
      <c r="I182" s="412">
        <v>123862.49598958335</v>
      </c>
      <c r="J182" s="355">
        <f>'B) D RI'!U183</f>
        <v>129564.85270833333</v>
      </c>
      <c r="K182" s="65">
        <f t="shared" si="32"/>
        <v>37.240234709094068</v>
      </c>
      <c r="L182" s="33">
        <f>'B) D RI'!S183</f>
        <v>64</v>
      </c>
      <c r="M182" s="33">
        <f t="shared" si="27"/>
        <v>26.759765290905932</v>
      </c>
      <c r="N182" s="33">
        <f>'J) Plafonnement effort'!G181+'J) Plafonnement effort'!H181-'K) Plafonnement aide'!I181</f>
        <v>38.450411460559081</v>
      </c>
      <c r="O182" s="130">
        <f t="shared" si="28"/>
        <v>65.210176751465013</v>
      </c>
      <c r="P182" s="47">
        <f t="shared" si="29"/>
        <v>0</v>
      </c>
      <c r="Q182" s="57">
        <f t="shared" si="33"/>
        <v>0</v>
      </c>
      <c r="R182" s="151">
        <f t="shared" si="30"/>
        <v>65.210176751465013</v>
      </c>
      <c r="S182" s="130">
        <f t="shared" si="31"/>
        <v>1.2101767514650135</v>
      </c>
      <c r="T182" s="150">
        <f t="shared" si="26"/>
        <v>0</v>
      </c>
      <c r="V182" s="12"/>
    </row>
    <row r="183" spans="1:22" x14ac:dyDescent="0.25">
      <c r="A183" s="49">
        <f>'A) Base RI'!A184</f>
        <v>5705</v>
      </c>
      <c r="B183" s="350" t="str">
        <f>'A) Base RI'!B184</f>
        <v>Bogis-Bossey</v>
      </c>
      <c r="C183" s="410">
        <v>927423.95382160798</v>
      </c>
      <c r="D183" s="410">
        <v>846811.63831432583</v>
      </c>
      <c r="E183" s="411">
        <v>0</v>
      </c>
      <c r="F183" s="411">
        <v>0</v>
      </c>
      <c r="G183" s="411">
        <v>0</v>
      </c>
      <c r="H183" s="352">
        <f t="shared" si="25"/>
        <v>1774235.5921359337</v>
      </c>
      <c r="I183" s="412">
        <v>49404.992428571422</v>
      </c>
      <c r="J183" s="355">
        <f>'B) D RI'!U184</f>
        <v>47436.61605263158</v>
      </c>
      <c r="K183" s="65">
        <f t="shared" si="32"/>
        <v>35.912070924837849</v>
      </c>
      <c r="L183" s="33">
        <f>'B) D RI'!S184</f>
        <v>76</v>
      </c>
      <c r="M183" s="33">
        <f t="shared" si="27"/>
        <v>40.087929075162151</v>
      </c>
      <c r="N183" s="33">
        <f>'J) Plafonnement effort'!G182+'J) Plafonnement effort'!H182-'K) Plafonnement aide'!I182</f>
        <v>38.800669614146024</v>
      </c>
      <c r="O183" s="130">
        <f t="shared" si="28"/>
        <v>78.888598689308168</v>
      </c>
      <c r="P183" s="47">
        <f t="shared" si="29"/>
        <v>0</v>
      </c>
      <c r="Q183" s="57">
        <f t="shared" si="33"/>
        <v>0</v>
      </c>
      <c r="R183" s="151">
        <f t="shared" si="30"/>
        <v>78.888598689308168</v>
      </c>
      <c r="S183" s="130">
        <f t="shared" si="31"/>
        <v>2.8885986893081679</v>
      </c>
      <c r="T183" s="150">
        <f t="shared" si="26"/>
        <v>0</v>
      </c>
      <c r="V183" s="12"/>
    </row>
    <row r="184" spans="1:22" x14ac:dyDescent="0.25">
      <c r="A184" s="49">
        <f>'A) Base RI'!A185</f>
        <v>5706</v>
      </c>
      <c r="B184" s="350" t="str">
        <f>'A) Base RI'!B185</f>
        <v>Borex</v>
      </c>
      <c r="C184" s="410">
        <v>1316081.2395999685</v>
      </c>
      <c r="D184" s="410">
        <v>1171978.76958153</v>
      </c>
      <c r="E184" s="411">
        <v>0</v>
      </c>
      <c r="F184" s="411">
        <v>0</v>
      </c>
      <c r="G184" s="411">
        <v>0</v>
      </c>
      <c r="H184" s="352">
        <f t="shared" si="25"/>
        <v>2488060.0091814985</v>
      </c>
      <c r="I184" s="412">
        <v>70968.038045977009</v>
      </c>
      <c r="J184" s="355">
        <f>'B) D RI'!U185</f>
        <v>76683.378793103446</v>
      </c>
      <c r="K184" s="65">
        <f t="shared" si="32"/>
        <v>35.058881120112069</v>
      </c>
      <c r="L184" s="33">
        <f>'B) D RI'!S185</f>
        <v>58</v>
      </c>
      <c r="M184" s="33">
        <f t="shared" si="27"/>
        <v>22.941118879887931</v>
      </c>
      <c r="N184" s="33">
        <f>'J) Plafonnement effort'!G183+'J) Plafonnement effort'!H183-'K) Plafonnement aide'!I183</f>
        <v>38.514703654334646</v>
      </c>
      <c r="O184" s="130">
        <f t="shared" si="28"/>
        <v>61.455822534222577</v>
      </c>
      <c r="P184" s="47">
        <f t="shared" si="29"/>
        <v>0</v>
      </c>
      <c r="Q184" s="57">
        <f t="shared" si="33"/>
        <v>0</v>
      </c>
      <c r="R184" s="151">
        <f t="shared" si="30"/>
        <v>61.455822534222577</v>
      </c>
      <c r="S184" s="130">
        <f t="shared" si="31"/>
        <v>3.4558225342225768</v>
      </c>
      <c r="T184" s="150">
        <f t="shared" si="26"/>
        <v>0</v>
      </c>
      <c r="V184" s="12"/>
    </row>
    <row r="185" spans="1:22" x14ac:dyDescent="0.25">
      <c r="A185" s="49">
        <f>'A) Base RI'!A186</f>
        <v>5707</v>
      </c>
      <c r="B185" s="350" t="str">
        <f>'A) Base RI'!B186</f>
        <v>Chavannes-de-Bogis</v>
      </c>
      <c r="C185" s="410">
        <v>1699756.6269108569</v>
      </c>
      <c r="D185" s="410">
        <v>1254270.6234727127</v>
      </c>
      <c r="E185" s="411">
        <v>0</v>
      </c>
      <c r="F185" s="411">
        <v>0</v>
      </c>
      <c r="G185" s="411">
        <v>0</v>
      </c>
      <c r="H185" s="352">
        <f t="shared" si="25"/>
        <v>2954027.2503835699</v>
      </c>
      <c r="I185" s="412">
        <v>77704.286214689273</v>
      </c>
      <c r="J185" s="355">
        <f>'B) D RI'!U186</f>
        <v>81307.638983050841</v>
      </c>
      <c r="K185" s="65">
        <f t="shared" si="32"/>
        <v>38.016271614951641</v>
      </c>
      <c r="L185" s="33">
        <f>'B) D RI'!S186</f>
        <v>59</v>
      </c>
      <c r="M185" s="33">
        <f t="shared" si="27"/>
        <v>20.983728385048359</v>
      </c>
      <c r="N185" s="33">
        <f>'J) Plafonnement effort'!G184+'J) Plafonnement effort'!H184-'K) Plafonnement aide'!I184</f>
        <v>39.16570216886474</v>
      </c>
      <c r="O185" s="130">
        <f t="shared" si="28"/>
        <v>60.149430553913099</v>
      </c>
      <c r="P185" s="47">
        <f t="shared" si="29"/>
        <v>0</v>
      </c>
      <c r="Q185" s="57">
        <f t="shared" si="33"/>
        <v>0</v>
      </c>
      <c r="R185" s="151">
        <f t="shared" si="30"/>
        <v>60.149430553913099</v>
      </c>
      <c r="S185" s="130">
        <f t="shared" si="31"/>
        <v>1.1494305539130991</v>
      </c>
      <c r="T185" s="150">
        <f t="shared" si="26"/>
        <v>0</v>
      </c>
      <c r="V185" s="12"/>
    </row>
    <row r="186" spans="1:22" x14ac:dyDescent="0.25">
      <c r="A186" s="49">
        <f>'A) Base RI'!A187</f>
        <v>5708</v>
      </c>
      <c r="B186" s="350" t="str">
        <f>'A) Base RI'!B187</f>
        <v>Chavannes-des-Bois</v>
      </c>
      <c r="C186" s="410">
        <v>1076725.4096088323</v>
      </c>
      <c r="D186" s="410">
        <v>974368.98984887265</v>
      </c>
      <c r="E186" s="411">
        <v>0</v>
      </c>
      <c r="F186" s="411">
        <v>0</v>
      </c>
      <c r="G186" s="411">
        <v>0</v>
      </c>
      <c r="H186" s="352">
        <f t="shared" si="25"/>
        <v>2051094.399457705</v>
      </c>
      <c r="I186" s="412">
        <v>57040.784867724869</v>
      </c>
      <c r="J186" s="355">
        <f>'B) D RI'!U187</f>
        <v>64704.48911764707</v>
      </c>
      <c r="K186" s="65">
        <f t="shared" si="32"/>
        <v>35.958383185191174</v>
      </c>
      <c r="L186" s="33">
        <f>'B) D RI'!S187</f>
        <v>68</v>
      </c>
      <c r="M186" s="33">
        <f t="shared" si="27"/>
        <v>32.041616814808826</v>
      </c>
      <c r="N186" s="33">
        <f>'J) Plafonnement effort'!G185+'J) Plafonnement effort'!H185-'K) Plafonnement aide'!I185</f>
        <v>41.714909671918917</v>
      </c>
      <c r="O186" s="130">
        <f t="shared" si="28"/>
        <v>73.756526486727751</v>
      </c>
      <c r="P186" s="47">
        <f t="shared" si="29"/>
        <v>0</v>
      </c>
      <c r="Q186" s="57">
        <f t="shared" si="33"/>
        <v>0</v>
      </c>
      <c r="R186" s="151">
        <f t="shared" si="30"/>
        <v>73.756526486727751</v>
      </c>
      <c r="S186" s="130">
        <f t="shared" si="31"/>
        <v>5.7565264867277506</v>
      </c>
      <c r="T186" s="150">
        <f t="shared" si="26"/>
        <v>0</v>
      </c>
      <c r="V186" s="12"/>
    </row>
    <row r="187" spans="1:22" x14ac:dyDescent="0.25">
      <c r="A187" s="49">
        <f>'A) Base RI'!A188</f>
        <v>5709</v>
      </c>
      <c r="B187" s="350" t="str">
        <f>'A) Base RI'!B188</f>
        <v>Chéserex</v>
      </c>
      <c r="C187" s="410">
        <v>2626349.1521841721</v>
      </c>
      <c r="D187" s="410">
        <v>1723313.1215378805</v>
      </c>
      <c r="E187" s="411">
        <v>0</v>
      </c>
      <c r="F187" s="411">
        <v>0</v>
      </c>
      <c r="G187" s="411">
        <v>0</v>
      </c>
      <c r="H187" s="352">
        <f t="shared" si="25"/>
        <v>4349662.2737220526</v>
      </c>
      <c r="I187" s="412">
        <v>108721.76175438597</v>
      </c>
      <c r="J187" s="355">
        <f>'B) D RI'!U188</f>
        <v>99426.699824561394</v>
      </c>
      <c r="K187" s="65">
        <f t="shared" si="32"/>
        <v>40.00728284323062</v>
      </c>
      <c r="L187" s="33">
        <f>'B) D RI'!S188</f>
        <v>57</v>
      </c>
      <c r="M187" s="33">
        <f t="shared" si="27"/>
        <v>16.99271715676938</v>
      </c>
      <c r="N187" s="33">
        <f>'J) Plafonnement effort'!G186+'J) Plafonnement effort'!H186-'K) Plafonnement aide'!I186</f>
        <v>42.844132746980861</v>
      </c>
      <c r="O187" s="130">
        <f t="shared" si="28"/>
        <v>59.836849903750242</v>
      </c>
      <c r="P187" s="47">
        <f t="shared" si="29"/>
        <v>0</v>
      </c>
      <c r="Q187" s="57">
        <f t="shared" si="33"/>
        <v>0</v>
      </c>
      <c r="R187" s="151">
        <f t="shared" si="30"/>
        <v>59.836849903750242</v>
      </c>
      <c r="S187" s="130">
        <f t="shared" si="31"/>
        <v>2.8368499037502417</v>
      </c>
      <c r="T187" s="150">
        <f t="shared" si="26"/>
        <v>0</v>
      </c>
      <c r="V187" s="12"/>
    </row>
    <row r="188" spans="1:22" x14ac:dyDescent="0.25">
      <c r="A188" s="49">
        <f>'A) Base RI'!A189</f>
        <v>5710</v>
      </c>
      <c r="B188" s="350" t="str">
        <f>'A) Base RI'!B189</f>
        <v>Coinsins</v>
      </c>
      <c r="C188" s="410">
        <v>4379369.0760371648</v>
      </c>
      <c r="D188" s="410">
        <v>1770249.8672108466</v>
      </c>
      <c r="E188" s="411">
        <v>0</v>
      </c>
      <c r="F188" s="411">
        <v>-548147.21971860179</v>
      </c>
      <c r="G188" s="411">
        <v>0</v>
      </c>
      <c r="H188" s="352">
        <f t="shared" si="25"/>
        <v>5601471.7235294096</v>
      </c>
      <c r="I188" s="412">
        <v>124477.14941176467</v>
      </c>
      <c r="J188" s="355">
        <f>'B) D RI'!U189</f>
        <v>112110.92803921571</v>
      </c>
      <c r="K188" s="65">
        <f t="shared" si="32"/>
        <v>45</v>
      </c>
      <c r="L188" s="33">
        <f>'B) D RI'!S189</f>
        <v>51</v>
      </c>
      <c r="M188" s="33">
        <f t="shared" si="27"/>
        <v>6</v>
      </c>
      <c r="N188" s="33">
        <f>'J) Plafonnement effort'!G187+'J) Plafonnement effort'!H187-'K) Plafonnement aide'!I187</f>
        <v>45</v>
      </c>
      <c r="O188" s="130">
        <f t="shared" si="28"/>
        <v>51</v>
      </c>
      <c r="P188" s="47">
        <f t="shared" si="29"/>
        <v>0</v>
      </c>
      <c r="Q188" s="57">
        <f t="shared" si="33"/>
        <v>0</v>
      </c>
      <c r="R188" s="151">
        <f t="shared" si="30"/>
        <v>51</v>
      </c>
      <c r="S188" s="130">
        <f t="shared" si="31"/>
        <v>0</v>
      </c>
      <c r="T188" s="150">
        <f t="shared" si="26"/>
        <v>0</v>
      </c>
      <c r="V188" s="12"/>
    </row>
    <row r="189" spans="1:22" x14ac:dyDescent="0.25">
      <c r="A189" s="49">
        <f>'A) Base RI'!A190</f>
        <v>5711</v>
      </c>
      <c r="B189" s="350" t="str">
        <f>'A) Base RI'!B190</f>
        <v>Commugny</v>
      </c>
      <c r="C189" s="410">
        <v>7306631.6523652263</v>
      </c>
      <c r="D189" s="410">
        <v>4032715.2721145842</v>
      </c>
      <c r="E189" s="411">
        <v>0</v>
      </c>
      <c r="F189" s="411">
        <v>0</v>
      </c>
      <c r="G189" s="411">
        <v>0</v>
      </c>
      <c r="H189" s="352">
        <f t="shared" si="25"/>
        <v>11339346.924479811</v>
      </c>
      <c r="I189" s="412">
        <v>278130.00205128203</v>
      </c>
      <c r="J189" s="355">
        <f>'B) D RI'!U190</f>
        <v>257487.27623481784</v>
      </c>
      <c r="K189" s="65">
        <f t="shared" si="32"/>
        <v>40.769952327505628</v>
      </c>
      <c r="L189" s="33">
        <f>'B) D RI'!S190</f>
        <v>57</v>
      </c>
      <c r="M189" s="33">
        <f t="shared" si="27"/>
        <v>16.230047672494372</v>
      </c>
      <c r="N189" s="33">
        <f>'J) Plafonnement effort'!G188+'J) Plafonnement effort'!H188-'K) Plafonnement aide'!I188</f>
        <v>42.669914531357563</v>
      </c>
      <c r="O189" s="130">
        <f t="shared" si="28"/>
        <v>58.899962203851935</v>
      </c>
      <c r="P189" s="47">
        <f t="shared" si="29"/>
        <v>0</v>
      </c>
      <c r="Q189" s="57">
        <f t="shared" si="33"/>
        <v>0</v>
      </c>
      <c r="R189" s="151">
        <f t="shared" si="30"/>
        <v>58.899962203851935</v>
      </c>
      <c r="S189" s="130">
        <f t="shared" si="31"/>
        <v>1.8999622038519348</v>
      </c>
      <c r="T189" s="150">
        <f t="shared" si="26"/>
        <v>0</v>
      </c>
      <c r="V189" s="12"/>
    </row>
    <row r="190" spans="1:22" x14ac:dyDescent="0.25">
      <c r="A190" s="49">
        <f>'A) Base RI'!A191</f>
        <v>5712</v>
      </c>
      <c r="B190" s="350" t="str">
        <f>'A) Base RI'!B191</f>
        <v>Coppet</v>
      </c>
      <c r="C190" s="410">
        <v>10468419.984265693</v>
      </c>
      <c r="D190" s="410">
        <v>4856593.4780579461</v>
      </c>
      <c r="E190" s="411">
        <v>0</v>
      </c>
      <c r="F190" s="411">
        <v>-29043.798172694787</v>
      </c>
      <c r="G190" s="411">
        <v>0</v>
      </c>
      <c r="H190" s="352">
        <f t="shared" si="25"/>
        <v>15295969.664150944</v>
      </c>
      <c r="I190" s="412">
        <v>339910.43698113208</v>
      </c>
      <c r="J190" s="355">
        <f>'B) D RI'!U191</f>
        <v>389043.84018867929</v>
      </c>
      <c r="K190" s="65">
        <f t="shared" si="32"/>
        <v>45</v>
      </c>
      <c r="L190" s="33">
        <f>'B) D RI'!S191</f>
        <v>53</v>
      </c>
      <c r="M190" s="33">
        <f t="shared" si="27"/>
        <v>8</v>
      </c>
      <c r="N190" s="33">
        <f>'J) Plafonnement effort'!G189+'J) Plafonnement effort'!H189-'K) Plafonnement aide'!I189</f>
        <v>45</v>
      </c>
      <c r="O190" s="130">
        <f t="shared" si="28"/>
        <v>53</v>
      </c>
      <c r="P190" s="47">
        <f t="shared" si="29"/>
        <v>0</v>
      </c>
      <c r="Q190" s="57">
        <f t="shared" si="33"/>
        <v>0</v>
      </c>
      <c r="R190" s="151">
        <f t="shared" si="30"/>
        <v>53</v>
      </c>
      <c r="S190" s="130">
        <f t="shared" si="31"/>
        <v>0</v>
      </c>
      <c r="T190" s="150">
        <f t="shared" si="26"/>
        <v>0</v>
      </c>
      <c r="V190" s="12"/>
    </row>
    <row r="191" spans="1:22" x14ac:dyDescent="0.25">
      <c r="A191" s="49">
        <f>'A) Base RI'!A192</f>
        <v>5713</v>
      </c>
      <c r="B191" s="350" t="str">
        <f>'A) Base RI'!B192</f>
        <v>Crans-près-Céligny</v>
      </c>
      <c r="C191" s="410">
        <v>8046927.4115113057</v>
      </c>
      <c r="D191" s="410">
        <v>3969004.5424049608</v>
      </c>
      <c r="E191" s="411">
        <v>0</v>
      </c>
      <c r="F191" s="411">
        <v>0</v>
      </c>
      <c r="G191" s="411">
        <v>0</v>
      </c>
      <c r="H191" s="352">
        <f t="shared" si="25"/>
        <v>12015931.953916267</v>
      </c>
      <c r="I191" s="412">
        <v>273152.99188679247</v>
      </c>
      <c r="J191" s="355">
        <f>'B) D RI'!U192</f>
        <v>285689.07035714283</v>
      </c>
      <c r="K191" s="65">
        <f t="shared" si="32"/>
        <v>43.989750472497981</v>
      </c>
      <c r="L191" s="33">
        <f>'B) D RI'!S192</f>
        <v>56</v>
      </c>
      <c r="M191" s="33">
        <f t="shared" si="27"/>
        <v>12.010249527502019</v>
      </c>
      <c r="N191" s="33">
        <f>'J) Plafonnement effort'!G190+'J) Plafonnement effort'!H190-'K) Plafonnement aide'!I190</f>
        <v>45</v>
      </c>
      <c r="O191" s="130">
        <f t="shared" si="28"/>
        <v>57.010249527502019</v>
      </c>
      <c r="P191" s="47">
        <f t="shared" si="29"/>
        <v>0</v>
      </c>
      <c r="Q191" s="57">
        <f t="shared" si="33"/>
        <v>0</v>
      </c>
      <c r="R191" s="151">
        <f t="shared" si="30"/>
        <v>57.010249527502019</v>
      </c>
      <c r="S191" s="130">
        <f t="shared" si="31"/>
        <v>1.0102495275020189</v>
      </c>
      <c r="T191" s="150">
        <f t="shared" si="26"/>
        <v>0</v>
      </c>
      <c r="V191" s="12"/>
    </row>
    <row r="192" spans="1:22" x14ac:dyDescent="0.25">
      <c r="A192" s="49">
        <f>'A) Base RI'!A193</f>
        <v>5714</v>
      </c>
      <c r="B192" s="350" t="str">
        <f>'A) Base RI'!B193</f>
        <v>Crassier</v>
      </c>
      <c r="C192" s="410">
        <v>1530291.1204029568</v>
      </c>
      <c r="D192" s="410">
        <v>1260280.3802384334</v>
      </c>
      <c r="E192" s="411">
        <v>0</v>
      </c>
      <c r="F192" s="411">
        <v>0</v>
      </c>
      <c r="G192" s="411">
        <v>0</v>
      </c>
      <c r="H192" s="352">
        <f t="shared" si="25"/>
        <v>2790571.5006413902</v>
      </c>
      <c r="I192" s="412">
        <v>77000.951562499991</v>
      </c>
      <c r="J192" s="355">
        <f>'B) D RI'!U193</f>
        <v>69757.357205882377</v>
      </c>
      <c r="K192" s="65">
        <f t="shared" si="32"/>
        <v>36.240740458594779</v>
      </c>
      <c r="L192" s="33">
        <f>'B) D RI'!S193</f>
        <v>68</v>
      </c>
      <c r="M192" s="33">
        <f t="shared" si="27"/>
        <v>31.759259541405221</v>
      </c>
      <c r="N192" s="33">
        <f>'J) Plafonnement effort'!G191+'J) Plafonnement effort'!H191-'K) Plafonnement aide'!I191</f>
        <v>37.794286421967115</v>
      </c>
      <c r="O192" s="130">
        <f t="shared" si="28"/>
        <v>69.553545963372329</v>
      </c>
      <c r="P192" s="47">
        <f t="shared" si="29"/>
        <v>0</v>
      </c>
      <c r="Q192" s="57">
        <f t="shared" si="33"/>
        <v>0</v>
      </c>
      <c r="R192" s="151">
        <f t="shared" si="30"/>
        <v>69.553545963372329</v>
      </c>
      <c r="S192" s="130">
        <f t="shared" si="31"/>
        <v>1.5535459633723292</v>
      </c>
      <c r="T192" s="150">
        <f t="shared" si="26"/>
        <v>0</v>
      </c>
      <c r="V192" s="12"/>
    </row>
    <row r="193" spans="1:22" x14ac:dyDescent="0.25">
      <c r="A193" s="49">
        <f>'A) Base RI'!A194</f>
        <v>5715</v>
      </c>
      <c r="B193" s="350" t="str">
        <f>'A) Base RI'!B194</f>
        <v>Duillier</v>
      </c>
      <c r="C193" s="410">
        <v>1805068.9162624711</v>
      </c>
      <c r="D193" s="410">
        <v>1279506.1533660081</v>
      </c>
      <c r="E193" s="411">
        <v>0</v>
      </c>
      <c r="F193" s="411">
        <v>0</v>
      </c>
      <c r="G193" s="411">
        <v>0</v>
      </c>
      <c r="H193" s="352">
        <f t="shared" si="25"/>
        <v>3084575.069628479</v>
      </c>
      <c r="I193" s="412">
        <v>77442.225909090921</v>
      </c>
      <c r="J193" s="355">
        <f>'B) D RI'!U194</f>
        <v>70129.929393939397</v>
      </c>
      <c r="K193" s="65">
        <f t="shared" si="32"/>
        <v>39.830661288706338</v>
      </c>
      <c r="L193" s="33">
        <f>'B) D RI'!S194</f>
        <v>66</v>
      </c>
      <c r="M193" s="33">
        <f t="shared" si="27"/>
        <v>26.169338711293662</v>
      </c>
      <c r="N193" s="33">
        <f>'J) Plafonnement effort'!G192+'J) Plafonnement effort'!H192-'K) Plafonnement aide'!I192</f>
        <v>39.168469876666073</v>
      </c>
      <c r="O193" s="130">
        <f t="shared" si="28"/>
        <v>65.337808587959728</v>
      </c>
      <c r="P193" s="47">
        <f t="shared" si="29"/>
        <v>0</v>
      </c>
      <c r="Q193" s="57">
        <f t="shared" si="33"/>
        <v>0</v>
      </c>
      <c r="R193" s="151">
        <f t="shared" si="30"/>
        <v>65.337808587959728</v>
      </c>
      <c r="S193" s="130">
        <f t="shared" si="31"/>
        <v>-0.6621914120402721</v>
      </c>
      <c r="T193" s="150">
        <f t="shared" si="26"/>
        <v>0</v>
      </c>
      <c r="V193" s="12"/>
    </row>
    <row r="194" spans="1:22" x14ac:dyDescent="0.25">
      <c r="A194" s="49">
        <f>'A) Base RI'!A195</f>
        <v>5716</v>
      </c>
      <c r="B194" s="350" t="str">
        <f>'A) Base RI'!B195</f>
        <v>Eysins</v>
      </c>
      <c r="C194" s="410">
        <v>5166085.0135866106</v>
      </c>
      <c r="D194" s="410">
        <v>2643797.3202319369</v>
      </c>
      <c r="E194" s="411">
        <v>0</v>
      </c>
      <c r="F194" s="411">
        <v>0</v>
      </c>
      <c r="G194" s="411">
        <v>0</v>
      </c>
      <c r="H194" s="352">
        <f t="shared" si="25"/>
        <v>7809882.3338185474</v>
      </c>
      <c r="I194" s="412">
        <v>175921.02901639344</v>
      </c>
      <c r="J194" s="355">
        <f>'B) D RI'!U195</f>
        <v>206146.61786885248</v>
      </c>
      <c r="K194" s="65">
        <f t="shared" si="32"/>
        <v>44.394251088030941</v>
      </c>
      <c r="L194" s="33">
        <f>'B) D RI'!S195</f>
        <v>61</v>
      </c>
      <c r="M194" s="33">
        <f t="shared" si="27"/>
        <v>16.605748911969059</v>
      </c>
      <c r="N194" s="33">
        <f>'J) Plafonnement effort'!G193+'J) Plafonnement effort'!H193-'K) Plafonnement aide'!I193</f>
        <v>45</v>
      </c>
      <c r="O194" s="130">
        <f t="shared" si="28"/>
        <v>61.605748911969059</v>
      </c>
      <c r="P194" s="47">
        <f t="shared" si="29"/>
        <v>0</v>
      </c>
      <c r="Q194" s="57">
        <f t="shared" si="33"/>
        <v>0</v>
      </c>
      <c r="R194" s="151">
        <f t="shared" si="30"/>
        <v>61.605748911969059</v>
      </c>
      <c r="S194" s="130">
        <f t="shared" si="31"/>
        <v>0.60574891196905867</v>
      </c>
      <c r="T194" s="150">
        <f t="shared" si="26"/>
        <v>0</v>
      </c>
      <c r="V194" s="12"/>
    </row>
    <row r="195" spans="1:22" x14ac:dyDescent="0.25">
      <c r="A195" s="49">
        <f>'A) Base RI'!A196</f>
        <v>5717</v>
      </c>
      <c r="B195" s="350" t="str">
        <f>'A) Base RI'!B196</f>
        <v>Founex</v>
      </c>
      <c r="C195" s="410">
        <v>9759790.6382162161</v>
      </c>
      <c r="D195" s="410">
        <v>5246051.9483950334</v>
      </c>
      <c r="E195" s="411">
        <v>0</v>
      </c>
      <c r="F195" s="411">
        <v>0</v>
      </c>
      <c r="G195" s="411">
        <v>0</v>
      </c>
      <c r="H195" s="352">
        <f t="shared" si="25"/>
        <v>15005842.586611249</v>
      </c>
      <c r="I195" s="412">
        <v>375994.09385964903</v>
      </c>
      <c r="J195" s="355">
        <f>'B) D RI'!U196</f>
        <v>344775.19280701759</v>
      </c>
      <c r="K195" s="65">
        <f t="shared" si="32"/>
        <v>39.909782711141801</v>
      </c>
      <c r="L195" s="33">
        <f>'B) D RI'!S196</f>
        <v>57</v>
      </c>
      <c r="M195" s="33">
        <f t="shared" si="27"/>
        <v>17.090217288858199</v>
      </c>
      <c r="N195" s="33">
        <f>'J) Plafonnement effort'!G194+'J) Plafonnement effort'!H194-'K) Plafonnement aide'!I194</f>
        <v>43.762819028191686</v>
      </c>
      <c r="O195" s="130">
        <f t="shared" si="28"/>
        <v>60.853036317049884</v>
      </c>
      <c r="P195" s="47">
        <f t="shared" si="29"/>
        <v>0</v>
      </c>
      <c r="Q195" s="57">
        <f t="shared" si="33"/>
        <v>0</v>
      </c>
      <c r="R195" s="151">
        <f t="shared" si="30"/>
        <v>60.853036317049884</v>
      </c>
      <c r="S195" s="130">
        <f t="shared" si="31"/>
        <v>3.8530363170498845</v>
      </c>
      <c r="T195" s="150">
        <f t="shared" si="26"/>
        <v>0</v>
      </c>
      <c r="V195" s="12"/>
    </row>
    <row r="196" spans="1:22" x14ac:dyDescent="0.25">
      <c r="A196" s="49">
        <f>'A) Base RI'!A197</f>
        <v>5718</v>
      </c>
      <c r="B196" s="350" t="str">
        <f>'A) Base RI'!B197</f>
        <v>Genolier</v>
      </c>
      <c r="C196" s="410">
        <v>4461485.239250388</v>
      </c>
      <c r="D196" s="410">
        <v>2557813.7368211509</v>
      </c>
      <c r="E196" s="411">
        <v>0</v>
      </c>
      <c r="F196" s="411">
        <v>0</v>
      </c>
      <c r="G196" s="411">
        <v>0</v>
      </c>
      <c r="H196" s="352">
        <f t="shared" si="25"/>
        <v>7019298.9760715384</v>
      </c>
      <c r="I196" s="412">
        <v>170544.41945454545</v>
      </c>
      <c r="J196" s="355">
        <f>'B) D RI'!U197</f>
        <v>171473.77890909091</v>
      </c>
      <c r="K196" s="65">
        <f t="shared" si="32"/>
        <v>41.158186228089185</v>
      </c>
      <c r="L196" s="33">
        <f>'B) D RI'!S197</f>
        <v>55</v>
      </c>
      <c r="M196" s="33">
        <f t="shared" si="27"/>
        <v>13.841813771910815</v>
      </c>
      <c r="N196" s="33">
        <f>'J) Plafonnement effort'!G195+'J) Plafonnement effort'!H195-'K) Plafonnement aide'!I195</f>
        <v>44.363030390358787</v>
      </c>
      <c r="O196" s="130">
        <f t="shared" si="28"/>
        <v>58.204844162269602</v>
      </c>
      <c r="P196" s="47">
        <f t="shared" si="29"/>
        <v>0</v>
      </c>
      <c r="Q196" s="57">
        <f t="shared" si="33"/>
        <v>0</v>
      </c>
      <c r="R196" s="151">
        <f t="shared" si="30"/>
        <v>58.204844162269602</v>
      </c>
      <c r="S196" s="130">
        <f t="shared" si="31"/>
        <v>3.2048441622696018</v>
      </c>
      <c r="T196" s="150">
        <f t="shared" si="26"/>
        <v>0</v>
      </c>
      <c r="V196" s="12"/>
    </row>
    <row r="197" spans="1:22" x14ac:dyDescent="0.25">
      <c r="A197" s="49">
        <f>'A) Base RI'!A198</f>
        <v>5719</v>
      </c>
      <c r="B197" s="350" t="str">
        <f>'A) Base RI'!B198</f>
        <v>Gingins</v>
      </c>
      <c r="C197" s="410">
        <v>2990040.9965730337</v>
      </c>
      <c r="D197" s="410">
        <v>1761378.1005785265</v>
      </c>
      <c r="E197" s="411">
        <v>0</v>
      </c>
      <c r="F197" s="411">
        <v>0</v>
      </c>
      <c r="G197" s="411">
        <v>0</v>
      </c>
      <c r="H197" s="352">
        <f t="shared" si="25"/>
        <v>4751419.0971515607</v>
      </c>
      <c r="I197" s="412">
        <v>111319.72105263159</v>
      </c>
      <c r="J197" s="355">
        <f>'B) D RI'!U198</f>
        <v>142317.67801169588</v>
      </c>
      <c r="K197" s="65">
        <f t="shared" si="32"/>
        <v>42.682635675174801</v>
      </c>
      <c r="L197" s="33">
        <f>'B) D RI'!S198</f>
        <v>57</v>
      </c>
      <c r="M197" s="33">
        <f t="shared" si="27"/>
        <v>14.317364324825199</v>
      </c>
      <c r="N197" s="33">
        <f>'J) Plafonnement effort'!G196+'J) Plafonnement effort'!H196-'K) Plafonnement aide'!I196</f>
        <v>45</v>
      </c>
      <c r="O197" s="130">
        <f t="shared" si="28"/>
        <v>59.317364324825199</v>
      </c>
      <c r="P197" s="47">
        <f t="shared" si="29"/>
        <v>0</v>
      </c>
      <c r="Q197" s="57">
        <f t="shared" si="33"/>
        <v>0</v>
      </c>
      <c r="R197" s="151">
        <f t="shared" si="30"/>
        <v>59.317364324825199</v>
      </c>
      <c r="S197" s="130">
        <f t="shared" si="31"/>
        <v>2.3173643248251992</v>
      </c>
      <c r="T197" s="150">
        <f t="shared" si="26"/>
        <v>0</v>
      </c>
      <c r="V197" s="12"/>
    </row>
    <row r="198" spans="1:22" x14ac:dyDescent="0.25">
      <c r="A198" s="49">
        <f>'A) Base RI'!A199</f>
        <v>5720</v>
      </c>
      <c r="B198" s="350" t="str">
        <f>'A) Base RI'!B199</f>
        <v>Givrins</v>
      </c>
      <c r="C198" s="410">
        <v>1351250.3920992729</v>
      </c>
      <c r="D198" s="410">
        <v>1127613.3668938002</v>
      </c>
      <c r="E198" s="411">
        <v>0</v>
      </c>
      <c r="F198" s="411">
        <v>0</v>
      </c>
      <c r="G198" s="411">
        <v>0</v>
      </c>
      <c r="H198" s="352">
        <f t="shared" si="25"/>
        <v>2478863.7589930734</v>
      </c>
      <c r="I198" s="412">
        <v>67017.929170812597</v>
      </c>
      <c r="J198" s="355">
        <f>'B) D RI'!U199</f>
        <v>82564.367429519058</v>
      </c>
      <c r="K198" s="65">
        <f t="shared" si="32"/>
        <v>36.988068561101692</v>
      </c>
      <c r="L198" s="33">
        <f>'B) D RI'!S199</f>
        <v>67</v>
      </c>
      <c r="M198" s="33">
        <f t="shared" si="27"/>
        <v>30.011931438898308</v>
      </c>
      <c r="N198" s="33">
        <f>'J) Plafonnement effort'!G197+'J) Plafonnement effort'!H197-'K) Plafonnement aide'!I197</f>
        <v>44.362506540584548</v>
      </c>
      <c r="O198" s="130">
        <f t="shared" si="28"/>
        <v>74.374437979482849</v>
      </c>
      <c r="P198" s="47">
        <f t="shared" si="29"/>
        <v>0</v>
      </c>
      <c r="Q198" s="57">
        <f t="shared" si="33"/>
        <v>0</v>
      </c>
      <c r="R198" s="151">
        <f t="shared" si="30"/>
        <v>74.374437979482849</v>
      </c>
      <c r="S198" s="130">
        <f t="shared" si="31"/>
        <v>7.374437979482849</v>
      </c>
      <c r="T198" s="150">
        <f t="shared" si="26"/>
        <v>0</v>
      </c>
      <c r="V198" s="12"/>
    </row>
    <row r="199" spans="1:22" x14ac:dyDescent="0.25">
      <c r="A199" s="49">
        <f>'A) Base RI'!A200</f>
        <v>5721</v>
      </c>
      <c r="B199" s="350" t="str">
        <f>'A) Base RI'!B200</f>
        <v>Gland</v>
      </c>
      <c r="C199" s="410">
        <v>11661612.086611005</v>
      </c>
      <c r="D199" s="410">
        <v>4580661.4174125502</v>
      </c>
      <c r="E199" s="411">
        <v>0</v>
      </c>
      <c r="F199" s="411">
        <v>0</v>
      </c>
      <c r="G199" s="411">
        <v>0</v>
      </c>
      <c r="H199" s="352">
        <f t="shared" ref="H199:H262" si="41">SUM(C199:G199)</f>
        <v>16242273.504023556</v>
      </c>
      <c r="I199" s="412">
        <v>654524.19695999997</v>
      </c>
      <c r="J199" s="355">
        <f>'B) D RI'!U200</f>
        <v>655037.95408000017</v>
      </c>
      <c r="K199" s="65">
        <f t="shared" si="32"/>
        <v>24.815390446162791</v>
      </c>
      <c r="L199" s="33">
        <f>'B) D RI'!S200</f>
        <v>62.5</v>
      </c>
      <c r="M199" s="33">
        <f t="shared" si="27"/>
        <v>37.684609553837205</v>
      </c>
      <c r="N199" s="33">
        <f>'J) Plafonnement effort'!G198+'J) Plafonnement effort'!H198-'K) Plafonnement aide'!I198</f>
        <v>34.592633383128899</v>
      </c>
      <c r="O199" s="130">
        <f t="shared" si="28"/>
        <v>72.277242936966104</v>
      </c>
      <c r="P199" s="47">
        <f t="shared" si="29"/>
        <v>0</v>
      </c>
      <c r="Q199" s="57">
        <f t="shared" si="33"/>
        <v>0</v>
      </c>
      <c r="R199" s="151">
        <f t="shared" si="30"/>
        <v>72.277242936966104</v>
      </c>
      <c r="S199" s="130">
        <f t="shared" si="31"/>
        <v>9.777242936966104</v>
      </c>
      <c r="T199" s="150">
        <f t="shared" ref="T199:T262" si="42">+C199+D199+E199+F199+G199-H199</f>
        <v>0</v>
      </c>
      <c r="V199" s="12"/>
    </row>
    <row r="200" spans="1:22" x14ac:dyDescent="0.25">
      <c r="A200" s="49">
        <f>'A) Base RI'!A201</f>
        <v>5722</v>
      </c>
      <c r="B200" s="350" t="str">
        <f>'A) Base RI'!B201</f>
        <v>Grens</v>
      </c>
      <c r="C200" s="410">
        <v>349658.66661168897</v>
      </c>
      <c r="D200" s="410">
        <v>380519.96852716996</v>
      </c>
      <c r="E200" s="411">
        <v>0</v>
      </c>
      <c r="F200" s="411">
        <v>0</v>
      </c>
      <c r="G200" s="411">
        <v>0</v>
      </c>
      <c r="H200" s="352">
        <f t="shared" si="41"/>
        <v>730178.63513885892</v>
      </c>
      <c r="I200" s="412">
        <v>22192.311451612903</v>
      </c>
      <c r="J200" s="355">
        <f>'B) D RI'!U201</f>
        <v>20306.92935483871</v>
      </c>
      <c r="K200" s="65">
        <f t="shared" si="32"/>
        <v>32.902324606019832</v>
      </c>
      <c r="L200" s="33">
        <f>'B) D RI'!S201</f>
        <v>62</v>
      </c>
      <c r="M200" s="33">
        <f t="shared" si="27"/>
        <v>29.097675393980168</v>
      </c>
      <c r="N200" s="33">
        <f>'J) Plafonnement effort'!G199+'J) Plafonnement effort'!H199-'K) Plafonnement aide'!I199</f>
        <v>26.889268569565417</v>
      </c>
      <c r="O200" s="130">
        <f t="shared" si="28"/>
        <v>55.986943963545585</v>
      </c>
      <c r="P200" s="47">
        <f t="shared" si="29"/>
        <v>0</v>
      </c>
      <c r="Q200" s="57">
        <f t="shared" si="33"/>
        <v>0</v>
      </c>
      <c r="R200" s="151">
        <f t="shared" si="30"/>
        <v>55.986943963545585</v>
      </c>
      <c r="S200" s="130">
        <f t="shared" si="31"/>
        <v>-6.0130560364544152</v>
      </c>
      <c r="T200" s="150">
        <f t="shared" si="42"/>
        <v>0</v>
      </c>
      <c r="V200" s="12"/>
    </row>
    <row r="201" spans="1:22" x14ac:dyDescent="0.25">
      <c r="A201" s="49">
        <f>'A) Base RI'!A202</f>
        <v>5723</v>
      </c>
      <c r="B201" s="350" t="str">
        <f>'A) Base RI'!B202</f>
        <v>Mies</v>
      </c>
      <c r="C201" s="410">
        <v>18030805.539138153</v>
      </c>
      <c r="D201" s="410">
        <v>7002012.942405005</v>
      </c>
      <c r="E201" s="411">
        <v>0</v>
      </c>
      <c r="F201" s="411">
        <v>-2061297.4978696865</v>
      </c>
      <c r="G201" s="411">
        <v>0</v>
      </c>
      <c r="H201" s="352">
        <f t="shared" si="41"/>
        <v>22971520.983673472</v>
      </c>
      <c r="I201" s="412">
        <v>510478.2440816327</v>
      </c>
      <c r="J201" s="355">
        <f>'B) D RI'!U202</f>
        <v>571754.57660377375</v>
      </c>
      <c r="K201" s="65">
        <f t="shared" si="32"/>
        <v>45</v>
      </c>
      <c r="L201" s="33">
        <f>'B) D RI'!S202</f>
        <v>53</v>
      </c>
      <c r="M201" s="33">
        <f t="shared" si="27"/>
        <v>8</v>
      </c>
      <c r="N201" s="33">
        <f>'J) Plafonnement effort'!G200+'J) Plafonnement effort'!H200-'K) Plafonnement aide'!I200</f>
        <v>45</v>
      </c>
      <c r="O201" s="130">
        <f t="shared" si="28"/>
        <v>53</v>
      </c>
      <c r="P201" s="47">
        <f t="shared" si="29"/>
        <v>0</v>
      </c>
      <c r="Q201" s="57">
        <f t="shared" si="33"/>
        <v>0</v>
      </c>
      <c r="R201" s="151">
        <f t="shared" si="30"/>
        <v>53</v>
      </c>
      <c r="S201" s="130">
        <f t="shared" si="31"/>
        <v>0</v>
      </c>
      <c r="T201" s="150">
        <f t="shared" si="42"/>
        <v>0</v>
      </c>
      <c r="V201" s="12"/>
    </row>
    <row r="202" spans="1:22" x14ac:dyDescent="0.25">
      <c r="A202" s="49">
        <f>'A) Base RI'!A203</f>
        <v>5724</v>
      </c>
      <c r="B202" s="350" t="str">
        <f>'A) Base RI'!B203</f>
        <v>Nyon</v>
      </c>
      <c r="C202" s="410">
        <v>28447777.397301357</v>
      </c>
      <c r="D202" s="410">
        <v>8570550.3317793272</v>
      </c>
      <c r="E202" s="411">
        <v>0</v>
      </c>
      <c r="F202" s="411">
        <v>0</v>
      </c>
      <c r="G202" s="411">
        <v>0</v>
      </c>
      <c r="H202" s="352">
        <f t="shared" si="41"/>
        <v>37018327.729080684</v>
      </c>
      <c r="I202" s="412">
        <v>1338062.0693190417</v>
      </c>
      <c r="J202" s="355">
        <f>'B) D RI'!U203</f>
        <v>1403046.442824716</v>
      </c>
      <c r="K202" s="65">
        <f t="shared" si="32"/>
        <v>27.665628208054521</v>
      </c>
      <c r="L202" s="33">
        <f>'B) D RI'!S203</f>
        <v>61</v>
      </c>
      <c r="M202" s="33">
        <f t="shared" si="27"/>
        <v>33.334371791945479</v>
      </c>
      <c r="N202" s="33">
        <f>'J) Plafonnement effort'!G201+'J) Plafonnement effort'!H201-'K) Plafonnement aide'!I201</f>
        <v>30.684348562871151</v>
      </c>
      <c r="O202" s="130">
        <f t="shared" si="28"/>
        <v>64.018720354816622</v>
      </c>
      <c r="P202" s="47">
        <f t="shared" si="29"/>
        <v>0</v>
      </c>
      <c r="Q202" s="57">
        <f t="shared" si="33"/>
        <v>0</v>
      </c>
      <c r="R202" s="151">
        <f t="shared" si="30"/>
        <v>64.018720354816622</v>
      </c>
      <c r="S202" s="130">
        <f t="shared" si="31"/>
        <v>3.0187203548166224</v>
      </c>
      <c r="T202" s="150">
        <f t="shared" si="42"/>
        <v>0</v>
      </c>
      <c r="V202" s="12"/>
    </row>
    <row r="203" spans="1:22" x14ac:dyDescent="0.25">
      <c r="A203" s="49">
        <f>'A) Base RI'!A204</f>
        <v>5725</v>
      </c>
      <c r="B203" s="350" t="str">
        <f>'A) Base RI'!B204</f>
        <v>Prangins</v>
      </c>
      <c r="C203" s="410">
        <v>8166049.398237397</v>
      </c>
      <c r="D203" s="410">
        <v>4461367.1575775007</v>
      </c>
      <c r="E203" s="411">
        <v>0</v>
      </c>
      <c r="F203" s="411">
        <v>0</v>
      </c>
      <c r="G203" s="411">
        <v>0</v>
      </c>
      <c r="H203" s="352">
        <f t="shared" si="41"/>
        <v>12627416.555814898</v>
      </c>
      <c r="I203" s="412">
        <v>324834.78298469388</v>
      </c>
      <c r="J203" s="355">
        <f>'B) D RI'!U204</f>
        <v>339116.20058673463</v>
      </c>
      <c r="K203" s="65">
        <f t="shared" si="32"/>
        <v>38.873351061083561</v>
      </c>
      <c r="L203" s="33">
        <f>'B) D RI'!S204</f>
        <v>56</v>
      </c>
      <c r="M203" s="33">
        <f t="shared" si="27"/>
        <v>17.126648938916439</v>
      </c>
      <c r="N203" s="33">
        <f>'J) Plafonnement effort'!G202+'J) Plafonnement effort'!H202-'K) Plafonnement aide'!I202</f>
        <v>42.936324887161902</v>
      </c>
      <c r="O203" s="130">
        <f t="shared" si="28"/>
        <v>60.062973826078341</v>
      </c>
      <c r="P203" s="47">
        <f t="shared" si="29"/>
        <v>0</v>
      </c>
      <c r="Q203" s="57">
        <f t="shared" si="33"/>
        <v>0</v>
      </c>
      <c r="R203" s="151">
        <f t="shared" si="30"/>
        <v>60.062973826078341</v>
      </c>
      <c r="S203" s="130">
        <f t="shared" si="31"/>
        <v>4.0629738260783412</v>
      </c>
      <c r="T203" s="150">
        <f t="shared" si="42"/>
        <v>0</v>
      </c>
      <c r="V203" s="12"/>
    </row>
    <row r="204" spans="1:22" x14ac:dyDescent="0.25">
      <c r="A204" s="49">
        <f>'A) Base RI'!A205</f>
        <v>5726</v>
      </c>
      <c r="B204" s="350" t="str">
        <f>'A) Base RI'!B205</f>
        <v>La Rippe</v>
      </c>
      <c r="C204" s="410">
        <v>933596.18264567002</v>
      </c>
      <c r="D204" s="410">
        <v>979348.89036277577</v>
      </c>
      <c r="E204" s="411">
        <v>0</v>
      </c>
      <c r="F204" s="411">
        <v>0</v>
      </c>
      <c r="G204" s="411">
        <v>0</v>
      </c>
      <c r="H204" s="352">
        <f t="shared" si="41"/>
        <v>1912945.0730084458</v>
      </c>
      <c r="I204" s="412">
        <v>59824.020307692314</v>
      </c>
      <c r="J204" s="355">
        <f>'B) D RI'!U205</f>
        <v>61326.535692307698</v>
      </c>
      <c r="K204" s="65">
        <f t="shared" si="32"/>
        <v>31.976203925607368</v>
      </c>
      <c r="L204" s="33">
        <f>'B) D RI'!S205</f>
        <v>65</v>
      </c>
      <c r="M204" s="33">
        <f t="shared" si="27"/>
        <v>33.023796074392635</v>
      </c>
      <c r="N204" s="33">
        <f>'J) Plafonnement effort'!G203+'J) Plafonnement effort'!H203-'K) Plafonnement aide'!I203</f>
        <v>35.682807400093061</v>
      </c>
      <c r="O204" s="130">
        <f t="shared" si="28"/>
        <v>68.706603474485689</v>
      </c>
      <c r="P204" s="47">
        <f t="shared" si="29"/>
        <v>0</v>
      </c>
      <c r="Q204" s="57">
        <f t="shared" si="33"/>
        <v>0</v>
      </c>
      <c r="R204" s="151">
        <f t="shared" si="30"/>
        <v>68.706603474485689</v>
      </c>
      <c r="S204" s="130">
        <f t="shared" si="31"/>
        <v>3.7066034744856893</v>
      </c>
      <c r="T204" s="150">
        <f t="shared" si="42"/>
        <v>0</v>
      </c>
      <c r="V204" s="12"/>
    </row>
    <row r="205" spans="1:22" x14ac:dyDescent="0.25">
      <c r="A205" s="49">
        <f>'A) Base RI'!A206</f>
        <v>5727</v>
      </c>
      <c r="B205" s="350" t="str">
        <f>'A) Base RI'!B206</f>
        <v>Saint-Cergue</v>
      </c>
      <c r="C205" s="410">
        <v>1550889.5111504458</v>
      </c>
      <c r="D205" s="410">
        <v>407879.9977439465</v>
      </c>
      <c r="E205" s="411">
        <v>0</v>
      </c>
      <c r="F205" s="411">
        <v>0</v>
      </c>
      <c r="G205" s="411">
        <v>0</v>
      </c>
      <c r="H205" s="352">
        <f t="shared" si="41"/>
        <v>1958769.5088943923</v>
      </c>
      <c r="I205" s="412">
        <v>84748.014494949501</v>
      </c>
      <c r="J205" s="355">
        <f>'B) D RI'!U206</f>
        <v>96125.190858585862</v>
      </c>
      <c r="K205" s="65">
        <f t="shared" si="32"/>
        <v>23.112866072055574</v>
      </c>
      <c r="L205" s="33">
        <f>'B) D RI'!S206</f>
        <v>66</v>
      </c>
      <c r="M205" s="33">
        <f t="shared" si="27"/>
        <v>42.887133927944426</v>
      </c>
      <c r="N205" s="33">
        <f>'J) Plafonnement effort'!G204+'J) Plafonnement effort'!H204-'K) Plafonnement aide'!I204</f>
        <v>22.958743977420362</v>
      </c>
      <c r="O205" s="130">
        <f t="shared" si="28"/>
        <v>65.845877905364787</v>
      </c>
      <c r="P205" s="47">
        <f t="shared" si="29"/>
        <v>0</v>
      </c>
      <c r="Q205" s="57">
        <f t="shared" si="33"/>
        <v>0</v>
      </c>
      <c r="R205" s="151">
        <f t="shared" si="30"/>
        <v>65.845877905364787</v>
      </c>
      <c r="S205" s="130">
        <f t="shared" si="31"/>
        <v>-0.15412209463521265</v>
      </c>
      <c r="T205" s="150">
        <f t="shared" si="42"/>
        <v>0</v>
      </c>
      <c r="V205" s="12"/>
    </row>
    <row r="206" spans="1:22" x14ac:dyDescent="0.25">
      <c r="A206" s="49">
        <f>'A) Base RI'!A207</f>
        <v>5728</v>
      </c>
      <c r="B206" s="350" t="str">
        <f>'A) Base RI'!B207</f>
        <v>Signy-Avenex</v>
      </c>
      <c r="C206" s="410">
        <v>1054188.8080702499</v>
      </c>
      <c r="D206" s="410">
        <v>745486.08501486992</v>
      </c>
      <c r="E206" s="411">
        <v>0</v>
      </c>
      <c r="F206" s="411">
        <v>0</v>
      </c>
      <c r="G206" s="411">
        <v>0</v>
      </c>
      <c r="H206" s="352">
        <f t="shared" si="41"/>
        <v>1799674.8930851198</v>
      </c>
      <c r="I206" s="412">
        <v>44702.007068965519</v>
      </c>
      <c r="J206" s="355">
        <f>'B) D RI'!U207</f>
        <v>43125.38</v>
      </c>
      <c r="K206" s="65">
        <f t="shared" si="32"/>
        <v>40.259375609435409</v>
      </c>
      <c r="L206" s="33">
        <f>'B) D RI'!S207</f>
        <v>58</v>
      </c>
      <c r="M206" s="33">
        <f t="shared" si="27"/>
        <v>17.740624390564591</v>
      </c>
      <c r="N206" s="33">
        <f>'J) Plafonnement effort'!G205+'J) Plafonnement effort'!H205-'K) Plafonnement aide'!I205</f>
        <v>41.222616345010486</v>
      </c>
      <c r="O206" s="130">
        <f t="shared" si="28"/>
        <v>58.963240735575077</v>
      </c>
      <c r="P206" s="47">
        <f t="shared" si="29"/>
        <v>0</v>
      </c>
      <c r="Q206" s="57">
        <f t="shared" si="33"/>
        <v>0</v>
      </c>
      <c r="R206" s="151">
        <f t="shared" si="30"/>
        <v>58.963240735575077</v>
      </c>
      <c r="S206" s="130">
        <f t="shared" si="31"/>
        <v>0.96324073557507717</v>
      </c>
      <c r="T206" s="150">
        <f t="shared" si="42"/>
        <v>0</v>
      </c>
      <c r="V206" s="12"/>
    </row>
    <row r="207" spans="1:22" x14ac:dyDescent="0.25">
      <c r="A207" s="49">
        <f>'A) Base RI'!A208</f>
        <v>5729</v>
      </c>
      <c r="B207" s="350" t="str">
        <f>'A) Base RI'!B208</f>
        <v>Tannay</v>
      </c>
      <c r="C207" s="410">
        <v>3742112.4734881977</v>
      </c>
      <c r="D207" s="410">
        <v>2246191.200052781</v>
      </c>
      <c r="E207" s="411">
        <v>0</v>
      </c>
      <c r="F207" s="411">
        <v>0</v>
      </c>
      <c r="G207" s="411">
        <v>0</v>
      </c>
      <c r="H207" s="352">
        <f t="shared" si="41"/>
        <v>5988303.6735409787</v>
      </c>
      <c r="I207" s="412">
        <v>146853.68284153001</v>
      </c>
      <c r="J207" s="355">
        <f>'B) D RI'!U208</f>
        <v>176892.2019125683</v>
      </c>
      <c r="K207" s="65">
        <f t="shared" si="32"/>
        <v>40.777347613426656</v>
      </c>
      <c r="L207" s="33">
        <f>'B) D RI'!S208</f>
        <v>61</v>
      </c>
      <c r="M207" s="33">
        <f t="shared" si="27"/>
        <v>20.222652386573344</v>
      </c>
      <c r="N207" s="33">
        <f>'J) Plafonnement effort'!G206+'J) Plafonnement effort'!H206-'K) Plafonnement aide'!I206</f>
        <v>45</v>
      </c>
      <c r="O207" s="130">
        <f t="shared" si="28"/>
        <v>65.222652386573344</v>
      </c>
      <c r="P207" s="47">
        <f t="shared" si="29"/>
        <v>0</v>
      </c>
      <c r="Q207" s="57">
        <f t="shared" si="33"/>
        <v>0</v>
      </c>
      <c r="R207" s="151">
        <f t="shared" si="30"/>
        <v>65.222652386573344</v>
      </c>
      <c r="S207" s="130">
        <f t="shared" si="31"/>
        <v>4.2226523865733441</v>
      </c>
      <c r="T207" s="150">
        <f t="shared" si="42"/>
        <v>0</v>
      </c>
      <c r="V207" s="12"/>
    </row>
    <row r="208" spans="1:22" x14ac:dyDescent="0.25">
      <c r="A208" s="49">
        <f>'A) Base RI'!A209</f>
        <v>5730</v>
      </c>
      <c r="B208" s="350" t="str">
        <f>'A) Base RI'!B209</f>
        <v>Trélex</v>
      </c>
      <c r="C208" s="410">
        <v>4538017.6552034998</v>
      </c>
      <c r="D208" s="410">
        <v>2427905.4793393151</v>
      </c>
      <c r="E208" s="411">
        <v>0</v>
      </c>
      <c r="F208" s="411">
        <v>0</v>
      </c>
      <c r="G208" s="411">
        <v>0</v>
      </c>
      <c r="H208" s="352">
        <f t="shared" si="41"/>
        <v>6965923.1345428154</v>
      </c>
      <c r="I208" s="412">
        <v>160027.19017543856</v>
      </c>
      <c r="J208" s="355">
        <f>'B) D RI'!U209</f>
        <v>134482.25955165693</v>
      </c>
      <c r="K208" s="65">
        <f t="shared" si="32"/>
        <v>43.529622227985385</v>
      </c>
      <c r="L208" s="33">
        <f>'B) D RI'!S209</f>
        <v>57</v>
      </c>
      <c r="M208" s="33">
        <f t="shared" si="27"/>
        <v>13.470377772014615</v>
      </c>
      <c r="N208" s="33">
        <f>'J) Plafonnement effort'!G207+'J) Plafonnement effort'!H207-'K) Plafonnement aide'!I207</f>
        <v>43.921526567188664</v>
      </c>
      <c r="O208" s="130">
        <f t="shared" si="28"/>
        <v>57.391904339203279</v>
      </c>
      <c r="P208" s="47">
        <f t="shared" si="29"/>
        <v>0</v>
      </c>
      <c r="Q208" s="57">
        <f t="shared" si="33"/>
        <v>0</v>
      </c>
      <c r="R208" s="151">
        <f t="shared" si="30"/>
        <v>57.391904339203279</v>
      </c>
      <c r="S208" s="130">
        <f t="shared" si="31"/>
        <v>0.39190433920327905</v>
      </c>
      <c r="T208" s="150">
        <f t="shared" si="42"/>
        <v>0</v>
      </c>
      <c r="V208" s="12"/>
    </row>
    <row r="209" spans="1:22" x14ac:dyDescent="0.25">
      <c r="A209" s="49">
        <f>'A) Base RI'!A210</f>
        <v>5731</v>
      </c>
      <c r="B209" s="350" t="str">
        <f>'A) Base RI'!B210</f>
        <v>Le Vaud</v>
      </c>
      <c r="C209" s="410">
        <v>1144916.0351133551</v>
      </c>
      <c r="D209" s="410">
        <v>643960.56314784207</v>
      </c>
      <c r="E209" s="411">
        <v>0</v>
      </c>
      <c r="F209" s="411">
        <v>0</v>
      </c>
      <c r="G209" s="411">
        <v>0</v>
      </c>
      <c r="H209" s="352">
        <f t="shared" si="41"/>
        <v>1788876.5982611971</v>
      </c>
      <c r="I209" s="412">
        <v>52834.667955555553</v>
      </c>
      <c r="J209" s="355">
        <f>'B) D RI'!U210</f>
        <v>61944.089333333322</v>
      </c>
      <c r="K209" s="65">
        <f t="shared" si="32"/>
        <v>33.858007771828859</v>
      </c>
      <c r="L209" s="33">
        <f>'B) D RI'!S210</f>
        <v>75</v>
      </c>
      <c r="M209" s="33">
        <f t="shared" si="27"/>
        <v>41.141992228171141</v>
      </c>
      <c r="N209" s="33">
        <f>'J) Plafonnement effort'!G208+'J) Plafonnement effort'!H208-'K) Plafonnement aide'!I208</f>
        <v>34.074946984839251</v>
      </c>
      <c r="O209" s="130">
        <f t="shared" si="28"/>
        <v>75.216939213010392</v>
      </c>
      <c r="P209" s="47">
        <f t="shared" si="29"/>
        <v>0</v>
      </c>
      <c r="Q209" s="57">
        <f t="shared" si="33"/>
        <v>0</v>
      </c>
      <c r="R209" s="151">
        <f t="shared" si="30"/>
        <v>75.216939213010392</v>
      </c>
      <c r="S209" s="130">
        <f t="shared" si="31"/>
        <v>0.21693921301039154</v>
      </c>
      <c r="T209" s="150">
        <f t="shared" si="42"/>
        <v>0</v>
      </c>
      <c r="V209" s="12"/>
    </row>
    <row r="210" spans="1:22" x14ac:dyDescent="0.25">
      <c r="A210" s="49">
        <f>'A) Base RI'!A211</f>
        <v>5732</v>
      </c>
      <c r="B210" s="350" t="str">
        <f>'A) Base RI'!B211</f>
        <v>Vich</v>
      </c>
      <c r="C210" s="410">
        <v>1494960.2863021824</v>
      </c>
      <c r="D210" s="410">
        <v>1088268.1070344981</v>
      </c>
      <c r="E210" s="411">
        <v>0</v>
      </c>
      <c r="F210" s="411">
        <v>0</v>
      </c>
      <c r="G210" s="411">
        <v>0</v>
      </c>
      <c r="H210" s="352">
        <f t="shared" si="41"/>
        <v>2583228.3933366807</v>
      </c>
      <c r="I210" s="412">
        <v>64551.747164179098</v>
      </c>
      <c r="J210" s="355">
        <f>'B) D RI'!U211</f>
        <v>63992.408333333333</v>
      </c>
      <c r="K210" s="65">
        <f t="shared" si="32"/>
        <v>40.017946946758393</v>
      </c>
      <c r="L210" s="33">
        <f>'B) D RI'!S211</f>
        <v>66</v>
      </c>
      <c r="M210" s="33">
        <f t="shared" si="27"/>
        <v>25.982053053241607</v>
      </c>
      <c r="N210" s="33">
        <f>'J) Plafonnement effort'!G209+'J) Plafonnement effort'!H209-'K) Plafonnement aide'!I209</f>
        <v>38.468780228528189</v>
      </c>
      <c r="O210" s="130">
        <f t="shared" si="28"/>
        <v>64.450833281769803</v>
      </c>
      <c r="P210" s="47">
        <f t="shared" si="29"/>
        <v>0</v>
      </c>
      <c r="Q210" s="57">
        <f t="shared" si="33"/>
        <v>0</v>
      </c>
      <c r="R210" s="151">
        <f t="shared" si="30"/>
        <v>64.450833281769803</v>
      </c>
      <c r="S210" s="130">
        <f t="shared" si="31"/>
        <v>-1.5491667182301967</v>
      </c>
      <c r="T210" s="150">
        <f t="shared" si="42"/>
        <v>0</v>
      </c>
      <c r="V210" s="12"/>
    </row>
    <row r="211" spans="1:22" x14ac:dyDescent="0.25">
      <c r="A211" s="49">
        <f>'A) Base RI'!A212</f>
        <v>5741</v>
      </c>
      <c r="B211" s="350" t="str">
        <f>'A) Base RI'!B212</f>
        <v>L'Abergement</v>
      </c>
      <c r="C211" s="410">
        <v>133029.68850517343</v>
      </c>
      <c r="D211" s="410">
        <v>20234.115399435657</v>
      </c>
      <c r="E211" s="411">
        <v>0</v>
      </c>
      <c r="F211" s="411">
        <v>0</v>
      </c>
      <c r="G211" s="411">
        <v>0</v>
      </c>
      <c r="H211" s="352">
        <f t="shared" si="41"/>
        <v>153263.80390460909</v>
      </c>
      <c r="I211" s="412">
        <v>7464.3302469135806</v>
      </c>
      <c r="J211" s="355">
        <f>'B) D RI'!U212</f>
        <v>7144.356296296296</v>
      </c>
      <c r="K211" s="65">
        <f t="shared" si="32"/>
        <v>20.532827304630846</v>
      </c>
      <c r="L211" s="33">
        <f>'B) D RI'!S212</f>
        <v>81</v>
      </c>
      <c r="M211" s="33">
        <f t="shared" si="27"/>
        <v>60.467172695369158</v>
      </c>
      <c r="N211" s="33">
        <f>'J) Plafonnement effort'!G210+'J) Plafonnement effort'!H210-'K) Plafonnement aide'!I210</f>
        <v>1.255940500695921</v>
      </c>
      <c r="O211" s="130">
        <f t="shared" si="28"/>
        <v>61.723113196065079</v>
      </c>
      <c r="P211" s="47">
        <f t="shared" si="29"/>
        <v>0</v>
      </c>
      <c r="Q211" s="57">
        <f t="shared" si="33"/>
        <v>0</v>
      </c>
      <c r="R211" s="151">
        <f t="shared" si="30"/>
        <v>61.723113196065079</v>
      </c>
      <c r="S211" s="130">
        <f t="shared" si="31"/>
        <v>-19.276886803934921</v>
      </c>
      <c r="T211" s="150">
        <f t="shared" si="42"/>
        <v>0</v>
      </c>
      <c r="V211" s="12"/>
    </row>
    <row r="212" spans="1:22" x14ac:dyDescent="0.25">
      <c r="A212" s="49">
        <f>'A) Base RI'!A213</f>
        <v>5742</v>
      </c>
      <c r="B212" s="350" t="str">
        <f>'A) Base RI'!B213</f>
        <v>Agiez</v>
      </c>
      <c r="C212" s="410">
        <v>144610.60535837719</v>
      </c>
      <c r="D212" s="410">
        <v>12190.448713266436</v>
      </c>
      <c r="E212" s="411">
        <v>0</v>
      </c>
      <c r="F212" s="411">
        <v>0</v>
      </c>
      <c r="G212" s="411">
        <v>0</v>
      </c>
      <c r="H212" s="352">
        <f t="shared" si="41"/>
        <v>156801.05407164362</v>
      </c>
      <c r="I212" s="412">
        <v>9132.5030263157914</v>
      </c>
      <c r="J212" s="355">
        <f>'B) D RI'!U213</f>
        <v>9023.5640789473691</v>
      </c>
      <c r="K212" s="65">
        <f t="shared" si="32"/>
        <v>17.169559497523633</v>
      </c>
      <c r="L212" s="33">
        <f>'B) D RI'!S213</f>
        <v>76</v>
      </c>
      <c r="M212" s="33">
        <f t="shared" si="27"/>
        <v>58.830440502476364</v>
      </c>
      <c r="N212" s="33">
        <f>'J) Plafonnement effort'!G211+'J) Plafonnement effort'!H211-'K) Plafonnement aide'!I211</f>
        <v>12.208634528305765</v>
      </c>
      <c r="O212" s="130">
        <f t="shared" si="28"/>
        <v>71.039075030782129</v>
      </c>
      <c r="P212" s="47">
        <f t="shared" si="29"/>
        <v>0</v>
      </c>
      <c r="Q212" s="57">
        <f t="shared" si="33"/>
        <v>0</v>
      </c>
      <c r="R212" s="151">
        <f t="shared" si="30"/>
        <v>71.039075030782129</v>
      </c>
      <c r="S212" s="130">
        <f t="shared" si="31"/>
        <v>-4.9609249692178707</v>
      </c>
      <c r="T212" s="150">
        <f t="shared" si="42"/>
        <v>0</v>
      </c>
      <c r="V212" s="12"/>
    </row>
    <row r="213" spans="1:22" x14ac:dyDescent="0.25">
      <c r="A213" s="49">
        <f>'A) Base RI'!A214</f>
        <v>5743</v>
      </c>
      <c r="B213" s="350" t="str">
        <f>'A) Base RI'!B214</f>
        <v>Arnex-sur-Orbe</v>
      </c>
      <c r="C213" s="410">
        <v>418782.02187126852</v>
      </c>
      <c r="D213" s="410">
        <v>72423.709637949069</v>
      </c>
      <c r="E213" s="411">
        <v>0</v>
      </c>
      <c r="F213" s="411">
        <v>0</v>
      </c>
      <c r="G213" s="411">
        <v>0</v>
      </c>
      <c r="H213" s="352">
        <f t="shared" si="41"/>
        <v>491205.73150921758</v>
      </c>
      <c r="I213" s="412">
        <v>18362.90517123288</v>
      </c>
      <c r="J213" s="355">
        <f>'B) D RI'!U214</f>
        <v>19009.64441780822</v>
      </c>
      <c r="K213" s="65">
        <f t="shared" si="32"/>
        <v>26.749892074742885</v>
      </c>
      <c r="L213" s="33">
        <f>'B) D RI'!S214</f>
        <v>73</v>
      </c>
      <c r="M213" s="33">
        <f t="shared" si="27"/>
        <v>46.250107925257112</v>
      </c>
      <c r="N213" s="33">
        <f>'J) Plafonnement effort'!G212+'J) Plafonnement effort'!H212-'K) Plafonnement aide'!I212</f>
        <v>20.316471839992726</v>
      </c>
      <c r="O213" s="130">
        <f t="shared" si="28"/>
        <v>66.566579765249841</v>
      </c>
      <c r="P213" s="47">
        <f t="shared" si="29"/>
        <v>0</v>
      </c>
      <c r="Q213" s="57">
        <f t="shared" si="33"/>
        <v>0</v>
      </c>
      <c r="R213" s="151">
        <f t="shared" si="30"/>
        <v>66.566579765249841</v>
      </c>
      <c r="S213" s="130">
        <f t="shared" si="31"/>
        <v>-6.4334202347501588</v>
      </c>
      <c r="T213" s="150">
        <f t="shared" si="42"/>
        <v>0</v>
      </c>
      <c r="V213" s="12"/>
    </row>
    <row r="214" spans="1:22" x14ac:dyDescent="0.25">
      <c r="A214" s="49">
        <f>'A) Base RI'!A215</f>
        <v>5744</v>
      </c>
      <c r="B214" s="350" t="str">
        <f>'A) Base RI'!B215</f>
        <v>Ballaigues</v>
      </c>
      <c r="C214" s="410">
        <v>1109986.5839636864</v>
      </c>
      <c r="D214" s="410">
        <v>705328.14037168783</v>
      </c>
      <c r="E214" s="411">
        <v>0</v>
      </c>
      <c r="F214" s="411">
        <v>0</v>
      </c>
      <c r="G214" s="411">
        <v>0</v>
      </c>
      <c r="H214" s="352">
        <f t="shared" si="41"/>
        <v>1815314.7243353743</v>
      </c>
      <c r="I214" s="412">
        <v>46015.380909090905</v>
      </c>
      <c r="J214" s="355">
        <f>'B) D RI'!U215</f>
        <v>63457.136212121215</v>
      </c>
      <c r="K214" s="65">
        <f t="shared" si="32"/>
        <v>39.45017271337499</v>
      </c>
      <c r="L214" s="33">
        <f>'B) D RI'!S215</f>
        <v>66</v>
      </c>
      <c r="M214" s="33">
        <f t="shared" si="27"/>
        <v>26.54982728662501</v>
      </c>
      <c r="N214" s="33">
        <f>'J) Plafonnement effort'!G213+'J) Plafonnement effort'!H213-'K) Plafonnement aide'!I213</f>
        <v>39.126482756542352</v>
      </c>
      <c r="O214" s="130">
        <f t="shared" si="28"/>
        <v>65.676310043167362</v>
      </c>
      <c r="P214" s="47">
        <f t="shared" si="29"/>
        <v>0</v>
      </c>
      <c r="Q214" s="57">
        <f t="shared" si="33"/>
        <v>0</v>
      </c>
      <c r="R214" s="151">
        <f t="shared" si="30"/>
        <v>65.676310043167362</v>
      </c>
      <c r="S214" s="130">
        <f t="shared" si="31"/>
        <v>-0.3236899568326379</v>
      </c>
      <c r="T214" s="150">
        <f t="shared" si="42"/>
        <v>0</v>
      </c>
      <c r="V214" s="12"/>
    </row>
    <row r="215" spans="1:22" x14ac:dyDescent="0.25">
      <c r="A215" s="49">
        <f>'A) Base RI'!A216</f>
        <v>5745</v>
      </c>
      <c r="B215" s="350" t="str">
        <f>'A) Base RI'!B216</f>
        <v>Baulmes</v>
      </c>
      <c r="C215" s="410">
        <v>609194.83738188213</v>
      </c>
      <c r="D215" s="410">
        <v>-60870.397578261152</v>
      </c>
      <c r="E215" s="411">
        <v>0</v>
      </c>
      <c r="F215" s="411">
        <v>0</v>
      </c>
      <c r="G215" s="411">
        <v>0</v>
      </c>
      <c r="H215" s="352">
        <f t="shared" si="41"/>
        <v>548324.43980362103</v>
      </c>
      <c r="I215" s="412">
        <v>27038.675769230769</v>
      </c>
      <c r="J215" s="355">
        <f>'B) D RI'!U216</f>
        <v>27759.177948717952</v>
      </c>
      <c r="K215" s="65">
        <f t="shared" si="32"/>
        <v>20.279263839821564</v>
      </c>
      <c r="L215" s="33">
        <f>'B) D RI'!S216</f>
        <v>78</v>
      </c>
      <c r="M215" s="33">
        <f t="shared" si="27"/>
        <v>57.720736160178433</v>
      </c>
      <c r="N215" s="33">
        <f>'J) Plafonnement effort'!G214+'J) Plafonnement effort'!H214-'K) Plafonnement aide'!I214</f>
        <v>4.9551124657243353</v>
      </c>
      <c r="O215" s="130">
        <f t="shared" si="28"/>
        <v>62.675848625902766</v>
      </c>
      <c r="P215" s="47">
        <f t="shared" si="29"/>
        <v>0</v>
      </c>
      <c r="Q215" s="57">
        <f t="shared" si="33"/>
        <v>0</v>
      </c>
      <c r="R215" s="151">
        <f t="shared" si="30"/>
        <v>62.675848625902766</v>
      </c>
      <c r="S215" s="130">
        <f t="shared" si="31"/>
        <v>-15.324151374097234</v>
      </c>
      <c r="T215" s="150">
        <f t="shared" si="42"/>
        <v>0</v>
      </c>
      <c r="V215" s="12"/>
    </row>
    <row r="216" spans="1:22" x14ac:dyDescent="0.25">
      <c r="A216" s="49">
        <f>'A) Base RI'!A217</f>
        <v>5746</v>
      </c>
      <c r="B216" s="350" t="str">
        <f>'A) Base RI'!B217</f>
        <v>Bavois</v>
      </c>
      <c r="C216" s="410">
        <v>463178.87043621088</v>
      </c>
      <c r="D216" s="410">
        <v>81633.117330583627</v>
      </c>
      <c r="E216" s="411">
        <v>0</v>
      </c>
      <c r="F216" s="411">
        <v>0</v>
      </c>
      <c r="G216" s="411">
        <v>0</v>
      </c>
      <c r="H216" s="352">
        <f t="shared" si="41"/>
        <v>544811.98776679451</v>
      </c>
      <c r="I216" s="412">
        <v>26753.53392694064</v>
      </c>
      <c r="J216" s="355">
        <f>'B) D RI'!U217</f>
        <v>26302.981735159818</v>
      </c>
      <c r="K216" s="65">
        <f t="shared" si="32"/>
        <v>20.364112989879526</v>
      </c>
      <c r="L216" s="33">
        <f>'B) D RI'!S217</f>
        <v>73</v>
      </c>
      <c r="M216" s="33">
        <f t="shared" si="27"/>
        <v>52.63588701012047</v>
      </c>
      <c r="N216" s="33">
        <f>'J) Plafonnement effort'!G215+'J) Plafonnement effort'!H215-'K) Plafonnement aide'!I215</f>
        <v>11.746478401457999</v>
      </c>
      <c r="O216" s="130">
        <f t="shared" si="28"/>
        <v>64.382365411578462</v>
      </c>
      <c r="P216" s="47">
        <f t="shared" si="29"/>
        <v>0</v>
      </c>
      <c r="Q216" s="57">
        <f t="shared" si="33"/>
        <v>0</v>
      </c>
      <c r="R216" s="151">
        <f t="shared" si="30"/>
        <v>64.382365411578462</v>
      </c>
      <c r="S216" s="130">
        <f t="shared" si="31"/>
        <v>-8.617634588421538</v>
      </c>
      <c r="T216" s="150">
        <f t="shared" si="42"/>
        <v>0</v>
      </c>
      <c r="V216" s="12"/>
    </row>
    <row r="217" spans="1:22" x14ac:dyDescent="0.25">
      <c r="A217" s="49">
        <f>'A) Base RI'!A218</f>
        <v>5747</v>
      </c>
      <c r="B217" s="350" t="str">
        <f>'A) Base RI'!B218</f>
        <v>Bofflens</v>
      </c>
      <c r="C217" s="410">
        <v>92454.605021885509</v>
      </c>
      <c r="D217" s="410">
        <v>2335.0991942442342</v>
      </c>
      <c r="E217" s="411">
        <v>0</v>
      </c>
      <c r="F217" s="411">
        <v>0</v>
      </c>
      <c r="G217" s="411">
        <v>0</v>
      </c>
      <c r="H217" s="352">
        <f t="shared" si="41"/>
        <v>94789.704216129743</v>
      </c>
      <c r="I217" s="412">
        <v>4985.4308695652171</v>
      </c>
      <c r="J217" s="355">
        <f>'B) D RI'!U218</f>
        <v>5938.7008695652166</v>
      </c>
      <c r="K217" s="65">
        <f t="shared" si="32"/>
        <v>19.013342416358974</v>
      </c>
      <c r="L217" s="33">
        <f>'B) D RI'!S218</f>
        <v>69</v>
      </c>
      <c r="M217" s="33">
        <f t="shared" si="27"/>
        <v>49.986657583641026</v>
      </c>
      <c r="N217" s="33">
        <f>'J) Plafonnement effort'!G216+'J) Plafonnement effort'!H216-'K) Plafonnement aide'!I216</f>
        <v>-17.740955978619986</v>
      </c>
      <c r="O217" s="130">
        <f t="shared" si="28"/>
        <v>32.24570160502104</v>
      </c>
      <c r="P217" s="47">
        <f t="shared" si="29"/>
        <v>0</v>
      </c>
      <c r="Q217" s="57">
        <f t="shared" si="33"/>
        <v>0</v>
      </c>
      <c r="R217" s="151">
        <f t="shared" si="30"/>
        <v>32.24570160502104</v>
      </c>
      <c r="S217" s="130">
        <f t="shared" si="31"/>
        <v>-36.75429839497896</v>
      </c>
      <c r="T217" s="150">
        <f t="shared" si="42"/>
        <v>0</v>
      </c>
      <c r="V217" s="12"/>
    </row>
    <row r="218" spans="1:22" x14ac:dyDescent="0.25">
      <c r="A218" s="49">
        <f>'A) Base RI'!A219</f>
        <v>5748</v>
      </c>
      <c r="B218" s="350" t="str">
        <f>'A) Base RI'!B219</f>
        <v>Bretonnières</v>
      </c>
      <c r="C218" s="410">
        <v>105009.90655414583</v>
      </c>
      <c r="D218" s="410">
        <v>-52544.949980647478</v>
      </c>
      <c r="E218" s="411">
        <v>0</v>
      </c>
      <c r="F218" s="411">
        <v>0</v>
      </c>
      <c r="G218" s="411">
        <v>0</v>
      </c>
      <c r="H218" s="352">
        <f t="shared" si="41"/>
        <v>52464.956573498348</v>
      </c>
      <c r="I218" s="412">
        <v>5553.3427314814826</v>
      </c>
      <c r="J218" s="355">
        <f>'B) D RI'!U219</f>
        <v>7318.7627314814808</v>
      </c>
      <c r="K218" s="65">
        <f t="shared" si="32"/>
        <v>9.4474551833580254</v>
      </c>
      <c r="L218" s="33">
        <f>'B) D RI'!S219</f>
        <v>72</v>
      </c>
      <c r="M218" s="33">
        <f t="shared" si="27"/>
        <v>62.552544816641976</v>
      </c>
      <c r="N218" s="33">
        <f>'J) Plafonnement effort'!G217+'J) Plafonnement effort'!H217-'K) Plafonnement aide'!I217</f>
        <v>10.114530521298773</v>
      </c>
      <c r="O218" s="130">
        <f t="shared" si="28"/>
        <v>72.667075337940744</v>
      </c>
      <c r="P218" s="47">
        <f t="shared" si="29"/>
        <v>0</v>
      </c>
      <c r="Q218" s="57">
        <f t="shared" si="33"/>
        <v>0</v>
      </c>
      <c r="R218" s="151">
        <f t="shared" si="30"/>
        <v>72.667075337940744</v>
      </c>
      <c r="S218" s="130">
        <f t="shared" si="31"/>
        <v>0.66707533794074436</v>
      </c>
      <c r="T218" s="150">
        <f t="shared" si="42"/>
        <v>0</v>
      </c>
      <c r="V218" s="12"/>
    </row>
    <row r="219" spans="1:22" x14ac:dyDescent="0.25">
      <c r="A219" s="49">
        <f>'A) Base RI'!A220</f>
        <v>5749</v>
      </c>
      <c r="B219" s="350" t="str">
        <f>'A) Base RI'!B220</f>
        <v>Chavornay</v>
      </c>
      <c r="C219" s="410">
        <v>2451445.6670242464</v>
      </c>
      <c r="D219" s="410">
        <v>-860337.48109033285</v>
      </c>
      <c r="E219" s="411">
        <v>0</v>
      </c>
      <c r="F219" s="411">
        <v>0</v>
      </c>
      <c r="G219" s="411">
        <v>0</v>
      </c>
      <c r="H219" s="352">
        <f t="shared" si="41"/>
        <v>1591108.1859339136</v>
      </c>
      <c r="I219" s="412">
        <v>140775.19611111109</v>
      </c>
      <c r="J219" s="355">
        <f>'B) D RI'!U220</f>
        <v>133236.15722222222</v>
      </c>
      <c r="K219" s="65">
        <f t="shared" ref="K219" si="43">H219/I219</f>
        <v>11.302475364183355</v>
      </c>
      <c r="L219" s="33">
        <f>'B) D RI'!S220</f>
        <v>72</v>
      </c>
      <c r="M219" s="33">
        <f t="shared" ref="M219" si="44">L219-K219</f>
        <v>60.697524635816649</v>
      </c>
      <c r="N219" s="33">
        <f>'J) Plafonnement effort'!G218+'J) Plafonnement effort'!H218-'K) Plafonnement aide'!I218</f>
        <v>3.5625748177522372</v>
      </c>
      <c r="O219" s="130">
        <f t="shared" ref="O219" si="45">M219+N219</f>
        <v>64.260099453568884</v>
      </c>
      <c r="P219" s="47">
        <f t="shared" ref="P219" si="46">IF(O219&gt;$P$5,$P$5-O219,0)</f>
        <v>0</v>
      </c>
      <c r="Q219" s="57">
        <f t="shared" ref="Q219" si="47">P219*J219</f>
        <v>0</v>
      </c>
      <c r="R219" s="151">
        <f t="shared" ref="R219" si="48">O219+P219</f>
        <v>64.260099453568884</v>
      </c>
      <c r="S219" s="130">
        <f t="shared" ref="S219" si="49">R219-L219</f>
        <v>-7.7399005464311159</v>
      </c>
      <c r="T219" s="150">
        <f t="shared" si="42"/>
        <v>0</v>
      </c>
      <c r="V219" s="12"/>
    </row>
    <row r="220" spans="1:22" x14ac:dyDescent="0.25">
      <c r="A220" s="49">
        <f>'A) Base RI'!A221</f>
        <v>5750</v>
      </c>
      <c r="B220" s="350" t="str">
        <f>'A) Base RI'!B221</f>
        <v>Les Clées</v>
      </c>
      <c r="C220" s="410">
        <v>75515.398046001123</v>
      </c>
      <c r="D220" s="410">
        <v>-1462.1189505797374</v>
      </c>
      <c r="E220" s="411">
        <v>0</v>
      </c>
      <c r="F220" s="411">
        <v>0</v>
      </c>
      <c r="G220" s="411">
        <v>0</v>
      </c>
      <c r="H220" s="352">
        <f t="shared" si="41"/>
        <v>74053.279095421385</v>
      </c>
      <c r="I220" s="412">
        <v>5155.3168750000004</v>
      </c>
      <c r="J220" s="355">
        <f>'B) D RI'!U221</f>
        <v>5052.8727083333342</v>
      </c>
      <c r="K220" s="65">
        <f t="shared" si="32"/>
        <v>14.364447596719529</v>
      </c>
      <c r="L220" s="33">
        <f>'B) D RI'!S221</f>
        <v>80</v>
      </c>
      <c r="M220" s="33">
        <f t="shared" ref="M220:M261" si="50">L220-K220</f>
        <v>65.635552403280471</v>
      </c>
      <c r="N220" s="33">
        <f>'J) Plafonnement effort'!G219+'J) Plafonnement effort'!H219-'K) Plafonnement aide'!I219</f>
        <v>1.0028334741113945</v>
      </c>
      <c r="O220" s="130">
        <f t="shared" ref="O220:O261" si="51">M220+N220</f>
        <v>66.638385877391869</v>
      </c>
      <c r="P220" s="47">
        <f t="shared" ref="P220:P261" si="52">IF(O220&gt;$P$5,$P$5-O220,0)</f>
        <v>0</v>
      </c>
      <c r="Q220" s="57">
        <f t="shared" si="33"/>
        <v>0</v>
      </c>
      <c r="R220" s="151">
        <f t="shared" ref="R220:R261" si="53">O220+P220</f>
        <v>66.638385877391869</v>
      </c>
      <c r="S220" s="130">
        <f t="shared" ref="S220:S261" si="54">R220-L220</f>
        <v>-13.361614122608131</v>
      </c>
      <c r="T220" s="150">
        <f t="shared" si="42"/>
        <v>0</v>
      </c>
      <c r="V220" s="12"/>
    </row>
    <row r="221" spans="1:22" x14ac:dyDescent="0.25">
      <c r="A221" s="49">
        <f>'A) Base RI'!A222</f>
        <v>5752</v>
      </c>
      <c r="B221" s="350" t="str">
        <f>'A) Base RI'!B222</f>
        <v>Croy</v>
      </c>
      <c r="C221" s="410">
        <v>184173.08241148968</v>
      </c>
      <c r="D221" s="410">
        <v>1724.9405574658595</v>
      </c>
      <c r="E221" s="411">
        <v>0</v>
      </c>
      <c r="F221" s="411">
        <v>0</v>
      </c>
      <c r="G221" s="411">
        <v>0</v>
      </c>
      <c r="H221" s="352">
        <f t="shared" si="41"/>
        <v>185898.02296895554</v>
      </c>
      <c r="I221" s="412">
        <v>10753.005424710425</v>
      </c>
      <c r="J221" s="355">
        <f>'B) D RI'!U222</f>
        <v>9724.9561776061801</v>
      </c>
      <c r="K221" s="65">
        <f t="shared" ref="K221:K265" si="55">H221/I221</f>
        <v>17.288006062171377</v>
      </c>
      <c r="L221" s="33">
        <f>'B) D RI'!S222</f>
        <v>74</v>
      </c>
      <c r="M221" s="33">
        <f t="shared" si="50"/>
        <v>56.711993937828623</v>
      </c>
      <c r="N221" s="33">
        <f>'J) Plafonnement effort'!G220+'J) Plafonnement effort'!H220-'K) Plafonnement aide'!I220</f>
        <v>2.57782996873404</v>
      </c>
      <c r="O221" s="130">
        <f t="shared" si="51"/>
        <v>59.28982390656266</v>
      </c>
      <c r="P221" s="47">
        <f t="shared" si="52"/>
        <v>0</v>
      </c>
      <c r="Q221" s="57">
        <f t="shared" si="33"/>
        <v>0</v>
      </c>
      <c r="R221" s="151">
        <f t="shared" si="53"/>
        <v>59.28982390656266</v>
      </c>
      <c r="S221" s="130">
        <f t="shared" si="54"/>
        <v>-14.71017609343734</v>
      </c>
      <c r="T221" s="150">
        <f t="shared" si="42"/>
        <v>0</v>
      </c>
      <c r="V221" s="12"/>
    </row>
    <row r="222" spans="1:22" x14ac:dyDescent="0.25">
      <c r="A222" s="49">
        <f>'A) Base RI'!A223</f>
        <v>5754</v>
      </c>
      <c r="B222" s="350" t="str">
        <f>'A) Base RI'!B223</f>
        <v>Juriens</v>
      </c>
      <c r="C222" s="410">
        <v>122316.24869767562</v>
      </c>
      <c r="D222" s="410">
        <v>-23024.71226202292</v>
      </c>
      <c r="E222" s="411">
        <v>0</v>
      </c>
      <c r="F222" s="411">
        <v>0</v>
      </c>
      <c r="G222" s="411">
        <v>0</v>
      </c>
      <c r="H222" s="352">
        <f t="shared" si="41"/>
        <v>99291.536435652699</v>
      </c>
      <c r="I222" s="412">
        <v>8035.95670886076</v>
      </c>
      <c r="J222" s="355">
        <f>'B) D RI'!U223</f>
        <v>9237.2617721518982</v>
      </c>
      <c r="K222" s="65">
        <f t="shared" si="55"/>
        <v>12.35590733411617</v>
      </c>
      <c r="L222" s="33">
        <f>'B) D RI'!S223</f>
        <v>79</v>
      </c>
      <c r="M222" s="33">
        <f t="shared" si="50"/>
        <v>66.644092665883832</v>
      </c>
      <c r="N222" s="33">
        <f>'J) Plafonnement effort'!G221+'J) Plafonnement effort'!H221-'K) Plafonnement aide'!I221</f>
        <v>10.234375826061306</v>
      </c>
      <c r="O222" s="130">
        <f t="shared" si="51"/>
        <v>76.878468491945142</v>
      </c>
      <c r="P222" s="47">
        <f t="shared" si="52"/>
        <v>0</v>
      </c>
      <c r="Q222" s="57">
        <f t="shared" ref="Q222:Q266" si="56">P222*J222</f>
        <v>0</v>
      </c>
      <c r="R222" s="151">
        <f t="shared" si="53"/>
        <v>76.878468491945142</v>
      </c>
      <c r="S222" s="130">
        <f t="shared" si="54"/>
        <v>-2.1215315080548578</v>
      </c>
      <c r="T222" s="150">
        <f t="shared" si="42"/>
        <v>0</v>
      </c>
      <c r="V222" s="12"/>
    </row>
    <row r="223" spans="1:22" x14ac:dyDescent="0.25">
      <c r="A223" s="49">
        <f>'A) Base RI'!A224</f>
        <v>5755</v>
      </c>
      <c r="B223" s="350" t="str">
        <f>'A) Base RI'!B224</f>
        <v>Lignerolle</v>
      </c>
      <c r="C223" s="410">
        <v>161436.63411758747</v>
      </c>
      <c r="D223" s="410">
        <v>-99879.992221383029</v>
      </c>
      <c r="E223" s="411">
        <v>0</v>
      </c>
      <c r="F223" s="411">
        <v>0</v>
      </c>
      <c r="G223" s="411">
        <v>0</v>
      </c>
      <c r="H223" s="352">
        <f t="shared" si="41"/>
        <v>61556.641896204441</v>
      </c>
      <c r="I223" s="412">
        <v>9584.7876607142862</v>
      </c>
      <c r="J223" s="355">
        <f>'B) D RI'!U224</f>
        <v>9846.5387499999997</v>
      </c>
      <c r="K223" s="65">
        <f t="shared" si="55"/>
        <v>6.4223271370434372</v>
      </c>
      <c r="L223" s="33">
        <f>'B) D RI'!S224</f>
        <v>80</v>
      </c>
      <c r="M223" s="33">
        <f t="shared" si="50"/>
        <v>73.577672862956561</v>
      </c>
      <c r="N223" s="33">
        <f>'J) Plafonnement effort'!G222+'J) Plafonnement effort'!H222-'K) Plafonnement aide'!I222</f>
        <v>-6.4740195681692327</v>
      </c>
      <c r="O223" s="130">
        <f t="shared" si="51"/>
        <v>67.103653294787335</v>
      </c>
      <c r="P223" s="47">
        <f t="shared" si="52"/>
        <v>0</v>
      </c>
      <c r="Q223" s="57">
        <f t="shared" si="56"/>
        <v>0</v>
      </c>
      <c r="R223" s="151">
        <f t="shared" si="53"/>
        <v>67.103653294787335</v>
      </c>
      <c r="S223" s="130">
        <f t="shared" si="54"/>
        <v>-12.896346705212665</v>
      </c>
      <c r="T223" s="150">
        <f t="shared" si="42"/>
        <v>0</v>
      </c>
      <c r="V223" s="12"/>
    </row>
    <row r="224" spans="1:22" x14ac:dyDescent="0.25">
      <c r="A224" s="49">
        <f>'A) Base RI'!A225</f>
        <v>5756</v>
      </c>
      <c r="B224" s="350" t="str">
        <f>'A) Base RI'!B225</f>
        <v>Montcherand</v>
      </c>
      <c r="C224" s="410">
        <v>246322.77583947426</v>
      </c>
      <c r="D224" s="410">
        <v>124478.67145539747</v>
      </c>
      <c r="E224" s="411">
        <v>0</v>
      </c>
      <c r="F224" s="411">
        <v>0</v>
      </c>
      <c r="G224" s="411">
        <v>0</v>
      </c>
      <c r="H224" s="352">
        <f t="shared" si="41"/>
        <v>370801.44729487173</v>
      </c>
      <c r="I224" s="412">
        <v>15844.670555555553</v>
      </c>
      <c r="J224" s="355">
        <f>'B) D RI'!U225</f>
        <v>16429.064166666663</v>
      </c>
      <c r="K224" s="65">
        <f t="shared" si="55"/>
        <v>23.402281921529706</v>
      </c>
      <c r="L224" s="33">
        <f>'B) D RI'!S225</f>
        <v>72</v>
      </c>
      <c r="M224" s="33">
        <f t="shared" si="50"/>
        <v>48.597718078470294</v>
      </c>
      <c r="N224" s="33">
        <f>'J) Plafonnement effort'!G223+'J) Plafonnement effort'!H223-'K) Plafonnement aide'!I223</f>
        <v>19.566568720139827</v>
      </c>
      <c r="O224" s="130">
        <f t="shared" si="51"/>
        <v>68.164286798610121</v>
      </c>
      <c r="P224" s="47">
        <f t="shared" si="52"/>
        <v>0</v>
      </c>
      <c r="Q224" s="57">
        <f t="shared" si="56"/>
        <v>0</v>
      </c>
      <c r="R224" s="151">
        <f t="shared" si="53"/>
        <v>68.164286798610121</v>
      </c>
      <c r="S224" s="130">
        <f t="shared" si="54"/>
        <v>-3.8357132013898791</v>
      </c>
      <c r="T224" s="150">
        <f t="shared" si="42"/>
        <v>0</v>
      </c>
      <c r="V224" s="12"/>
    </row>
    <row r="225" spans="1:22" x14ac:dyDescent="0.25">
      <c r="A225" s="49">
        <f>'A) Base RI'!A226</f>
        <v>5757</v>
      </c>
      <c r="B225" s="350" t="str">
        <f>'A) Base RI'!B226</f>
        <v>Orbe</v>
      </c>
      <c r="C225" s="410">
        <v>4751339.6344347997</v>
      </c>
      <c r="D225" s="410">
        <v>-650577.85929355398</v>
      </c>
      <c r="E225" s="411">
        <v>0</v>
      </c>
      <c r="F225" s="411">
        <v>0</v>
      </c>
      <c r="G225" s="411">
        <v>0</v>
      </c>
      <c r="H225" s="352">
        <f t="shared" si="41"/>
        <v>4100761.7751412457</v>
      </c>
      <c r="I225" s="412">
        <v>227545.70272727273</v>
      </c>
      <c r="J225" s="355">
        <f>'B) D RI'!U226</f>
        <v>203622.90168831171</v>
      </c>
      <c r="K225" s="65">
        <f t="shared" si="55"/>
        <v>18.021706083618096</v>
      </c>
      <c r="L225" s="33">
        <f>'B) D RI'!S226</f>
        <v>77</v>
      </c>
      <c r="M225" s="33">
        <f t="shared" si="50"/>
        <v>58.978293916381901</v>
      </c>
      <c r="N225" s="33">
        <f>'J) Plafonnement effort'!G224+'J) Plafonnement effort'!H224-'K) Plafonnement aide'!I224</f>
        <v>3.3071383343943443</v>
      </c>
      <c r="O225" s="130">
        <f t="shared" si="51"/>
        <v>62.285432250776246</v>
      </c>
      <c r="P225" s="47">
        <f t="shared" si="52"/>
        <v>0</v>
      </c>
      <c r="Q225" s="57">
        <f t="shared" si="56"/>
        <v>0</v>
      </c>
      <c r="R225" s="151">
        <f t="shared" si="53"/>
        <v>62.285432250776246</v>
      </c>
      <c r="S225" s="130">
        <f t="shared" si="54"/>
        <v>-14.714567749223754</v>
      </c>
      <c r="T225" s="150">
        <f t="shared" si="42"/>
        <v>0</v>
      </c>
      <c r="V225" s="12"/>
    </row>
    <row r="226" spans="1:22" x14ac:dyDescent="0.25">
      <c r="A226" s="49">
        <f>'A) Base RI'!A227</f>
        <v>5758</v>
      </c>
      <c r="B226" s="350" t="str">
        <f>'A) Base RI'!B227</f>
        <v>La Praz</v>
      </c>
      <c r="C226" s="410">
        <v>97783.267355289689</v>
      </c>
      <c r="D226" s="410">
        <v>-13558.023279555098</v>
      </c>
      <c r="E226" s="411">
        <v>0</v>
      </c>
      <c r="F226" s="411">
        <v>0</v>
      </c>
      <c r="G226" s="411">
        <v>-3702.2039898928674</v>
      </c>
      <c r="H226" s="352">
        <f t="shared" si="41"/>
        <v>80523.040085841727</v>
      </c>
      <c r="I226" s="412">
        <v>4452.397389558233</v>
      </c>
      <c r="J226" s="355">
        <f>'B) D RI'!U227</f>
        <v>4513.7940160642565</v>
      </c>
      <c r="K226" s="65">
        <f t="shared" si="55"/>
        <v>18.085321915488596</v>
      </c>
      <c r="L226" s="33">
        <f>'B) D RI'!S227</f>
        <v>83</v>
      </c>
      <c r="M226" s="33">
        <f t="shared" si="50"/>
        <v>64.914678084511408</v>
      </c>
      <c r="N226" s="33">
        <f>'J) Plafonnement effort'!G225+'J) Plafonnement effort'!H225-'K) Plafonnement aide'!I225</f>
        <v>9.9937306595119821</v>
      </c>
      <c r="O226" s="130">
        <f t="shared" si="51"/>
        <v>74.90840874402339</v>
      </c>
      <c r="P226" s="47">
        <f t="shared" si="52"/>
        <v>0</v>
      </c>
      <c r="Q226" s="57">
        <f t="shared" si="56"/>
        <v>0</v>
      </c>
      <c r="R226" s="151">
        <f t="shared" si="53"/>
        <v>74.90840874402339</v>
      </c>
      <c r="S226" s="130">
        <f t="shared" si="54"/>
        <v>-8.0915912559766099</v>
      </c>
      <c r="T226" s="150">
        <f t="shared" si="42"/>
        <v>0</v>
      </c>
      <c r="V226" s="12"/>
    </row>
    <row r="227" spans="1:22" x14ac:dyDescent="0.25">
      <c r="A227" s="49">
        <f>'A) Base RI'!A228</f>
        <v>5759</v>
      </c>
      <c r="B227" s="350" t="str">
        <f>'A) Base RI'!B228</f>
        <v>Premier</v>
      </c>
      <c r="C227" s="410">
        <v>100026.10869119312</v>
      </c>
      <c r="D227" s="410">
        <v>-57650.936309462239</v>
      </c>
      <c r="E227" s="411">
        <v>0</v>
      </c>
      <c r="F227" s="411">
        <v>0</v>
      </c>
      <c r="G227" s="411">
        <v>0</v>
      </c>
      <c r="H227" s="352">
        <f t="shared" si="41"/>
        <v>42375.172381730881</v>
      </c>
      <c r="I227" s="412">
        <v>4744.6671604938274</v>
      </c>
      <c r="J227" s="355">
        <f>'B) D RI'!U228</f>
        <v>5266.2719753086421</v>
      </c>
      <c r="K227" s="65">
        <f t="shared" si="55"/>
        <v>8.9311159135808484</v>
      </c>
      <c r="L227" s="33">
        <f>'B) D RI'!S228</f>
        <v>81</v>
      </c>
      <c r="M227" s="33">
        <f t="shared" si="50"/>
        <v>72.068884086419146</v>
      </c>
      <c r="N227" s="33">
        <f>'J) Plafonnement effort'!G226+'J) Plafonnement effort'!H226-'K) Plafonnement aide'!I226</f>
        <v>-1.8797716143434986</v>
      </c>
      <c r="O227" s="130">
        <f t="shared" si="51"/>
        <v>70.189112472075649</v>
      </c>
      <c r="P227" s="47">
        <f t="shared" si="52"/>
        <v>0</v>
      </c>
      <c r="Q227" s="57">
        <f t="shared" si="56"/>
        <v>0</v>
      </c>
      <c r="R227" s="151">
        <f t="shared" si="53"/>
        <v>70.189112472075649</v>
      </c>
      <c r="S227" s="130">
        <f t="shared" si="54"/>
        <v>-10.810887527924351</v>
      </c>
      <c r="T227" s="150">
        <f t="shared" si="42"/>
        <v>0</v>
      </c>
      <c r="V227" s="12"/>
    </row>
    <row r="228" spans="1:22" x14ac:dyDescent="0.25">
      <c r="A228" s="49">
        <f>'A) Base RI'!A229</f>
        <v>5760</v>
      </c>
      <c r="B228" s="350" t="str">
        <f>'A) Base RI'!B229</f>
        <v>Rances</v>
      </c>
      <c r="C228" s="410">
        <v>210383.62000261512</v>
      </c>
      <c r="D228" s="410">
        <v>-79849.169788733358</v>
      </c>
      <c r="E228" s="411">
        <v>0</v>
      </c>
      <c r="F228" s="411">
        <v>0</v>
      </c>
      <c r="G228" s="411">
        <v>0</v>
      </c>
      <c r="H228" s="352">
        <f t="shared" si="41"/>
        <v>130534.45021388176</v>
      </c>
      <c r="I228" s="412">
        <v>11427.8147008547</v>
      </c>
      <c r="J228" s="355">
        <f>'B) D RI'!U229</f>
        <v>12393.154658119658</v>
      </c>
      <c r="K228" s="65">
        <f t="shared" si="55"/>
        <v>11.422520720791782</v>
      </c>
      <c r="L228" s="33">
        <f>'B) D RI'!S229</f>
        <v>78</v>
      </c>
      <c r="M228" s="33">
        <f t="shared" si="50"/>
        <v>66.57747927920822</v>
      </c>
      <c r="N228" s="33">
        <f>'J) Plafonnement effort'!G227+'J) Plafonnement effort'!H227-'K) Plafonnement aide'!I227</f>
        <v>-0.84429205446380173</v>
      </c>
      <c r="O228" s="130">
        <f t="shared" si="51"/>
        <v>65.733187224744412</v>
      </c>
      <c r="P228" s="47">
        <f t="shared" si="52"/>
        <v>0</v>
      </c>
      <c r="Q228" s="57">
        <f t="shared" si="56"/>
        <v>0</v>
      </c>
      <c r="R228" s="151">
        <f t="shared" si="53"/>
        <v>65.733187224744412</v>
      </c>
      <c r="S228" s="130">
        <f t="shared" si="54"/>
        <v>-12.266812775255588</v>
      </c>
      <c r="T228" s="150">
        <f t="shared" si="42"/>
        <v>0</v>
      </c>
      <c r="V228" s="12"/>
    </row>
    <row r="229" spans="1:22" x14ac:dyDescent="0.25">
      <c r="A229" s="49">
        <f>'A) Base RI'!A230</f>
        <v>5761</v>
      </c>
      <c r="B229" s="350" t="str">
        <f>'A) Base RI'!B230</f>
        <v>Romainmôtier-Envy</v>
      </c>
      <c r="C229" s="410">
        <v>274834.38083778106</v>
      </c>
      <c r="D229" s="410">
        <v>-19415.475269467628</v>
      </c>
      <c r="E229" s="411">
        <v>0</v>
      </c>
      <c r="F229" s="411">
        <v>0</v>
      </c>
      <c r="G229" s="411">
        <v>0</v>
      </c>
      <c r="H229" s="352">
        <f t="shared" si="41"/>
        <v>255418.90556831344</v>
      </c>
      <c r="I229" s="412">
        <v>14843.375263748598</v>
      </c>
      <c r="J229" s="355">
        <f>'B) D RI'!U230</f>
        <v>12300.346363636363</v>
      </c>
      <c r="K229" s="65">
        <f t="shared" si="55"/>
        <v>17.207602787764394</v>
      </c>
      <c r="L229" s="33">
        <f>'B) D RI'!S230</f>
        <v>81</v>
      </c>
      <c r="M229" s="33">
        <f t="shared" si="50"/>
        <v>63.792397212235606</v>
      </c>
      <c r="N229" s="33">
        <f>'J) Plafonnement effort'!G228+'J) Plafonnement effort'!H228-'K) Plafonnement aide'!I228</f>
        <v>-3.19493460743006</v>
      </c>
      <c r="O229" s="130">
        <f t="shared" si="51"/>
        <v>60.597462604805543</v>
      </c>
      <c r="P229" s="47">
        <f t="shared" si="52"/>
        <v>0</v>
      </c>
      <c r="Q229" s="57">
        <f t="shared" si="56"/>
        <v>0</v>
      </c>
      <c r="R229" s="151">
        <f t="shared" si="53"/>
        <v>60.597462604805543</v>
      </c>
      <c r="S229" s="130">
        <f t="shared" si="54"/>
        <v>-20.402537395194457</v>
      </c>
      <c r="T229" s="150">
        <f t="shared" si="42"/>
        <v>0</v>
      </c>
      <c r="V229" s="12"/>
    </row>
    <row r="230" spans="1:22" x14ac:dyDescent="0.25">
      <c r="A230" s="49">
        <f>'A) Base RI'!A231</f>
        <v>5762</v>
      </c>
      <c r="B230" s="350" t="str">
        <f>'A) Base RI'!B231</f>
        <v>Sergey</v>
      </c>
      <c r="C230" s="410">
        <v>57978.008149516652</v>
      </c>
      <c r="D230" s="410">
        <v>-8849.0137909550685</v>
      </c>
      <c r="E230" s="411">
        <v>0</v>
      </c>
      <c r="F230" s="411">
        <v>0</v>
      </c>
      <c r="G230" s="411">
        <v>0</v>
      </c>
      <c r="H230" s="352">
        <f t="shared" si="41"/>
        <v>49128.994358561584</v>
      </c>
      <c r="I230" s="412">
        <v>3817.1048717948711</v>
      </c>
      <c r="J230" s="355">
        <f>'B) D RI'!U231</f>
        <v>4008.7221794871789</v>
      </c>
      <c r="K230" s="65">
        <f t="shared" si="55"/>
        <v>12.870747859610221</v>
      </c>
      <c r="L230" s="33">
        <f>'B) D RI'!S231</f>
        <v>78</v>
      </c>
      <c r="M230" s="33">
        <f t="shared" si="50"/>
        <v>65.129252140389781</v>
      </c>
      <c r="N230" s="33">
        <f>'J) Plafonnement effort'!G229+'J) Plafonnement effort'!H229-'K) Plafonnement aide'!I229</f>
        <v>13.701959809408477</v>
      </c>
      <c r="O230" s="130">
        <f t="shared" si="51"/>
        <v>78.831211949798259</v>
      </c>
      <c r="P230" s="47">
        <f t="shared" si="52"/>
        <v>0</v>
      </c>
      <c r="Q230" s="57">
        <f t="shared" si="56"/>
        <v>0</v>
      </c>
      <c r="R230" s="151">
        <f t="shared" si="53"/>
        <v>78.831211949798259</v>
      </c>
      <c r="S230" s="130">
        <f t="shared" si="54"/>
        <v>0.8312119497982593</v>
      </c>
      <c r="T230" s="150">
        <f t="shared" si="42"/>
        <v>0</v>
      </c>
      <c r="V230" s="12"/>
    </row>
    <row r="231" spans="1:22" x14ac:dyDescent="0.25">
      <c r="A231" s="49">
        <f>'A) Base RI'!A232</f>
        <v>5763</v>
      </c>
      <c r="B231" s="350" t="str">
        <f>'A) Base RI'!B232</f>
        <v>Valeyres-sous-Rances</v>
      </c>
      <c r="C231" s="410">
        <v>313236.27647941501</v>
      </c>
      <c r="D231" s="410">
        <v>220116.35679436079</v>
      </c>
      <c r="E231" s="411">
        <v>0</v>
      </c>
      <c r="F231" s="411">
        <v>0</v>
      </c>
      <c r="G231" s="411">
        <v>0</v>
      </c>
      <c r="H231" s="352">
        <f t="shared" si="41"/>
        <v>533352.63327377581</v>
      </c>
      <c r="I231" s="412">
        <v>21043.479230769233</v>
      </c>
      <c r="J231" s="355">
        <f>'B) D RI'!U232</f>
        <v>21916.016764705884</v>
      </c>
      <c r="K231" s="65">
        <f t="shared" si="55"/>
        <v>25.345268594839645</v>
      </c>
      <c r="L231" s="33">
        <f>'B) D RI'!S232</f>
        <v>68</v>
      </c>
      <c r="M231" s="33">
        <f t="shared" si="50"/>
        <v>42.654731405160355</v>
      </c>
      <c r="N231" s="33">
        <f>'J) Plafonnement effort'!G230+'J) Plafonnement effort'!H230-'K) Plafonnement aide'!I230</f>
        <v>21.831555867885257</v>
      </c>
      <c r="O231" s="130">
        <f t="shared" si="51"/>
        <v>64.486287273045605</v>
      </c>
      <c r="P231" s="47">
        <f t="shared" si="52"/>
        <v>0</v>
      </c>
      <c r="Q231" s="57">
        <f t="shared" si="56"/>
        <v>0</v>
      </c>
      <c r="R231" s="151">
        <f t="shared" si="53"/>
        <v>64.486287273045605</v>
      </c>
      <c r="S231" s="130">
        <f t="shared" si="54"/>
        <v>-3.5137127269543953</v>
      </c>
      <c r="T231" s="150">
        <f t="shared" si="42"/>
        <v>0</v>
      </c>
      <c r="V231" s="12"/>
    </row>
    <row r="232" spans="1:22" x14ac:dyDescent="0.25">
      <c r="A232" s="49">
        <f>'A) Base RI'!A233</f>
        <v>5764</v>
      </c>
      <c r="B232" s="350" t="str">
        <f>'A) Base RI'!B233</f>
        <v>Vallorbe</v>
      </c>
      <c r="C232" s="410">
        <v>2126258.7333335076</v>
      </c>
      <c r="D232" s="410">
        <v>-1433765.3722934623</v>
      </c>
      <c r="E232" s="411">
        <v>0</v>
      </c>
      <c r="F232" s="411">
        <v>0</v>
      </c>
      <c r="G232" s="411">
        <v>0</v>
      </c>
      <c r="H232" s="352">
        <f t="shared" si="41"/>
        <v>692493.36104004527</v>
      </c>
      <c r="I232" s="412">
        <v>86289.103835616435</v>
      </c>
      <c r="J232" s="355">
        <f>'B) D RI'!U233</f>
        <v>88041.024794520548</v>
      </c>
      <c r="K232" s="65">
        <f t="shared" si="55"/>
        <v>8.0252700544818243</v>
      </c>
      <c r="L232" s="33">
        <f>'B) D RI'!S233</f>
        <v>73</v>
      </c>
      <c r="M232" s="33">
        <f t="shared" si="50"/>
        <v>64.974729945518177</v>
      </c>
      <c r="N232" s="33">
        <f>'J) Plafonnement effort'!G231+'J) Plafonnement effort'!H231-'K) Plafonnement aide'!I231</f>
        <v>-16.13309911943599</v>
      </c>
      <c r="O232" s="130">
        <f t="shared" si="51"/>
        <v>48.841630826082188</v>
      </c>
      <c r="P232" s="47">
        <f t="shared" si="52"/>
        <v>0</v>
      </c>
      <c r="Q232" s="57">
        <f t="shared" si="56"/>
        <v>0</v>
      </c>
      <c r="R232" s="151">
        <f t="shared" si="53"/>
        <v>48.841630826082188</v>
      </c>
      <c r="S232" s="130">
        <f t="shared" si="54"/>
        <v>-24.158369173917812</v>
      </c>
      <c r="T232" s="150">
        <f t="shared" si="42"/>
        <v>0</v>
      </c>
      <c r="V232" s="12"/>
    </row>
    <row r="233" spans="1:22" x14ac:dyDescent="0.25">
      <c r="A233" s="49">
        <f>'A) Base RI'!A234</f>
        <v>5765</v>
      </c>
      <c r="B233" s="350" t="str">
        <f>'A) Base RI'!B234</f>
        <v>Vaulion</v>
      </c>
      <c r="C233" s="410">
        <v>184955.72277978051</v>
      </c>
      <c r="D233" s="410">
        <v>-154296.49754471087</v>
      </c>
      <c r="E233" s="411">
        <v>0</v>
      </c>
      <c r="F233" s="411">
        <v>0</v>
      </c>
      <c r="G233" s="411">
        <v>0</v>
      </c>
      <c r="H233" s="352">
        <f t="shared" si="41"/>
        <v>30659.225235069636</v>
      </c>
      <c r="I233" s="412">
        <v>9839.660864197529</v>
      </c>
      <c r="J233" s="355">
        <f>'B) D RI'!U234</f>
        <v>11969.433580246912</v>
      </c>
      <c r="K233" s="65">
        <f t="shared" si="55"/>
        <v>3.1158823112111436</v>
      </c>
      <c r="L233" s="33">
        <f>'B) D RI'!S234</f>
        <v>81</v>
      </c>
      <c r="M233" s="33">
        <f t="shared" si="50"/>
        <v>77.884117688788862</v>
      </c>
      <c r="N233" s="33">
        <f>'J) Plafonnement effort'!G232+'J) Plafonnement effort'!H232-'K) Plafonnement aide'!I232</f>
        <v>-2.1008055081280155</v>
      </c>
      <c r="O233" s="130">
        <f t="shared" si="51"/>
        <v>75.783312180660843</v>
      </c>
      <c r="P233" s="47">
        <f t="shared" si="52"/>
        <v>0</v>
      </c>
      <c r="Q233" s="57">
        <f t="shared" si="56"/>
        <v>0</v>
      </c>
      <c r="R233" s="151">
        <f t="shared" si="53"/>
        <v>75.783312180660843</v>
      </c>
      <c r="S233" s="130">
        <f t="shared" si="54"/>
        <v>-5.2166878193391568</v>
      </c>
      <c r="T233" s="150">
        <f t="shared" si="42"/>
        <v>0</v>
      </c>
      <c r="V233" s="12"/>
    </row>
    <row r="234" spans="1:22" x14ac:dyDescent="0.25">
      <c r="A234" s="49">
        <f>'A) Base RI'!A235</f>
        <v>5766</v>
      </c>
      <c r="B234" s="350" t="str">
        <f>'A) Base RI'!B235</f>
        <v>Vuiteboeuf</v>
      </c>
      <c r="C234" s="410">
        <v>223134.95464122744</v>
      </c>
      <c r="D234" s="410">
        <v>-110763.49783738787</v>
      </c>
      <c r="E234" s="411">
        <v>0</v>
      </c>
      <c r="F234" s="411">
        <v>0</v>
      </c>
      <c r="G234" s="411">
        <v>0</v>
      </c>
      <c r="H234" s="352">
        <f t="shared" si="41"/>
        <v>112371.45680383957</v>
      </c>
      <c r="I234" s="412">
        <v>13336.017235621519</v>
      </c>
      <c r="J234" s="355">
        <f>'B) D RI'!U235</f>
        <v>13963.194675324676</v>
      </c>
      <c r="K234" s="65">
        <f t="shared" si="55"/>
        <v>8.4261631353989888</v>
      </c>
      <c r="L234" s="33">
        <f>'B) D RI'!S235</f>
        <v>77</v>
      </c>
      <c r="M234" s="33">
        <f t="shared" si="50"/>
        <v>68.573836864601006</v>
      </c>
      <c r="N234" s="33">
        <f>'J) Plafonnement effort'!G233+'J) Plafonnement effort'!H233-'K) Plafonnement aide'!I233</f>
        <v>3.8610691535193116</v>
      </c>
      <c r="O234" s="130">
        <f t="shared" si="51"/>
        <v>72.434906018120316</v>
      </c>
      <c r="P234" s="47">
        <f t="shared" si="52"/>
        <v>0</v>
      </c>
      <c r="Q234" s="57">
        <f t="shared" si="56"/>
        <v>0</v>
      </c>
      <c r="R234" s="151">
        <f t="shared" si="53"/>
        <v>72.434906018120316</v>
      </c>
      <c r="S234" s="130">
        <f t="shared" si="54"/>
        <v>-4.5650939818796843</v>
      </c>
      <c r="T234" s="150">
        <f t="shared" si="42"/>
        <v>0</v>
      </c>
      <c r="V234" s="12"/>
    </row>
    <row r="235" spans="1:22" x14ac:dyDescent="0.25">
      <c r="A235" s="49">
        <f>'A) Base RI'!A236</f>
        <v>5785</v>
      </c>
      <c r="B235" s="350" t="str">
        <f>'A) Base RI'!B236</f>
        <v>Corcelles-le-Jorat</v>
      </c>
      <c r="C235" s="410">
        <v>254703.46222543277</v>
      </c>
      <c r="D235" s="410">
        <v>148956.41953217343</v>
      </c>
      <c r="E235" s="411">
        <v>0</v>
      </c>
      <c r="F235" s="411">
        <v>0</v>
      </c>
      <c r="G235" s="411">
        <v>0</v>
      </c>
      <c r="H235" s="352">
        <f t="shared" si="41"/>
        <v>403659.88175760617</v>
      </c>
      <c r="I235" s="412">
        <v>15649.981168831173</v>
      </c>
      <c r="J235" s="355">
        <f>'B) D RI'!U236</f>
        <v>16982.100779220782</v>
      </c>
      <c r="K235" s="65">
        <f t="shared" si="55"/>
        <v>25.792994726507629</v>
      </c>
      <c r="L235" s="33">
        <f>'B) D RI'!S236</f>
        <v>77</v>
      </c>
      <c r="M235" s="33">
        <f t="shared" si="50"/>
        <v>51.207005273492371</v>
      </c>
      <c r="N235" s="33">
        <f>'J) Plafonnement effort'!G234+'J) Plafonnement effort'!H234-'K) Plafonnement aide'!I234</f>
        <v>23.175371239867562</v>
      </c>
      <c r="O235" s="130">
        <f t="shared" si="51"/>
        <v>74.38237651335993</v>
      </c>
      <c r="P235" s="47">
        <f t="shared" si="52"/>
        <v>0</v>
      </c>
      <c r="Q235" s="57">
        <f t="shared" si="56"/>
        <v>0</v>
      </c>
      <c r="R235" s="151">
        <f t="shared" si="53"/>
        <v>74.38237651335993</v>
      </c>
      <c r="S235" s="130">
        <f t="shared" si="54"/>
        <v>-2.6176234866400705</v>
      </c>
      <c r="T235" s="150">
        <f t="shared" si="42"/>
        <v>0</v>
      </c>
      <c r="V235" s="12"/>
    </row>
    <row r="236" spans="1:22" x14ac:dyDescent="0.25">
      <c r="A236" s="49">
        <f>'A) Base RI'!A237</f>
        <v>5788</v>
      </c>
      <c r="B236" s="350" t="str">
        <f>'A) Base RI'!B237</f>
        <v>Essertes</v>
      </c>
      <c r="C236" s="410">
        <v>198099.11187885734</v>
      </c>
      <c r="D236" s="410">
        <v>88519.885342448164</v>
      </c>
      <c r="E236" s="411">
        <v>0</v>
      </c>
      <c r="F236" s="411">
        <v>0</v>
      </c>
      <c r="G236" s="411">
        <v>0</v>
      </c>
      <c r="H236" s="352">
        <f t="shared" si="41"/>
        <v>286618.9972213055</v>
      </c>
      <c r="I236" s="412">
        <v>11949.454583333332</v>
      </c>
      <c r="J236" s="355">
        <f>'B) D RI'!U237</f>
        <v>12373.296527777777</v>
      </c>
      <c r="K236" s="65">
        <f t="shared" si="55"/>
        <v>23.985948080096588</v>
      </c>
      <c r="L236" s="33">
        <f>'B) D RI'!S237</f>
        <v>72</v>
      </c>
      <c r="M236" s="33">
        <f t="shared" si="50"/>
        <v>48.014051919903409</v>
      </c>
      <c r="N236" s="33">
        <f>'J) Plafonnement effort'!G235+'J) Plafonnement effort'!H235-'K) Plafonnement aide'!I235</f>
        <v>23.099428722536565</v>
      </c>
      <c r="O236" s="130">
        <f t="shared" si="51"/>
        <v>71.113480642439981</v>
      </c>
      <c r="P236" s="47">
        <f t="shared" si="52"/>
        <v>0</v>
      </c>
      <c r="Q236" s="57">
        <f t="shared" si="56"/>
        <v>0</v>
      </c>
      <c r="R236" s="151">
        <f t="shared" si="53"/>
        <v>71.113480642439981</v>
      </c>
      <c r="S236" s="130">
        <f t="shared" si="54"/>
        <v>-0.88651935756001876</v>
      </c>
      <c r="T236" s="150">
        <f t="shared" si="42"/>
        <v>0</v>
      </c>
      <c r="V236" s="12"/>
    </row>
    <row r="237" spans="1:22" x14ac:dyDescent="0.25">
      <c r="A237" s="49">
        <f>'A) Base RI'!A238</f>
        <v>5790</v>
      </c>
      <c r="B237" s="350" t="str">
        <f>'A) Base RI'!B238</f>
        <v>Maracon</v>
      </c>
      <c r="C237" s="410">
        <v>262949.81076321693</v>
      </c>
      <c r="D237" s="410">
        <v>-581.87889570527477</v>
      </c>
      <c r="E237" s="411">
        <v>0</v>
      </c>
      <c r="F237" s="411">
        <v>0</v>
      </c>
      <c r="G237" s="411">
        <v>0</v>
      </c>
      <c r="H237" s="352">
        <f t="shared" si="41"/>
        <v>262367.93186751165</v>
      </c>
      <c r="I237" s="412">
        <v>13289.151710526314</v>
      </c>
      <c r="J237" s="355">
        <f>'B) D RI'!U238</f>
        <v>14432.888421052632</v>
      </c>
      <c r="K237" s="65">
        <f t="shared" si="55"/>
        <v>19.74301577576923</v>
      </c>
      <c r="L237" s="33">
        <f>'B) D RI'!S238</f>
        <v>76</v>
      </c>
      <c r="M237" s="33">
        <f t="shared" si="50"/>
        <v>56.25698422423077</v>
      </c>
      <c r="N237" s="33">
        <f>'J) Plafonnement effort'!G236+'J) Plafonnement effort'!H236-'K) Plafonnement aide'!I236</f>
        <v>14.434697036605968</v>
      </c>
      <c r="O237" s="130">
        <f t="shared" si="51"/>
        <v>70.691681260836731</v>
      </c>
      <c r="P237" s="47">
        <f t="shared" si="52"/>
        <v>0</v>
      </c>
      <c r="Q237" s="57">
        <f t="shared" si="56"/>
        <v>0</v>
      </c>
      <c r="R237" s="151">
        <f t="shared" si="53"/>
        <v>70.691681260836731</v>
      </c>
      <c r="S237" s="130">
        <f t="shared" si="54"/>
        <v>-5.3083187391632691</v>
      </c>
      <c r="T237" s="150">
        <f t="shared" si="42"/>
        <v>0</v>
      </c>
      <c r="V237" s="12"/>
    </row>
    <row r="238" spans="1:22" x14ac:dyDescent="0.25">
      <c r="A238" s="49">
        <f>'A) Base RI'!A239</f>
        <v>5792</v>
      </c>
      <c r="B238" s="350" t="str">
        <f>'A) Base RI'!B239</f>
        <v>Montpreveyres</v>
      </c>
      <c r="C238" s="410">
        <v>344970.07297949004</v>
      </c>
      <c r="D238" s="410">
        <v>51106.386448544101</v>
      </c>
      <c r="E238" s="411">
        <v>0</v>
      </c>
      <c r="F238" s="411">
        <v>0</v>
      </c>
      <c r="G238" s="411">
        <v>0</v>
      </c>
      <c r="H238" s="352">
        <f t="shared" si="41"/>
        <v>396076.45942803414</v>
      </c>
      <c r="I238" s="412">
        <v>18753.372987012986</v>
      </c>
      <c r="J238" s="355">
        <f>'B) D RI'!U239</f>
        <v>20144.698311688313</v>
      </c>
      <c r="K238" s="65">
        <f t="shared" si="55"/>
        <v>21.120278453498656</v>
      </c>
      <c r="L238" s="33">
        <f>'B) D RI'!S239</f>
        <v>77</v>
      </c>
      <c r="M238" s="33">
        <f t="shared" si="50"/>
        <v>55.879721546501344</v>
      </c>
      <c r="N238" s="33">
        <f>'J) Plafonnement effort'!G237+'J) Plafonnement effort'!H237-'K) Plafonnement aide'!I237</f>
        <v>14.674253018580437</v>
      </c>
      <c r="O238" s="130">
        <f t="shared" si="51"/>
        <v>70.553974565081774</v>
      </c>
      <c r="P238" s="47">
        <f t="shared" si="52"/>
        <v>0</v>
      </c>
      <c r="Q238" s="57">
        <f t="shared" si="56"/>
        <v>0</v>
      </c>
      <c r="R238" s="151">
        <f t="shared" si="53"/>
        <v>70.553974565081774</v>
      </c>
      <c r="S238" s="130">
        <f t="shared" si="54"/>
        <v>-6.4460254349182264</v>
      </c>
      <c r="T238" s="150">
        <f t="shared" si="42"/>
        <v>0</v>
      </c>
      <c r="V238" s="12"/>
    </row>
    <row r="239" spans="1:22" x14ac:dyDescent="0.25">
      <c r="A239" s="49">
        <f>'A) Base RI'!A240</f>
        <v>5798</v>
      </c>
      <c r="B239" s="350" t="str">
        <f>'A) Base RI'!B240</f>
        <v>Ropraz</v>
      </c>
      <c r="C239" s="410">
        <v>250406.81237487221</v>
      </c>
      <c r="D239" s="410">
        <v>9317.9391310085775</v>
      </c>
      <c r="E239" s="411">
        <v>0</v>
      </c>
      <c r="F239" s="411">
        <v>0</v>
      </c>
      <c r="G239" s="411">
        <v>0</v>
      </c>
      <c r="H239" s="352">
        <f t="shared" si="41"/>
        <v>259724.75150588079</v>
      </c>
      <c r="I239" s="412">
        <v>13764.738967741932</v>
      </c>
      <c r="J239" s="355">
        <f>'B) D RI'!U240</f>
        <v>14372.607741935482</v>
      </c>
      <c r="K239" s="65">
        <f t="shared" si="55"/>
        <v>18.868846849515513</v>
      </c>
      <c r="L239" s="33">
        <f>'B) D RI'!S240</f>
        <v>77.5</v>
      </c>
      <c r="M239" s="33">
        <f t="shared" si="50"/>
        <v>58.631153150484487</v>
      </c>
      <c r="N239" s="33">
        <f>'J) Plafonnement effort'!G238+'J) Plafonnement effort'!H238-'K) Plafonnement aide'!I238</f>
        <v>12.891664045928739</v>
      </c>
      <c r="O239" s="130">
        <f t="shared" si="51"/>
        <v>71.522817196413229</v>
      </c>
      <c r="P239" s="47">
        <f t="shared" si="52"/>
        <v>0</v>
      </c>
      <c r="Q239" s="57">
        <f t="shared" si="56"/>
        <v>0</v>
      </c>
      <c r="R239" s="151">
        <f t="shared" si="53"/>
        <v>71.522817196413229</v>
      </c>
      <c r="S239" s="130">
        <f t="shared" si="54"/>
        <v>-5.9771828035867713</v>
      </c>
      <c r="T239" s="150">
        <f t="shared" si="42"/>
        <v>0</v>
      </c>
      <c r="V239" s="12"/>
    </row>
    <row r="240" spans="1:22" x14ac:dyDescent="0.25">
      <c r="A240" s="49">
        <f>'A) Base RI'!A241</f>
        <v>5799</v>
      </c>
      <c r="B240" s="350" t="str">
        <f>'A) Base RI'!B241</f>
        <v>Servion</v>
      </c>
      <c r="C240" s="410">
        <v>1332537.5514659649</v>
      </c>
      <c r="D240" s="410">
        <v>543246.92132173863</v>
      </c>
      <c r="E240" s="411">
        <v>0</v>
      </c>
      <c r="F240" s="411">
        <v>0</v>
      </c>
      <c r="G240" s="411">
        <v>0</v>
      </c>
      <c r="H240" s="352">
        <f t="shared" si="41"/>
        <v>1875784.4727877034</v>
      </c>
      <c r="I240" s="412">
        <v>69335.991449275345</v>
      </c>
      <c r="J240" s="355">
        <f>'B) D RI'!U241</f>
        <v>71130.218550724647</v>
      </c>
      <c r="K240" s="65">
        <f t="shared" si="55"/>
        <v>27.053546557562175</v>
      </c>
      <c r="L240" s="33">
        <f>'B) D RI'!S241</f>
        <v>69</v>
      </c>
      <c r="M240" s="33">
        <f t="shared" si="50"/>
        <v>41.946453442437829</v>
      </c>
      <c r="N240" s="33">
        <f>'J) Plafonnement effort'!G239+'J) Plafonnement effort'!H239-'K) Plafonnement aide'!I239</f>
        <v>21.569182072123141</v>
      </c>
      <c r="O240" s="130">
        <f t="shared" si="51"/>
        <v>63.515635514560969</v>
      </c>
      <c r="P240" s="47">
        <f t="shared" si="52"/>
        <v>0</v>
      </c>
      <c r="Q240" s="57">
        <f t="shared" si="56"/>
        <v>0</v>
      </c>
      <c r="R240" s="151">
        <f t="shared" si="53"/>
        <v>63.515635514560969</v>
      </c>
      <c r="S240" s="130">
        <f t="shared" si="54"/>
        <v>-5.4843644854390305</v>
      </c>
      <c r="T240" s="150">
        <f t="shared" si="42"/>
        <v>0</v>
      </c>
      <c r="V240" s="12"/>
    </row>
    <row r="241" spans="1:22" x14ac:dyDescent="0.25">
      <c r="A241" s="49">
        <f>'A) Base RI'!A242</f>
        <v>5803</v>
      </c>
      <c r="B241" s="350" t="str">
        <f>'A) Base RI'!B242</f>
        <v>Vulliens</v>
      </c>
      <c r="C241" s="410">
        <v>308759.0945950466</v>
      </c>
      <c r="D241" s="410">
        <v>9819.50495069928</v>
      </c>
      <c r="E241" s="411">
        <v>0</v>
      </c>
      <c r="F241" s="411">
        <v>0</v>
      </c>
      <c r="G241" s="411">
        <v>0</v>
      </c>
      <c r="H241" s="352">
        <f t="shared" si="41"/>
        <v>318578.59954574588</v>
      </c>
      <c r="I241" s="412">
        <v>16619.681923076922</v>
      </c>
      <c r="J241" s="355">
        <f>'B) D RI'!U242</f>
        <v>17471.95461538462</v>
      </c>
      <c r="K241" s="65">
        <f t="shared" si="55"/>
        <v>19.168754313124971</v>
      </c>
      <c r="L241" s="33">
        <f>'B) D RI'!S242</f>
        <v>78</v>
      </c>
      <c r="M241" s="33">
        <f t="shared" si="50"/>
        <v>58.831245686875029</v>
      </c>
      <c r="N241" s="33">
        <f>'J) Plafonnement effort'!G240+'J) Plafonnement effort'!H240-'K) Plafonnement aide'!I240</f>
        <v>9.1116950358625957</v>
      </c>
      <c r="O241" s="130">
        <f t="shared" si="51"/>
        <v>67.942940722737632</v>
      </c>
      <c r="P241" s="47">
        <f t="shared" si="52"/>
        <v>0</v>
      </c>
      <c r="Q241" s="57">
        <f t="shared" si="56"/>
        <v>0</v>
      </c>
      <c r="R241" s="151">
        <f t="shared" si="53"/>
        <v>67.942940722737632</v>
      </c>
      <c r="S241" s="130">
        <f t="shared" si="54"/>
        <v>-10.057059277262368</v>
      </c>
      <c r="T241" s="150">
        <f t="shared" si="42"/>
        <v>0</v>
      </c>
      <c r="V241" s="12"/>
    </row>
    <row r="242" spans="1:22" x14ac:dyDescent="0.25">
      <c r="A242" s="49">
        <f>'A) Base RI'!A243</f>
        <v>5804</v>
      </c>
      <c r="B242" s="350" t="str">
        <f>'A) Base RI'!B243</f>
        <v>Jorat-Menthue</v>
      </c>
      <c r="C242" s="410">
        <v>745793.36208787304</v>
      </c>
      <c r="D242" s="410">
        <v>105837.58868662128</v>
      </c>
      <c r="E242" s="411">
        <v>0</v>
      </c>
      <c r="F242" s="411">
        <v>0</v>
      </c>
      <c r="G242" s="411">
        <v>0</v>
      </c>
      <c r="H242" s="352">
        <f t="shared" si="41"/>
        <v>851630.95077449433</v>
      </c>
      <c r="I242" s="412">
        <v>47559.531944444454</v>
      </c>
      <c r="J242" s="355">
        <f>'B) D RI'!U243</f>
        <v>44252.610972222225</v>
      </c>
      <c r="K242" s="65">
        <f>H242/I242</f>
        <v>17.906630194958751</v>
      </c>
      <c r="L242" s="33">
        <f>'B) D RI'!S243</f>
        <v>72</v>
      </c>
      <c r="M242" s="33">
        <f>L242-K242</f>
        <v>54.093369805041249</v>
      </c>
      <c r="N242" s="33">
        <f>'J) Plafonnement effort'!G241+'J) Plafonnement effort'!H241-'K) Plafonnement aide'!I241</f>
        <v>-11.956285606503457</v>
      </c>
      <c r="O242" s="130">
        <f>M242+N242</f>
        <v>42.137084198537792</v>
      </c>
      <c r="P242" s="47">
        <f t="shared" si="52"/>
        <v>0</v>
      </c>
      <c r="Q242" s="57">
        <f>P242*J242</f>
        <v>0</v>
      </c>
      <c r="R242" s="151">
        <f>O242+P242</f>
        <v>42.137084198537792</v>
      </c>
      <c r="S242" s="130">
        <f>R242-L242</f>
        <v>-29.862915801462208</v>
      </c>
      <c r="T242" s="150">
        <f t="shared" si="42"/>
        <v>0</v>
      </c>
      <c r="V242" s="12"/>
    </row>
    <row r="243" spans="1:22" x14ac:dyDescent="0.25">
      <c r="A243" s="49">
        <f>'A) Base RI'!A244</f>
        <v>5805</v>
      </c>
      <c r="B243" s="350" t="str">
        <f>'A) Base RI'!B244</f>
        <v>Oron</v>
      </c>
      <c r="C243" s="410">
        <v>2918810.8429001323</v>
      </c>
      <c r="D243" s="410">
        <v>-823426.84657365549</v>
      </c>
      <c r="E243" s="411">
        <v>0</v>
      </c>
      <c r="F243" s="411">
        <v>0</v>
      </c>
      <c r="G243" s="411">
        <v>0</v>
      </c>
      <c r="H243" s="352">
        <f t="shared" si="41"/>
        <v>2095383.9963264768</v>
      </c>
      <c r="I243" s="412">
        <v>157344.05109354414</v>
      </c>
      <c r="J243" s="355">
        <f>'B) D RI'!U244</f>
        <v>158737.86322793149</v>
      </c>
      <c r="K243" s="65">
        <f>H243/I243</f>
        <v>13.317211434201155</v>
      </c>
      <c r="L243" s="33">
        <f>'B) D RI'!S244</f>
        <v>69</v>
      </c>
      <c r="M243" s="33">
        <f>L243-K243</f>
        <v>55.682788565798845</v>
      </c>
      <c r="N243" s="33">
        <f>'J) Plafonnement effort'!G242+'J) Plafonnement effort'!H242-'K) Plafonnement aide'!I242</f>
        <v>7.0268067297140009</v>
      </c>
      <c r="O243" s="130">
        <f>M243+N243</f>
        <v>62.709595295512848</v>
      </c>
      <c r="P243" s="47">
        <f t="shared" si="52"/>
        <v>0</v>
      </c>
      <c r="Q243" s="57">
        <f>P243*J243</f>
        <v>0</v>
      </c>
      <c r="R243" s="151">
        <f>O243+P243</f>
        <v>62.709595295512848</v>
      </c>
      <c r="S243" s="130">
        <f>R243-L243</f>
        <v>-6.2904047044871518</v>
      </c>
      <c r="T243" s="150">
        <f t="shared" si="42"/>
        <v>0</v>
      </c>
      <c r="V243" s="12"/>
    </row>
    <row r="244" spans="1:22" x14ac:dyDescent="0.25">
      <c r="A244" s="49">
        <f>'A) Base RI'!A245</f>
        <v>5806</v>
      </c>
      <c r="B244" s="350" t="str">
        <f>'A) Base RI'!B245</f>
        <v>Jorat-Mézières</v>
      </c>
      <c r="C244" s="410">
        <v>1666414.6922904896</v>
      </c>
      <c r="D244" s="410">
        <v>77977.163597308798</v>
      </c>
      <c r="E244" s="411">
        <v>0</v>
      </c>
      <c r="F244" s="411">
        <v>0</v>
      </c>
      <c r="G244" s="411">
        <v>0</v>
      </c>
      <c r="H244" s="352">
        <f t="shared" si="41"/>
        <v>1744391.8558877984</v>
      </c>
      <c r="I244" s="412">
        <v>90571.355131578952</v>
      </c>
      <c r="J244" s="355">
        <f>'B) D RI'!U245</f>
        <v>92100.572236842127</v>
      </c>
      <c r="K244" s="65">
        <f>H244/I244</f>
        <v>19.259862606158489</v>
      </c>
      <c r="L244" s="33">
        <f>'B) D RI'!S245</f>
        <v>76</v>
      </c>
      <c r="M244" s="33">
        <f>L244-K244</f>
        <v>56.740137393841508</v>
      </c>
      <c r="N244" s="33">
        <f>'J) Plafonnement effort'!G243+'J) Plafonnement effort'!H243-'K) Plafonnement aide'!I243</f>
        <v>12.458531850007436</v>
      </c>
      <c r="O244" s="130">
        <f>M244+N244</f>
        <v>69.19866924384894</v>
      </c>
      <c r="P244" s="47">
        <f t="shared" ref="P244" si="57">IF(O244&gt;$P$5,$P$5-O244,0)</f>
        <v>0</v>
      </c>
      <c r="Q244" s="57">
        <f>P244*J244</f>
        <v>0</v>
      </c>
      <c r="R244" s="151">
        <f>O244+P244</f>
        <v>69.19866924384894</v>
      </c>
      <c r="S244" s="130">
        <f>R244-L244</f>
        <v>-6.8013307561510601</v>
      </c>
      <c r="T244" s="150">
        <f t="shared" si="42"/>
        <v>0</v>
      </c>
      <c r="V244" s="12"/>
    </row>
    <row r="245" spans="1:22" x14ac:dyDescent="0.25">
      <c r="A245" s="49">
        <f>'A) Base RI'!A246</f>
        <v>5812</v>
      </c>
      <c r="B245" s="350" t="str">
        <f>'A) Base RI'!B246</f>
        <v>Champtauroz</v>
      </c>
      <c r="C245" s="410">
        <v>45933.935944489487</v>
      </c>
      <c r="D245" s="410">
        <v>-38481.213346581877</v>
      </c>
      <c r="E245" s="411">
        <v>0</v>
      </c>
      <c r="F245" s="411">
        <v>0</v>
      </c>
      <c r="G245" s="411">
        <v>0</v>
      </c>
      <c r="H245" s="352">
        <f t="shared" si="41"/>
        <v>7452.7225979076102</v>
      </c>
      <c r="I245" s="412">
        <v>2425.1270779220786</v>
      </c>
      <c r="J245" s="355">
        <f>'B) D RI'!U246</f>
        <v>3697.8804870129875</v>
      </c>
      <c r="K245" s="65">
        <f>H245/I245</f>
        <v>3.0731266273655753</v>
      </c>
      <c r="L245" s="33">
        <f>'B) D RI'!S246</f>
        <v>77</v>
      </c>
      <c r="M245" s="33">
        <f>L245-K245</f>
        <v>73.926873372634418</v>
      </c>
      <c r="N245" s="33">
        <f>'J) Plafonnement effort'!G244+'J) Plafonnement effort'!H244-'K) Plafonnement aide'!I244</f>
        <v>19.687803976234697</v>
      </c>
      <c r="O245" s="130">
        <f>M245+N245</f>
        <v>93.614677348869122</v>
      </c>
      <c r="P245" s="47">
        <f t="shared" si="52"/>
        <v>-0.20681776015436526</v>
      </c>
      <c r="Q245" s="57">
        <f>P245*J245</f>
        <v>-764.78735964255941</v>
      </c>
      <c r="R245" s="151">
        <f>O245+P245</f>
        <v>93.407859588714757</v>
      </c>
      <c r="S245" s="130">
        <f>R245-L245</f>
        <v>16.407859588714757</v>
      </c>
      <c r="T245" s="150">
        <f t="shared" si="42"/>
        <v>0</v>
      </c>
      <c r="V245" s="12"/>
    </row>
    <row r="246" spans="1:22" x14ac:dyDescent="0.25">
      <c r="A246" s="49">
        <f>'A) Base RI'!A247</f>
        <v>5813</v>
      </c>
      <c r="B246" s="350" t="str">
        <f>'A) Base RI'!B247</f>
        <v>Chevroux</v>
      </c>
      <c r="C246" s="410">
        <v>278151.59827618359</v>
      </c>
      <c r="D246" s="410">
        <v>35298.531109229429</v>
      </c>
      <c r="E246" s="411">
        <v>0</v>
      </c>
      <c r="F246" s="411">
        <v>0</v>
      </c>
      <c r="G246" s="411">
        <v>0</v>
      </c>
      <c r="H246" s="352">
        <f t="shared" si="41"/>
        <v>313450.12938541302</v>
      </c>
      <c r="I246" s="412">
        <v>13114.094904761907</v>
      </c>
      <c r="J246" s="355">
        <f>'B) D RI'!U247</f>
        <v>14717.819857142857</v>
      </c>
      <c r="K246" s="65">
        <f t="shared" si="55"/>
        <v>23.901773752727305</v>
      </c>
      <c r="L246" s="33">
        <f>'B) D RI'!S247</f>
        <v>70</v>
      </c>
      <c r="M246" s="33">
        <f t="shared" si="50"/>
        <v>46.098226247272692</v>
      </c>
      <c r="N246" s="33">
        <f>'J) Plafonnement effort'!G245+'J) Plafonnement effort'!H245-'K) Plafonnement aide'!I245</f>
        <v>17.254260167642919</v>
      </c>
      <c r="O246" s="130">
        <f t="shared" si="51"/>
        <v>63.35248641491561</v>
      </c>
      <c r="P246" s="47">
        <f t="shared" si="52"/>
        <v>0</v>
      </c>
      <c r="Q246" s="57">
        <f t="shared" si="56"/>
        <v>0</v>
      </c>
      <c r="R246" s="151">
        <f t="shared" si="53"/>
        <v>63.35248641491561</v>
      </c>
      <c r="S246" s="130">
        <f t="shared" si="54"/>
        <v>-6.6475135850843898</v>
      </c>
      <c r="T246" s="150">
        <f t="shared" si="42"/>
        <v>0</v>
      </c>
      <c r="V246" s="12"/>
    </row>
    <row r="247" spans="1:22" x14ac:dyDescent="0.25">
      <c r="A247" s="49">
        <f>'A) Base RI'!A248</f>
        <v>5816</v>
      </c>
      <c r="B247" s="350" t="str">
        <f>'A) Base RI'!B248</f>
        <v>Corcelles-près-Payerne</v>
      </c>
      <c r="C247" s="410">
        <v>953743.43968181615</v>
      </c>
      <c r="D247" s="410">
        <v>-690883.81576923118</v>
      </c>
      <c r="E247" s="411">
        <v>0</v>
      </c>
      <c r="F247" s="411">
        <v>0</v>
      </c>
      <c r="G247" s="411">
        <v>0</v>
      </c>
      <c r="H247" s="352">
        <f t="shared" si="41"/>
        <v>262859.62391258497</v>
      </c>
      <c r="I247" s="412">
        <v>56247.882400793642</v>
      </c>
      <c r="J247" s="355">
        <f>'B) D RI'!U248</f>
        <v>60753.42418367348</v>
      </c>
      <c r="K247" s="65">
        <f t="shared" si="55"/>
        <v>4.6732359102798169</v>
      </c>
      <c r="L247" s="33">
        <f>'B) D RI'!S248</f>
        <v>70</v>
      </c>
      <c r="M247" s="33">
        <f t="shared" si="50"/>
        <v>65.326764089720186</v>
      </c>
      <c r="N247" s="33">
        <f>'J) Plafonnement effort'!G246+'J) Plafonnement effort'!H246-'K) Plafonnement aide'!I246</f>
        <v>3.562110563797102</v>
      </c>
      <c r="O247" s="130">
        <f t="shared" si="51"/>
        <v>68.888874653517291</v>
      </c>
      <c r="P247" s="47">
        <f t="shared" si="52"/>
        <v>0</v>
      </c>
      <c r="Q247" s="57">
        <f t="shared" si="56"/>
        <v>0</v>
      </c>
      <c r="R247" s="151">
        <f t="shared" si="53"/>
        <v>68.888874653517291</v>
      </c>
      <c r="S247" s="130">
        <f t="shared" si="54"/>
        <v>-1.1111253464827087</v>
      </c>
      <c r="T247" s="150">
        <f t="shared" si="42"/>
        <v>0</v>
      </c>
      <c r="V247" s="12"/>
    </row>
    <row r="248" spans="1:22" x14ac:dyDescent="0.25">
      <c r="A248" s="49">
        <f>'A) Base RI'!A249</f>
        <v>5817</v>
      </c>
      <c r="B248" s="350" t="str">
        <f>'A) Base RI'!B249</f>
        <v>Grandcour</v>
      </c>
      <c r="C248" s="410">
        <v>478286.08160773152</v>
      </c>
      <c r="D248" s="410">
        <v>-75888.640950977278</v>
      </c>
      <c r="E248" s="411">
        <v>0</v>
      </c>
      <c r="F248" s="411">
        <v>0</v>
      </c>
      <c r="G248" s="411">
        <v>0</v>
      </c>
      <c r="H248" s="352">
        <f t="shared" si="41"/>
        <v>402397.44065675425</v>
      </c>
      <c r="I248" s="412">
        <v>23573.392337662339</v>
      </c>
      <c r="J248" s="355">
        <f>'B) D RI'!U249</f>
        <v>21844.312857142857</v>
      </c>
      <c r="K248" s="65">
        <f t="shared" si="55"/>
        <v>17.069984450810615</v>
      </c>
      <c r="L248" s="33">
        <f>'B) D RI'!S249</f>
        <v>77</v>
      </c>
      <c r="M248" s="33">
        <f t="shared" si="50"/>
        <v>59.930015549189385</v>
      </c>
      <c r="N248" s="33">
        <f>'J) Plafonnement effort'!G247+'J) Plafonnement effort'!H247-'K) Plafonnement aide'!I247</f>
        <v>-1.3764592126307349</v>
      </c>
      <c r="O248" s="130">
        <f t="shared" si="51"/>
        <v>58.55355633655865</v>
      </c>
      <c r="P248" s="47">
        <f t="shared" si="52"/>
        <v>0</v>
      </c>
      <c r="Q248" s="57">
        <f t="shared" si="56"/>
        <v>0</v>
      </c>
      <c r="R248" s="151">
        <f t="shared" si="53"/>
        <v>58.55355633655865</v>
      </c>
      <c r="S248" s="130">
        <f t="shared" si="54"/>
        <v>-18.44644366344135</v>
      </c>
      <c r="T248" s="150">
        <f t="shared" si="42"/>
        <v>0</v>
      </c>
      <c r="V248" s="12"/>
    </row>
    <row r="249" spans="1:22" x14ac:dyDescent="0.25">
      <c r="A249" s="49">
        <f>'A) Base RI'!A250</f>
        <v>5819</v>
      </c>
      <c r="B249" s="350" t="str">
        <f>'A) Base RI'!B250</f>
        <v>Henniez</v>
      </c>
      <c r="C249" s="410">
        <v>236506.3760751909</v>
      </c>
      <c r="D249" s="410">
        <v>189117.01642867411</v>
      </c>
      <c r="E249" s="411">
        <v>0</v>
      </c>
      <c r="F249" s="411">
        <v>0</v>
      </c>
      <c r="G249" s="411">
        <v>0</v>
      </c>
      <c r="H249" s="352">
        <f t="shared" si="41"/>
        <v>425623.392503865</v>
      </c>
      <c r="I249" s="412">
        <v>13558.497971014494</v>
      </c>
      <c r="J249" s="355">
        <f>'B) D RI'!U250</f>
        <v>12524.767971014497</v>
      </c>
      <c r="K249" s="65">
        <f t="shared" si="55"/>
        <v>31.391633012282583</v>
      </c>
      <c r="L249" s="33">
        <f>'B) D RI'!S250</f>
        <v>69</v>
      </c>
      <c r="M249" s="33">
        <f t="shared" si="50"/>
        <v>37.608366987717417</v>
      </c>
      <c r="N249" s="33">
        <f>'J) Plafonnement effort'!G248+'J) Plafonnement effort'!H248-'K) Plafonnement aide'!I248</f>
        <v>19.68131627579767</v>
      </c>
      <c r="O249" s="130">
        <f t="shared" si="51"/>
        <v>57.289683263515087</v>
      </c>
      <c r="P249" s="47">
        <f t="shared" si="52"/>
        <v>0</v>
      </c>
      <c r="Q249" s="57">
        <f t="shared" si="56"/>
        <v>0</v>
      </c>
      <c r="R249" s="151">
        <f t="shared" si="53"/>
        <v>57.289683263515087</v>
      </c>
      <c r="S249" s="130">
        <f t="shared" si="54"/>
        <v>-11.710316736484913</v>
      </c>
      <c r="T249" s="150">
        <f t="shared" si="42"/>
        <v>0</v>
      </c>
      <c r="V249" s="12"/>
    </row>
    <row r="250" spans="1:22" x14ac:dyDescent="0.25">
      <c r="A250" s="49">
        <f>'A) Base RI'!A251</f>
        <v>5821</v>
      </c>
      <c r="B250" s="350" t="str">
        <f>'A) Base RI'!B251</f>
        <v>Missy</v>
      </c>
      <c r="C250" s="410">
        <v>140985.58662542736</v>
      </c>
      <c r="D250" s="410">
        <v>-37688.023988188739</v>
      </c>
      <c r="E250" s="411">
        <v>0</v>
      </c>
      <c r="F250" s="411">
        <v>0</v>
      </c>
      <c r="G250" s="411">
        <v>0</v>
      </c>
      <c r="H250" s="352">
        <f t="shared" si="41"/>
        <v>103297.56263723862</v>
      </c>
      <c r="I250" s="412">
        <v>8603.5648611111101</v>
      </c>
      <c r="J250" s="355">
        <f>'B) D RI'!U251</f>
        <v>8359.2275000000009</v>
      </c>
      <c r="K250" s="65">
        <f t="shared" si="55"/>
        <v>12.006367628394704</v>
      </c>
      <c r="L250" s="33">
        <f>'B) D RI'!S251</f>
        <v>72</v>
      </c>
      <c r="M250" s="33">
        <f t="shared" si="50"/>
        <v>59.993632371605294</v>
      </c>
      <c r="N250" s="33">
        <f>'J) Plafonnement effort'!G249+'J) Plafonnement effort'!H249-'K) Plafonnement aide'!I249</f>
        <v>5.9115633464617705</v>
      </c>
      <c r="O250" s="130">
        <f t="shared" si="51"/>
        <v>65.905195718067063</v>
      </c>
      <c r="P250" s="47">
        <f t="shared" si="52"/>
        <v>0</v>
      </c>
      <c r="Q250" s="57">
        <f t="shared" si="56"/>
        <v>0</v>
      </c>
      <c r="R250" s="151">
        <f t="shared" si="53"/>
        <v>65.905195718067063</v>
      </c>
      <c r="S250" s="130">
        <f t="shared" si="54"/>
        <v>-6.0948042819329373</v>
      </c>
      <c r="T250" s="150">
        <f t="shared" si="42"/>
        <v>0</v>
      </c>
      <c r="V250" s="12"/>
    </row>
    <row r="251" spans="1:22" x14ac:dyDescent="0.25">
      <c r="A251" s="49">
        <f>'A) Base RI'!A252</f>
        <v>5822</v>
      </c>
      <c r="B251" s="350" t="str">
        <f>'A) Base RI'!B252</f>
        <v>Payerne</v>
      </c>
      <c r="C251" s="410">
        <v>4389967.6231436003</v>
      </c>
      <c r="D251" s="410">
        <v>-4754445.1622343315</v>
      </c>
      <c r="E251" s="411">
        <v>0</v>
      </c>
      <c r="F251" s="411">
        <v>0</v>
      </c>
      <c r="G251" s="411">
        <v>0</v>
      </c>
      <c r="H251" s="352">
        <f t="shared" si="41"/>
        <v>-364477.53909073118</v>
      </c>
      <c r="I251" s="412">
        <v>249319.03186666669</v>
      </c>
      <c r="J251" s="355">
        <f>'B) D RI'!U252</f>
        <v>246662.05359999998</v>
      </c>
      <c r="K251" s="65">
        <f t="shared" si="55"/>
        <v>-1.4618921642758909</v>
      </c>
      <c r="L251" s="33">
        <f>'B) D RI'!S252</f>
        <v>75</v>
      </c>
      <c r="M251" s="33">
        <f t="shared" si="50"/>
        <v>76.461892164275895</v>
      </c>
      <c r="N251" s="33">
        <f>'J) Plafonnement effort'!G250+'J) Plafonnement effort'!H250-'K) Plafonnement aide'!I250</f>
        <v>-11.191326653306586</v>
      </c>
      <c r="O251" s="130">
        <f t="shared" si="51"/>
        <v>65.270565510969305</v>
      </c>
      <c r="P251" s="47">
        <f t="shared" si="52"/>
        <v>0</v>
      </c>
      <c r="Q251" s="57">
        <f t="shared" si="56"/>
        <v>0</v>
      </c>
      <c r="R251" s="151">
        <f t="shared" si="53"/>
        <v>65.270565510969305</v>
      </c>
      <c r="S251" s="130">
        <f t="shared" si="54"/>
        <v>-9.7294344890306945</v>
      </c>
      <c r="T251" s="150">
        <f t="shared" si="42"/>
        <v>0</v>
      </c>
      <c r="V251" s="12"/>
    </row>
    <row r="252" spans="1:22" x14ac:dyDescent="0.25">
      <c r="A252" s="49">
        <f>'A) Base RI'!A253</f>
        <v>5827</v>
      </c>
      <c r="B252" s="350" t="str">
        <f>'A) Base RI'!B253</f>
        <v>Trey</v>
      </c>
      <c r="C252" s="410">
        <v>124893.87631407175</v>
      </c>
      <c r="D252" s="410">
        <v>-11499.458658498537</v>
      </c>
      <c r="E252" s="411">
        <v>0</v>
      </c>
      <c r="F252" s="411">
        <v>0</v>
      </c>
      <c r="G252" s="411">
        <v>0</v>
      </c>
      <c r="H252" s="352">
        <f t="shared" si="41"/>
        <v>113394.41765557321</v>
      </c>
      <c r="I252" s="412">
        <v>7228.8600000000006</v>
      </c>
      <c r="J252" s="355">
        <f>'B) D RI'!U253</f>
        <v>6768.899124999999</v>
      </c>
      <c r="K252" s="65">
        <f t="shared" si="55"/>
        <v>15.686348560571544</v>
      </c>
      <c r="L252" s="33">
        <f>'B) D RI'!S253</f>
        <v>80</v>
      </c>
      <c r="M252" s="33">
        <f t="shared" si="50"/>
        <v>64.313651439428455</v>
      </c>
      <c r="N252" s="33">
        <f>'J) Plafonnement effort'!G251+'J) Plafonnement effort'!H251-'K) Plafonnement aide'!I251</f>
        <v>-1.9475032118014459</v>
      </c>
      <c r="O252" s="130">
        <f t="shared" si="51"/>
        <v>62.366148227627008</v>
      </c>
      <c r="P252" s="47">
        <f t="shared" si="52"/>
        <v>0</v>
      </c>
      <c r="Q252" s="57">
        <f t="shared" si="56"/>
        <v>0</v>
      </c>
      <c r="R252" s="151">
        <f t="shared" si="53"/>
        <v>62.366148227627008</v>
      </c>
      <c r="S252" s="130">
        <f t="shared" si="54"/>
        <v>-17.633851772372992</v>
      </c>
      <c r="T252" s="150">
        <f t="shared" si="42"/>
        <v>0</v>
      </c>
      <c r="V252" s="12"/>
    </row>
    <row r="253" spans="1:22" x14ac:dyDescent="0.25">
      <c r="A253" s="49">
        <f>'A) Base RI'!A254</f>
        <v>5828</v>
      </c>
      <c r="B253" s="350" t="str">
        <f>'A) Base RI'!B254</f>
        <v>Treytorrens (Payerne)</v>
      </c>
      <c r="C253" s="410">
        <v>50036.426569077958</v>
      </c>
      <c r="D253" s="410">
        <v>-36527.06881019783</v>
      </c>
      <c r="E253" s="411">
        <v>0</v>
      </c>
      <c r="F253" s="411">
        <v>0</v>
      </c>
      <c r="G253" s="411">
        <v>0</v>
      </c>
      <c r="H253" s="352">
        <f t="shared" si="41"/>
        <v>13509.357758880127</v>
      </c>
      <c r="I253" s="412">
        <v>2672.2867063492063</v>
      </c>
      <c r="J253" s="355">
        <f>'B) D RI'!U254</f>
        <v>2424.4907539682545</v>
      </c>
      <c r="K253" s="65">
        <f t="shared" si="55"/>
        <v>5.0553549238495394</v>
      </c>
      <c r="L253" s="33">
        <f>'B) D RI'!S254</f>
        <v>84</v>
      </c>
      <c r="M253" s="33">
        <f t="shared" si="50"/>
        <v>78.944645076150465</v>
      </c>
      <c r="N253" s="33">
        <f>'J) Plafonnement effort'!G252+'J) Plafonnement effort'!H252-'K) Plafonnement aide'!I252</f>
        <v>-9.9679621840053159</v>
      </c>
      <c r="O253" s="130">
        <f t="shared" si="51"/>
        <v>68.976682892145149</v>
      </c>
      <c r="P253" s="47">
        <f t="shared" si="52"/>
        <v>0</v>
      </c>
      <c r="Q253" s="57">
        <f t="shared" si="56"/>
        <v>0</v>
      </c>
      <c r="R253" s="151">
        <f t="shared" si="53"/>
        <v>68.976682892145149</v>
      </c>
      <c r="S253" s="130">
        <f t="shared" si="54"/>
        <v>-15.023317107854851</v>
      </c>
      <c r="T253" s="150">
        <f t="shared" si="42"/>
        <v>0</v>
      </c>
      <c r="V253" s="12"/>
    </row>
    <row r="254" spans="1:22" x14ac:dyDescent="0.25">
      <c r="A254" s="49">
        <f>'A) Base RI'!A255</f>
        <v>5830</v>
      </c>
      <c r="B254" s="350" t="str">
        <f>'A) Base RI'!B255</f>
        <v>Villarzel</v>
      </c>
      <c r="C254" s="410">
        <v>206631.95928191693</v>
      </c>
      <c r="D254" s="410">
        <v>-11408.018184121145</v>
      </c>
      <c r="E254" s="411">
        <v>0</v>
      </c>
      <c r="F254" s="411">
        <v>0</v>
      </c>
      <c r="G254" s="411">
        <v>0</v>
      </c>
      <c r="H254" s="352">
        <f t="shared" si="41"/>
        <v>195223.94109779579</v>
      </c>
      <c r="I254" s="412">
        <v>12137.70417721519</v>
      </c>
      <c r="J254" s="355">
        <f>'B) D RI'!U255</f>
        <v>13652.802077922079</v>
      </c>
      <c r="K254" s="65">
        <f t="shared" si="55"/>
        <v>16.084091212592639</v>
      </c>
      <c r="L254" s="33">
        <f>'B) D RI'!S255</f>
        <v>77</v>
      </c>
      <c r="M254" s="33">
        <f t="shared" si="50"/>
        <v>60.915908787407361</v>
      </c>
      <c r="N254" s="33">
        <f>'J) Plafonnement effort'!G253+'J) Plafonnement effort'!H253-'K) Plafonnement aide'!I253</f>
        <v>14.028142868203307</v>
      </c>
      <c r="O254" s="130">
        <f t="shared" si="51"/>
        <v>74.944051655610664</v>
      </c>
      <c r="P254" s="47">
        <f t="shared" si="52"/>
        <v>0</v>
      </c>
      <c r="Q254" s="57">
        <f t="shared" si="56"/>
        <v>0</v>
      </c>
      <c r="R254" s="151">
        <f t="shared" si="53"/>
        <v>74.944051655610664</v>
      </c>
      <c r="S254" s="130">
        <f t="shared" si="54"/>
        <v>-2.0559483443893356</v>
      </c>
      <c r="T254" s="150">
        <f t="shared" si="42"/>
        <v>0</v>
      </c>
      <c r="V254" s="12"/>
    </row>
    <row r="255" spans="1:22" x14ac:dyDescent="0.25">
      <c r="A255" s="49">
        <f>'A) Base RI'!A256</f>
        <v>5831</v>
      </c>
      <c r="B255" s="350" t="str">
        <f>'A) Base RI'!B256</f>
        <v>Valbroye</v>
      </c>
      <c r="C255" s="410">
        <v>1602277.9757041733</v>
      </c>
      <c r="D255" s="410">
        <v>-461899.04568257253</v>
      </c>
      <c r="E255" s="411">
        <v>0</v>
      </c>
      <c r="F255" s="411">
        <v>0</v>
      </c>
      <c r="G255" s="411">
        <v>0</v>
      </c>
      <c r="H255" s="352">
        <f t="shared" si="41"/>
        <v>1140378.9300216008</v>
      </c>
      <c r="I255" s="412">
        <v>85960.311415525095</v>
      </c>
      <c r="J255" s="355">
        <f>'B) D RI'!U256</f>
        <v>90573.475753424646</v>
      </c>
      <c r="K255" s="65">
        <f>H255/I255</f>
        <v>13.26634246948109</v>
      </c>
      <c r="L255" s="33">
        <f>'B) D RI'!S256</f>
        <v>73</v>
      </c>
      <c r="M255" s="33">
        <f>L255-K255</f>
        <v>59.733657530518911</v>
      </c>
      <c r="N255" s="33">
        <f>'J) Plafonnement effort'!G254+'J) Plafonnement effort'!H254-'K) Plafonnement aide'!I254</f>
        <v>2.2026880005642724</v>
      </c>
      <c r="O255" s="130">
        <f>M255+N255</f>
        <v>61.936345531083184</v>
      </c>
      <c r="P255" s="47">
        <f t="shared" si="52"/>
        <v>0</v>
      </c>
      <c r="Q255" s="57">
        <f>P255*J255</f>
        <v>0</v>
      </c>
      <c r="R255" s="151">
        <f>O255+P255</f>
        <v>61.936345531083184</v>
      </c>
      <c r="S255" s="130">
        <f>R255-L255</f>
        <v>-11.063654468916816</v>
      </c>
      <c r="T255" s="150">
        <f t="shared" si="42"/>
        <v>0</v>
      </c>
      <c r="V255" s="12"/>
    </row>
    <row r="256" spans="1:22" x14ac:dyDescent="0.25">
      <c r="A256" s="49">
        <f>'A) Base RI'!A257</f>
        <v>5841</v>
      </c>
      <c r="B256" s="350" t="str">
        <f>'A) Base RI'!B257</f>
        <v>Château-d'Oex</v>
      </c>
      <c r="C256" s="410">
        <v>2230037.0281045772</v>
      </c>
      <c r="D256" s="410">
        <v>182865.25885631423</v>
      </c>
      <c r="E256" s="411">
        <v>0</v>
      </c>
      <c r="F256" s="411">
        <v>0</v>
      </c>
      <c r="G256" s="411">
        <v>0</v>
      </c>
      <c r="H256" s="352">
        <f t="shared" si="41"/>
        <v>2412902.2869608914</v>
      </c>
      <c r="I256" s="412">
        <v>118196.91686746987</v>
      </c>
      <c r="J256" s="355">
        <f>'B) D RI'!U257</f>
        <v>118643.61518072287</v>
      </c>
      <c r="K256" s="65">
        <f>H256/I256</f>
        <v>20.414257418121959</v>
      </c>
      <c r="L256" s="33">
        <f>'B) D RI'!S257</f>
        <v>83</v>
      </c>
      <c r="M256" s="33">
        <f>L256-K256</f>
        <v>62.585742581878037</v>
      </c>
      <c r="N256" s="33">
        <f>'J) Plafonnement effort'!G255+'J) Plafonnement effort'!H255-'K) Plafonnement aide'!I255</f>
        <v>0.44982197397071744</v>
      </c>
      <c r="O256" s="130">
        <f>M256+N256</f>
        <v>63.035564555848751</v>
      </c>
      <c r="P256" s="47">
        <f t="shared" si="52"/>
        <v>0</v>
      </c>
      <c r="Q256" s="57">
        <f>P256*J256</f>
        <v>0</v>
      </c>
      <c r="R256" s="151">
        <f>O256+P256</f>
        <v>63.035564555848751</v>
      </c>
      <c r="S256" s="130">
        <f>R256-L256</f>
        <v>-19.964435444151249</v>
      </c>
      <c r="T256" s="150">
        <f t="shared" si="42"/>
        <v>0</v>
      </c>
      <c r="V256" s="12"/>
    </row>
    <row r="257" spans="1:22" x14ac:dyDescent="0.25">
      <c r="A257" s="49">
        <f>'A) Base RI'!A258</f>
        <v>5842</v>
      </c>
      <c r="B257" s="350" t="str">
        <f>'A) Base RI'!B258</f>
        <v>Rossinière</v>
      </c>
      <c r="C257" s="410">
        <v>292066.46024976525</v>
      </c>
      <c r="D257" s="410">
        <v>30532.066210524878</v>
      </c>
      <c r="E257" s="411">
        <v>0</v>
      </c>
      <c r="F257" s="411">
        <v>0</v>
      </c>
      <c r="G257" s="411">
        <v>0</v>
      </c>
      <c r="H257" s="352">
        <f t="shared" si="41"/>
        <v>322598.52646029013</v>
      </c>
      <c r="I257" s="412">
        <v>16178.883744855966</v>
      </c>
      <c r="J257" s="355">
        <f>'B) D RI'!U258</f>
        <v>13727.475720164608</v>
      </c>
      <c r="K257" s="65">
        <f t="shared" si="55"/>
        <v>19.939479852116467</v>
      </c>
      <c r="L257" s="33">
        <f>'B) D RI'!S258</f>
        <v>81</v>
      </c>
      <c r="M257" s="33">
        <f t="shared" si="50"/>
        <v>61.060520147883537</v>
      </c>
      <c r="N257" s="33">
        <f>'J) Plafonnement effort'!G256+'J) Plafonnement effort'!H256-'K) Plafonnement aide'!I256</f>
        <v>-11.825270560434273</v>
      </c>
      <c r="O257" s="130">
        <f t="shared" si="51"/>
        <v>49.23524958744926</v>
      </c>
      <c r="P257" s="47">
        <f t="shared" si="52"/>
        <v>0</v>
      </c>
      <c r="Q257" s="57">
        <f t="shared" si="56"/>
        <v>0</v>
      </c>
      <c r="R257" s="151">
        <f t="shared" si="53"/>
        <v>49.23524958744926</v>
      </c>
      <c r="S257" s="130">
        <f t="shared" si="54"/>
        <v>-31.76475041255074</v>
      </c>
      <c r="T257" s="150">
        <f t="shared" si="42"/>
        <v>0</v>
      </c>
      <c r="V257" s="12"/>
    </row>
    <row r="258" spans="1:22" x14ac:dyDescent="0.25">
      <c r="A258" s="49">
        <f>'A) Base RI'!A259</f>
        <v>5843</v>
      </c>
      <c r="B258" s="350" t="str">
        <f>'A) Base RI'!B259</f>
        <v>Rougemont</v>
      </c>
      <c r="C258" s="410">
        <v>3518755.3513421388</v>
      </c>
      <c r="D258" s="410">
        <v>1533794.8213607592</v>
      </c>
      <c r="E258" s="411">
        <v>0</v>
      </c>
      <c r="F258" s="411">
        <v>-514044.26975859358</v>
      </c>
      <c r="G258" s="411">
        <v>0</v>
      </c>
      <c r="H258" s="352">
        <f t="shared" si="41"/>
        <v>4538505.902944305</v>
      </c>
      <c r="I258" s="412">
        <v>96518.030855855861</v>
      </c>
      <c r="J258" s="355">
        <f>'B) D RI'!U259</f>
        <v>86224.81779279279</v>
      </c>
      <c r="K258" s="65">
        <f t="shared" si="55"/>
        <v>47.022363207163885</v>
      </c>
      <c r="L258" s="33">
        <f>'B) D RI'!S259</f>
        <v>74</v>
      </c>
      <c r="M258" s="33">
        <f t="shared" si="50"/>
        <v>26.977636792836115</v>
      </c>
      <c r="N258" s="33">
        <f>'J) Plafonnement effort'!G257+'J) Plafonnement effort'!H257-'K) Plafonnement aide'!I257</f>
        <v>45</v>
      </c>
      <c r="O258" s="130">
        <f t="shared" si="51"/>
        <v>71.977636792836108</v>
      </c>
      <c r="P258" s="47">
        <f t="shared" si="52"/>
        <v>0</v>
      </c>
      <c r="Q258" s="57">
        <f t="shared" si="56"/>
        <v>0</v>
      </c>
      <c r="R258" s="151">
        <f t="shared" si="53"/>
        <v>71.977636792836108</v>
      </c>
      <c r="S258" s="130">
        <f t="shared" si="54"/>
        <v>-2.0223632071638917</v>
      </c>
      <c r="T258" s="150">
        <f t="shared" si="42"/>
        <v>0</v>
      </c>
      <c r="V258" s="12"/>
    </row>
    <row r="259" spans="1:22" x14ac:dyDescent="0.25">
      <c r="A259" s="49">
        <f>'A) Base RI'!A260</f>
        <v>5851</v>
      </c>
      <c r="B259" s="350" t="str">
        <f>'A) Base RI'!B260</f>
        <v>Allaman</v>
      </c>
      <c r="C259" s="410">
        <v>822885.92987538956</v>
      </c>
      <c r="D259" s="410">
        <v>498296.67853963538</v>
      </c>
      <c r="E259" s="411">
        <v>0</v>
      </c>
      <c r="F259" s="411">
        <v>0</v>
      </c>
      <c r="G259" s="411">
        <v>0</v>
      </c>
      <c r="H259" s="352">
        <f t="shared" si="41"/>
        <v>1321182.6084150248</v>
      </c>
      <c r="I259" s="412">
        <v>29511.189985337249</v>
      </c>
      <c r="J259" s="355">
        <f>'B) D RI'!U260</f>
        <v>23662.073064516131</v>
      </c>
      <c r="K259" s="65">
        <f t="shared" si="55"/>
        <v>44.768869336392726</v>
      </c>
      <c r="L259" s="33">
        <f>'B) D RI'!S260</f>
        <v>62</v>
      </c>
      <c r="M259" s="33">
        <f t="shared" si="50"/>
        <v>17.231130663607274</v>
      </c>
      <c r="N259" s="33">
        <f>'J) Plafonnement effort'!G258+'J) Plafonnement effort'!H258-'K) Plafonnement aide'!I258</f>
        <v>41.8855660975265</v>
      </c>
      <c r="O259" s="130">
        <f t="shared" si="51"/>
        <v>59.116696761133774</v>
      </c>
      <c r="P259" s="47">
        <f t="shared" si="52"/>
        <v>0</v>
      </c>
      <c r="Q259" s="57">
        <f t="shared" si="56"/>
        <v>0</v>
      </c>
      <c r="R259" s="151">
        <f t="shared" si="53"/>
        <v>59.116696761133774</v>
      </c>
      <c r="S259" s="130">
        <f t="shared" si="54"/>
        <v>-2.8833032388662261</v>
      </c>
      <c r="T259" s="150">
        <f t="shared" si="42"/>
        <v>0</v>
      </c>
      <c r="V259" s="12"/>
    </row>
    <row r="260" spans="1:22" x14ac:dyDescent="0.25">
      <c r="A260" s="49">
        <f>'A) Base RI'!A261</f>
        <v>5852</v>
      </c>
      <c r="B260" s="350" t="str">
        <f>'A) Base RI'!B261</f>
        <v>Bursinel</v>
      </c>
      <c r="C260" s="410">
        <v>1064831.4132443417</v>
      </c>
      <c r="D260" s="410">
        <v>654528.08490364277</v>
      </c>
      <c r="E260" s="411">
        <v>0</v>
      </c>
      <c r="F260" s="411">
        <v>0</v>
      </c>
      <c r="G260" s="411">
        <v>0</v>
      </c>
      <c r="H260" s="352">
        <f t="shared" si="41"/>
        <v>1719359.4981479845</v>
      </c>
      <c r="I260" s="412">
        <v>39767.165954198477</v>
      </c>
      <c r="J260" s="355">
        <f>'B) D RI'!U261</f>
        <v>39686.843918575076</v>
      </c>
      <c r="K260" s="65">
        <f t="shared" si="55"/>
        <v>43.235655770095441</v>
      </c>
      <c r="L260" s="33">
        <f>'B) D RI'!S261</f>
        <v>65.5</v>
      </c>
      <c r="M260" s="33">
        <f t="shared" si="50"/>
        <v>22.264344229904559</v>
      </c>
      <c r="N260" s="33">
        <f>'J) Plafonnement effort'!G259+'J) Plafonnement effort'!H259-'K) Plafonnement aide'!I259</f>
        <v>45</v>
      </c>
      <c r="O260" s="130">
        <f t="shared" si="51"/>
        <v>67.264344229904566</v>
      </c>
      <c r="P260" s="47">
        <f t="shared" si="52"/>
        <v>0</v>
      </c>
      <c r="Q260" s="57">
        <f t="shared" si="56"/>
        <v>0</v>
      </c>
      <c r="R260" s="151">
        <f t="shared" si="53"/>
        <v>67.264344229904566</v>
      </c>
      <c r="S260" s="130">
        <f t="shared" si="54"/>
        <v>1.764344229904566</v>
      </c>
      <c r="T260" s="150">
        <f t="shared" si="42"/>
        <v>0</v>
      </c>
      <c r="V260" s="12"/>
    </row>
    <row r="261" spans="1:22" x14ac:dyDescent="0.25">
      <c r="A261" s="49">
        <f>'A) Base RI'!A262</f>
        <v>5853</v>
      </c>
      <c r="B261" s="350" t="str">
        <f>'A) Base RI'!B262</f>
        <v>Bursins</v>
      </c>
      <c r="C261" s="410">
        <v>694319.17788790492</v>
      </c>
      <c r="D261" s="410">
        <v>624247.81482186285</v>
      </c>
      <c r="E261" s="411">
        <v>0</v>
      </c>
      <c r="F261" s="411">
        <v>0</v>
      </c>
      <c r="G261" s="411">
        <v>0</v>
      </c>
      <c r="H261" s="352">
        <f t="shared" si="41"/>
        <v>1318566.9927097678</v>
      </c>
      <c r="I261" s="412">
        <v>36845.197464788725</v>
      </c>
      <c r="J261" s="355">
        <f>'B) D RI'!U262</f>
        <v>36429.778873239433</v>
      </c>
      <c r="K261" s="65">
        <f t="shared" si="55"/>
        <v>35.78667189855237</v>
      </c>
      <c r="L261" s="33">
        <f>'B) D RI'!S262</f>
        <v>71</v>
      </c>
      <c r="M261" s="33">
        <f t="shared" si="50"/>
        <v>35.21332810144763</v>
      </c>
      <c r="N261" s="33">
        <f>'J) Plafonnement effort'!G260+'J) Plafonnement effort'!H260-'K) Plafonnement aide'!I260</f>
        <v>36.045248237627405</v>
      </c>
      <c r="O261" s="130">
        <f t="shared" si="51"/>
        <v>71.258576339075034</v>
      </c>
      <c r="P261" s="47">
        <f t="shared" si="52"/>
        <v>0</v>
      </c>
      <c r="Q261" s="57">
        <f t="shared" si="56"/>
        <v>0</v>
      </c>
      <c r="R261" s="151">
        <f t="shared" si="53"/>
        <v>71.258576339075034</v>
      </c>
      <c r="S261" s="130">
        <f t="shared" si="54"/>
        <v>0.25857633907503441</v>
      </c>
      <c r="T261" s="150">
        <f t="shared" si="42"/>
        <v>0</v>
      </c>
      <c r="V261" s="12"/>
    </row>
    <row r="262" spans="1:22" x14ac:dyDescent="0.25">
      <c r="A262" s="49">
        <f>'A) Base RI'!A263</f>
        <v>5854</v>
      </c>
      <c r="B262" s="350" t="str">
        <f>'A) Base RI'!B263</f>
        <v>Burtigny</v>
      </c>
      <c r="C262" s="410">
        <v>336471.14027386642</v>
      </c>
      <c r="D262" s="410">
        <v>193341.26106592457</v>
      </c>
      <c r="E262" s="411">
        <v>0</v>
      </c>
      <c r="F262" s="411">
        <v>0</v>
      </c>
      <c r="G262" s="411">
        <v>0</v>
      </c>
      <c r="H262" s="352">
        <f t="shared" si="41"/>
        <v>529812.40133979102</v>
      </c>
      <c r="I262" s="412">
        <v>15320.932833333329</v>
      </c>
      <c r="J262" s="355">
        <f>'B) D RI'!U263</f>
        <v>11092.867583333333</v>
      </c>
      <c r="K262" s="65">
        <f t="shared" si="55"/>
        <v>34.580949287049471</v>
      </c>
      <c r="L262" s="33">
        <f>'B) D RI'!S263</f>
        <v>80</v>
      </c>
      <c r="M262" s="33">
        <f t="shared" ref="M262:M291" si="58">L262-K262</f>
        <v>45.419050712950529</v>
      </c>
      <c r="N262" s="33">
        <f>'J) Plafonnement effort'!G261+'J) Plafonnement effort'!H261-'K) Plafonnement aide'!I261</f>
        <v>17.703127603891673</v>
      </c>
      <c r="O262" s="130">
        <f t="shared" ref="O262:O314" si="59">M262+N262</f>
        <v>63.122178316842202</v>
      </c>
      <c r="P262" s="47">
        <f t="shared" ref="P262:P314" si="60">IF(O262&gt;$P$5,$P$5-O262,0)</f>
        <v>0</v>
      </c>
      <c r="Q262" s="57">
        <f t="shared" si="56"/>
        <v>0</v>
      </c>
      <c r="R262" s="151">
        <f t="shared" ref="R262:R314" si="61">O262+P262</f>
        <v>63.122178316842202</v>
      </c>
      <c r="S262" s="130">
        <f t="shared" ref="S262:S314" si="62">R262-L262</f>
        <v>-16.877821683157798</v>
      </c>
      <c r="T262" s="150">
        <f t="shared" si="42"/>
        <v>0</v>
      </c>
      <c r="V262" s="12"/>
    </row>
    <row r="263" spans="1:22" x14ac:dyDescent="0.25">
      <c r="A263" s="49">
        <f>'A) Base RI'!A264</f>
        <v>5855</v>
      </c>
      <c r="B263" s="350" t="str">
        <f>'A) Base RI'!B264</f>
        <v>Dully</v>
      </c>
      <c r="C263" s="410">
        <v>2814975.2793817567</v>
      </c>
      <c r="D263" s="410">
        <v>1398050.7941273621</v>
      </c>
      <c r="E263" s="411">
        <v>0</v>
      </c>
      <c r="F263" s="411">
        <v>-109095.28167238423</v>
      </c>
      <c r="G263" s="411">
        <v>0</v>
      </c>
      <c r="H263" s="352">
        <f t="shared" ref="H263:H314" si="63">SUM(C263:G263)</f>
        <v>4103930.7918367344</v>
      </c>
      <c r="I263" s="412">
        <v>91198.462040816317</v>
      </c>
      <c r="J263" s="355">
        <f>'B) D RI'!U264</f>
        <v>79675.83</v>
      </c>
      <c r="K263" s="65">
        <f t="shared" si="55"/>
        <v>45</v>
      </c>
      <c r="L263" s="33">
        <f>'B) D RI'!S264</f>
        <v>49</v>
      </c>
      <c r="M263" s="33">
        <f t="shared" si="58"/>
        <v>4</v>
      </c>
      <c r="N263" s="33">
        <f>'J) Plafonnement effort'!G262+'J) Plafonnement effort'!H262-'K) Plafonnement aide'!I262</f>
        <v>45</v>
      </c>
      <c r="O263" s="130">
        <f t="shared" si="59"/>
        <v>49</v>
      </c>
      <c r="P263" s="47">
        <f t="shared" si="60"/>
        <v>0</v>
      </c>
      <c r="Q263" s="57">
        <f t="shared" si="56"/>
        <v>0</v>
      </c>
      <c r="R263" s="151">
        <f t="shared" si="61"/>
        <v>49</v>
      </c>
      <c r="S263" s="130">
        <f t="shared" si="62"/>
        <v>0</v>
      </c>
      <c r="T263" s="150">
        <f t="shared" ref="T263:T314" si="64">+C263+D263+E263+F263+G263-H263</f>
        <v>0</v>
      </c>
      <c r="V263" s="12"/>
    </row>
    <row r="264" spans="1:22" x14ac:dyDescent="0.25">
      <c r="A264" s="49">
        <f>'A) Base RI'!A265</f>
        <v>5856</v>
      </c>
      <c r="B264" s="350" t="str">
        <f>'A) Base RI'!B265</f>
        <v>Essertines-sur-Rolle</v>
      </c>
      <c r="C264" s="410">
        <v>729474.88187362486</v>
      </c>
      <c r="D264" s="410">
        <v>637868.97932317469</v>
      </c>
      <c r="E264" s="411">
        <v>0</v>
      </c>
      <c r="F264" s="411">
        <v>0</v>
      </c>
      <c r="G264" s="411">
        <v>0</v>
      </c>
      <c r="H264" s="352">
        <f t="shared" si="63"/>
        <v>1367343.8611967997</v>
      </c>
      <c r="I264" s="412">
        <v>37425.966018099534</v>
      </c>
      <c r="J264" s="355">
        <f>'B) D RI'!U265</f>
        <v>36504.775588235294</v>
      </c>
      <c r="K264" s="65">
        <f t="shared" si="55"/>
        <v>36.534631077673183</v>
      </c>
      <c r="L264" s="33">
        <f>'B) D RI'!S265</f>
        <v>68</v>
      </c>
      <c r="M264" s="33">
        <f t="shared" si="58"/>
        <v>31.465368922326817</v>
      </c>
      <c r="N264" s="33">
        <f>'J) Plafonnement effort'!G263+'J) Plafonnement effort'!H263-'K) Plafonnement aide'!I263</f>
        <v>34.8917402014308</v>
      </c>
      <c r="O264" s="130">
        <f t="shared" si="59"/>
        <v>66.357109123757624</v>
      </c>
      <c r="P264" s="47">
        <f t="shared" si="60"/>
        <v>0</v>
      </c>
      <c r="Q264" s="57">
        <f t="shared" si="56"/>
        <v>0</v>
      </c>
      <c r="R264" s="151">
        <f t="shared" si="61"/>
        <v>66.357109123757624</v>
      </c>
      <c r="S264" s="130">
        <f t="shared" si="62"/>
        <v>-1.642890876242376</v>
      </c>
      <c r="T264" s="150">
        <f t="shared" si="64"/>
        <v>0</v>
      </c>
      <c r="V264" s="12"/>
    </row>
    <row r="265" spans="1:22" x14ac:dyDescent="0.25">
      <c r="A265" s="49">
        <f>'A) Base RI'!A266</f>
        <v>5857</v>
      </c>
      <c r="B265" s="350" t="str">
        <f>'A) Base RI'!B266</f>
        <v>Gilly</v>
      </c>
      <c r="C265" s="410">
        <v>1867262.8603891723</v>
      </c>
      <c r="D265" s="410">
        <v>1437302.5402702801</v>
      </c>
      <c r="E265" s="411">
        <v>0</v>
      </c>
      <c r="F265" s="411">
        <v>0</v>
      </c>
      <c r="G265" s="411">
        <v>0</v>
      </c>
      <c r="H265" s="352">
        <f t="shared" si="63"/>
        <v>3304565.4006594522</v>
      </c>
      <c r="I265" s="412">
        <v>89905.642121212135</v>
      </c>
      <c r="J265" s="355">
        <f>'B) D RI'!U266</f>
        <v>85344.541363636366</v>
      </c>
      <c r="K265" s="65">
        <f t="shared" si="55"/>
        <v>36.755929023944766</v>
      </c>
      <c r="L265" s="33">
        <f>'B) D RI'!S266</f>
        <v>66</v>
      </c>
      <c r="M265" s="33">
        <f t="shared" si="58"/>
        <v>29.244070976055234</v>
      </c>
      <c r="N265" s="33">
        <f>'J) Plafonnement effort'!G264+'J) Plafonnement effort'!H264-'K) Plafonnement aide'!I264</f>
        <v>38.263881685629215</v>
      </c>
      <c r="O265" s="130">
        <f t="shared" si="59"/>
        <v>67.507952661684442</v>
      </c>
      <c r="P265" s="47">
        <f t="shared" si="60"/>
        <v>0</v>
      </c>
      <c r="Q265" s="57">
        <f t="shared" si="56"/>
        <v>0</v>
      </c>
      <c r="R265" s="151">
        <f t="shared" si="61"/>
        <v>67.507952661684442</v>
      </c>
      <c r="S265" s="130">
        <f t="shared" si="62"/>
        <v>1.5079526616844419</v>
      </c>
      <c r="T265" s="150">
        <f t="shared" si="64"/>
        <v>0</v>
      </c>
      <c r="V265" s="12"/>
    </row>
    <row r="266" spans="1:22" x14ac:dyDescent="0.25">
      <c r="A266" s="49">
        <f>'A) Base RI'!A267</f>
        <v>5858</v>
      </c>
      <c r="B266" s="350" t="str">
        <f>'A) Base RI'!B267</f>
        <v>Luins</v>
      </c>
      <c r="C266" s="410">
        <v>924923.39564135275</v>
      </c>
      <c r="D266" s="410">
        <v>735924.04329665273</v>
      </c>
      <c r="E266" s="411">
        <v>0</v>
      </c>
      <c r="F266" s="411">
        <v>0</v>
      </c>
      <c r="G266" s="411">
        <v>0</v>
      </c>
      <c r="H266" s="352">
        <f t="shared" si="63"/>
        <v>1660847.4389380054</v>
      </c>
      <c r="I266" s="412">
        <v>43824.152277777779</v>
      </c>
      <c r="J266" s="355">
        <f>'B) D RI'!U267</f>
        <v>46698.811277777771</v>
      </c>
      <c r="K266" s="65">
        <f t="shared" ref="K266:K314" si="65">H266/I266</f>
        <v>37.897993517610672</v>
      </c>
      <c r="L266" s="33">
        <f>'B) D RI'!S267</f>
        <v>60</v>
      </c>
      <c r="M266" s="33">
        <f t="shared" si="58"/>
        <v>22.102006482389328</v>
      </c>
      <c r="N266" s="33">
        <f>'J) Plafonnement effort'!G265+'J) Plafonnement effort'!H265-'K) Plafonnement aide'!I265</f>
        <v>39.88983060551746</v>
      </c>
      <c r="O266" s="130">
        <f t="shared" si="59"/>
        <v>61.991837087906788</v>
      </c>
      <c r="P266" s="47">
        <f t="shared" si="60"/>
        <v>0</v>
      </c>
      <c r="Q266" s="57">
        <f t="shared" si="56"/>
        <v>0</v>
      </c>
      <c r="R266" s="151">
        <f t="shared" si="61"/>
        <v>61.991837087906788</v>
      </c>
      <c r="S266" s="130">
        <f t="shared" si="62"/>
        <v>1.9918370879067879</v>
      </c>
      <c r="T266" s="150">
        <f t="shared" si="64"/>
        <v>0</v>
      </c>
      <c r="V266" s="12"/>
    </row>
    <row r="267" spans="1:22" x14ac:dyDescent="0.25">
      <c r="A267" s="49">
        <f>'A) Base RI'!A268</f>
        <v>5859</v>
      </c>
      <c r="B267" s="350" t="str">
        <f>'A) Base RI'!B268</f>
        <v>Mont-sur-Rolle</v>
      </c>
      <c r="C267" s="410">
        <v>2350604.0894337506</v>
      </c>
      <c r="D267" s="410">
        <v>2035661.1454141266</v>
      </c>
      <c r="E267" s="411">
        <v>0</v>
      </c>
      <c r="F267" s="411">
        <v>0</v>
      </c>
      <c r="G267" s="411">
        <v>0</v>
      </c>
      <c r="H267" s="352">
        <f t="shared" si="63"/>
        <v>4386265.2348478772</v>
      </c>
      <c r="I267" s="412">
        <v>142920.65553846155</v>
      </c>
      <c r="J267" s="355">
        <f>'B) D RI'!U268</f>
        <v>136402.77030769232</v>
      </c>
      <c r="K267" s="65">
        <f t="shared" si="65"/>
        <v>30.69021212030114</v>
      </c>
      <c r="L267" s="33">
        <f>'B) D RI'!S268</f>
        <v>65</v>
      </c>
      <c r="M267" s="33">
        <f t="shared" si="58"/>
        <v>34.30978787969886</v>
      </c>
      <c r="N267" s="33">
        <f>'J) Plafonnement effort'!G266+'J) Plafonnement effort'!H266-'K) Plafonnement aide'!I266</f>
        <v>35.400682970246848</v>
      </c>
      <c r="O267" s="130">
        <f t="shared" si="59"/>
        <v>69.710470849945708</v>
      </c>
      <c r="P267" s="47">
        <f t="shared" si="60"/>
        <v>0</v>
      </c>
      <c r="Q267" s="57">
        <f t="shared" ref="Q267:Q314" si="66">P267*J267</f>
        <v>0</v>
      </c>
      <c r="R267" s="151">
        <f t="shared" si="61"/>
        <v>69.710470849945708</v>
      </c>
      <c r="S267" s="130">
        <f t="shared" si="62"/>
        <v>4.7104708499457075</v>
      </c>
      <c r="T267" s="150">
        <f t="shared" si="64"/>
        <v>0</v>
      </c>
      <c r="V267" s="12"/>
    </row>
    <row r="268" spans="1:22" x14ac:dyDescent="0.25">
      <c r="A268" s="49">
        <f>'A) Base RI'!A269</f>
        <v>5860</v>
      </c>
      <c r="B268" s="350" t="str">
        <f>'A) Base RI'!B269</f>
        <v>Perroy</v>
      </c>
      <c r="C268" s="410">
        <v>2149128.6877748389</v>
      </c>
      <c r="D268" s="410">
        <v>1493232.9253398867</v>
      </c>
      <c r="E268" s="411">
        <v>0</v>
      </c>
      <c r="F268" s="411">
        <v>0</v>
      </c>
      <c r="G268" s="411">
        <v>0</v>
      </c>
      <c r="H268" s="352">
        <f t="shared" si="63"/>
        <v>3642361.6131147258</v>
      </c>
      <c r="I268" s="412">
        <v>95739.614192307679</v>
      </c>
      <c r="J268" s="355">
        <f>'B) D RI'!U269</f>
        <v>102583.41574358974</v>
      </c>
      <c r="K268" s="65">
        <f t="shared" si="65"/>
        <v>38.044456767900535</v>
      </c>
      <c r="L268" s="33">
        <f>'B) D RI'!S269</f>
        <v>60</v>
      </c>
      <c r="M268" s="33">
        <f t="shared" si="58"/>
        <v>21.955543232099465</v>
      </c>
      <c r="N268" s="33">
        <f>'J) Plafonnement effort'!G267+'J) Plafonnement effort'!H267-'K) Plafonnement aide'!I267</f>
        <v>19.220727708256732</v>
      </c>
      <c r="O268" s="130">
        <f t="shared" si="59"/>
        <v>41.176270940356197</v>
      </c>
      <c r="P268" s="47">
        <f t="shared" si="60"/>
        <v>0</v>
      </c>
      <c r="Q268" s="57">
        <f t="shared" si="66"/>
        <v>0</v>
      </c>
      <c r="R268" s="151">
        <f t="shared" si="61"/>
        <v>41.176270940356197</v>
      </c>
      <c r="S268" s="130">
        <f t="shared" si="62"/>
        <v>-18.823729059643803</v>
      </c>
      <c r="T268" s="150">
        <f t="shared" si="64"/>
        <v>0</v>
      </c>
      <c r="V268" s="12"/>
    </row>
    <row r="269" spans="1:22" x14ac:dyDescent="0.25">
      <c r="A269" s="49">
        <f>'A) Base RI'!A270</f>
        <v>5861</v>
      </c>
      <c r="B269" s="350" t="str">
        <f>'A) Base RI'!B270</f>
        <v>Rolle</v>
      </c>
      <c r="C269" s="410">
        <v>17890945.317324065</v>
      </c>
      <c r="D269" s="410">
        <v>8537842.265783824</v>
      </c>
      <c r="E269" s="411">
        <v>0</v>
      </c>
      <c r="F269" s="411">
        <v>0</v>
      </c>
      <c r="G269" s="411">
        <v>0</v>
      </c>
      <c r="H269" s="352">
        <f t="shared" si="63"/>
        <v>26428787.583107889</v>
      </c>
      <c r="I269" s="412">
        <v>654027.21747899149</v>
      </c>
      <c r="J269" s="355">
        <f>'B) D RI'!U270</f>
        <v>762445.16588235286</v>
      </c>
      <c r="K269" s="65">
        <f t="shared" si="65"/>
        <v>40.409308476457753</v>
      </c>
      <c r="L269" s="33">
        <f>'B) D RI'!S270</f>
        <v>59.5</v>
      </c>
      <c r="M269" s="33">
        <f t="shared" si="58"/>
        <v>19.090691523542247</v>
      </c>
      <c r="N269" s="33">
        <f>'J) Plafonnement effort'!G268+'J) Plafonnement effort'!H268-'K) Plafonnement aide'!I268</f>
        <v>45</v>
      </c>
      <c r="O269" s="130">
        <f t="shared" si="59"/>
        <v>64.090691523542247</v>
      </c>
      <c r="P269" s="47">
        <f t="shared" si="60"/>
        <v>0</v>
      </c>
      <c r="Q269" s="57">
        <f t="shared" si="66"/>
        <v>0</v>
      </c>
      <c r="R269" s="151">
        <f t="shared" si="61"/>
        <v>64.090691523542247</v>
      </c>
      <c r="S269" s="130">
        <f t="shared" si="62"/>
        <v>4.5906915235422474</v>
      </c>
      <c r="T269" s="150">
        <f t="shared" si="64"/>
        <v>0</v>
      </c>
      <c r="V269" s="12"/>
    </row>
    <row r="270" spans="1:22" x14ac:dyDescent="0.25">
      <c r="A270" s="49">
        <f>'A) Base RI'!A271</f>
        <v>5862</v>
      </c>
      <c r="B270" s="350" t="str">
        <f>'A) Base RI'!B271</f>
        <v>Tartegnin</v>
      </c>
      <c r="C270" s="410">
        <v>204593.69674303947</v>
      </c>
      <c r="D270" s="410">
        <v>209089.88081689432</v>
      </c>
      <c r="E270" s="411">
        <v>0</v>
      </c>
      <c r="F270" s="411">
        <v>0</v>
      </c>
      <c r="G270" s="411">
        <v>0</v>
      </c>
      <c r="H270" s="352">
        <f t="shared" si="63"/>
        <v>413683.57755993376</v>
      </c>
      <c r="I270" s="412">
        <v>12310.23827160494</v>
      </c>
      <c r="J270" s="355">
        <f>'B) D RI'!U271</f>
        <v>10955.91814814815</v>
      </c>
      <c r="K270" s="65">
        <f t="shared" si="65"/>
        <v>33.604839194229505</v>
      </c>
      <c r="L270" s="33">
        <f>'B) D RI'!S271</f>
        <v>81</v>
      </c>
      <c r="M270" s="33">
        <f t="shared" si="58"/>
        <v>47.395160805770495</v>
      </c>
      <c r="N270" s="33">
        <f>'J) Plafonnement effort'!G269+'J) Plafonnement effort'!H269-'K) Plafonnement aide'!I269</f>
        <v>32.252819506996225</v>
      </c>
      <c r="O270" s="130">
        <f t="shared" si="59"/>
        <v>79.64798031276672</v>
      </c>
      <c r="P270" s="47">
        <f t="shared" si="60"/>
        <v>0</v>
      </c>
      <c r="Q270" s="57">
        <f t="shared" si="66"/>
        <v>0</v>
      </c>
      <c r="R270" s="151">
        <f t="shared" si="61"/>
        <v>79.64798031276672</v>
      </c>
      <c r="S270" s="130">
        <f t="shared" si="62"/>
        <v>-1.3520196872332804</v>
      </c>
      <c r="T270" s="150">
        <f t="shared" si="64"/>
        <v>0</v>
      </c>
      <c r="V270" s="12"/>
    </row>
    <row r="271" spans="1:22" x14ac:dyDescent="0.25">
      <c r="A271" s="49">
        <f>'A) Base RI'!A272</f>
        <v>5863</v>
      </c>
      <c r="B271" s="350" t="str">
        <f>'A) Base RI'!B272</f>
        <v>Vinzel</v>
      </c>
      <c r="C271" s="410">
        <v>419215.09550680162</v>
      </c>
      <c r="D271" s="410">
        <v>382330.67936205136</v>
      </c>
      <c r="E271" s="411">
        <v>0</v>
      </c>
      <c r="F271" s="411">
        <v>0</v>
      </c>
      <c r="G271" s="411">
        <v>0</v>
      </c>
      <c r="H271" s="352">
        <f t="shared" si="63"/>
        <v>801545.77486885292</v>
      </c>
      <c r="I271" s="412">
        <v>22498.98940298508</v>
      </c>
      <c r="J271" s="355">
        <f>'B) D RI'!U272</f>
        <v>17885.432686567161</v>
      </c>
      <c r="K271" s="65">
        <f t="shared" si="65"/>
        <v>35.625856811262238</v>
      </c>
      <c r="L271" s="33">
        <f>'B) D RI'!S272</f>
        <v>67</v>
      </c>
      <c r="M271" s="33">
        <f t="shared" si="58"/>
        <v>31.374143188737762</v>
      </c>
      <c r="N271" s="33">
        <f>'J) Plafonnement effort'!G270+'J) Plafonnement effort'!H270-'K) Plafonnement aide'!I270</f>
        <v>35.814193236403497</v>
      </c>
      <c r="O271" s="130">
        <f t="shared" si="59"/>
        <v>67.188336425141259</v>
      </c>
      <c r="P271" s="47">
        <f t="shared" si="60"/>
        <v>0</v>
      </c>
      <c r="Q271" s="57">
        <f t="shared" si="66"/>
        <v>0</v>
      </c>
      <c r="R271" s="151">
        <f t="shared" si="61"/>
        <v>67.188336425141259</v>
      </c>
      <c r="S271" s="130">
        <f t="shared" si="62"/>
        <v>0.1883364251412587</v>
      </c>
      <c r="T271" s="150">
        <f t="shared" si="64"/>
        <v>0</v>
      </c>
      <c r="V271" s="12"/>
    </row>
    <row r="272" spans="1:22" x14ac:dyDescent="0.25">
      <c r="A272" s="49">
        <f>'A) Base RI'!A273</f>
        <v>5871</v>
      </c>
      <c r="B272" s="350" t="str">
        <f>'A) Base RI'!B273</f>
        <v>L'Abbaye</v>
      </c>
      <c r="C272" s="410">
        <v>932211.68084557354</v>
      </c>
      <c r="D272" s="410">
        <v>54352.730718406383</v>
      </c>
      <c r="E272" s="411">
        <v>0</v>
      </c>
      <c r="F272" s="411">
        <v>0</v>
      </c>
      <c r="G272" s="411">
        <v>0</v>
      </c>
      <c r="H272" s="352">
        <f t="shared" si="63"/>
        <v>986564.41156397993</v>
      </c>
      <c r="I272" s="412">
        <v>44627.892122623205</v>
      </c>
      <c r="J272" s="355">
        <f>'B) D RI'!U273</f>
        <v>46763.12603092783</v>
      </c>
      <c r="K272" s="65">
        <f t="shared" si="65"/>
        <v>22.106453265890664</v>
      </c>
      <c r="L272" s="33">
        <f>'B) D RI'!S273</f>
        <v>77.599999999999994</v>
      </c>
      <c r="M272" s="33">
        <f t="shared" si="58"/>
        <v>55.49354673410933</v>
      </c>
      <c r="N272" s="33">
        <f>'J) Plafonnement effort'!G271+'J) Plafonnement effort'!H271-'K) Plafonnement aide'!I271</f>
        <v>15.28686465107325</v>
      </c>
      <c r="O272" s="130">
        <f t="shared" si="59"/>
        <v>70.780411385182575</v>
      </c>
      <c r="P272" s="47">
        <f t="shared" si="60"/>
        <v>0</v>
      </c>
      <c r="Q272" s="57">
        <f t="shared" si="66"/>
        <v>0</v>
      </c>
      <c r="R272" s="151">
        <f t="shared" si="61"/>
        <v>70.780411385182575</v>
      </c>
      <c r="S272" s="130">
        <f t="shared" si="62"/>
        <v>-6.8195886148174196</v>
      </c>
      <c r="T272" s="150">
        <f t="shared" si="64"/>
        <v>0</v>
      </c>
      <c r="V272" s="12"/>
    </row>
    <row r="273" spans="1:22" x14ac:dyDescent="0.25">
      <c r="A273" s="49">
        <f>'A) Base RI'!A274</f>
        <v>5872</v>
      </c>
      <c r="B273" s="350" t="str">
        <f>'A) Base RI'!B274</f>
        <v>Le Chenit</v>
      </c>
      <c r="C273" s="410">
        <v>5340889.024652712</v>
      </c>
      <c r="D273" s="410">
        <v>1901874.8524529643</v>
      </c>
      <c r="E273" s="411">
        <v>0</v>
      </c>
      <c r="F273" s="411">
        <v>0</v>
      </c>
      <c r="G273" s="411">
        <v>0</v>
      </c>
      <c r="H273" s="352">
        <f t="shared" si="63"/>
        <v>7242763.8771056766</v>
      </c>
      <c r="I273" s="412">
        <v>195855.08877191509</v>
      </c>
      <c r="J273" s="355">
        <f>'B) D RI'!U274</f>
        <v>269128.75712823507</v>
      </c>
      <c r="K273" s="65">
        <f t="shared" si="65"/>
        <v>36.980217989333461</v>
      </c>
      <c r="L273" s="33">
        <f>'B) D RI'!S274</f>
        <v>68.39</v>
      </c>
      <c r="M273" s="33">
        <f t="shared" si="58"/>
        <v>31.40978201066654</v>
      </c>
      <c r="N273" s="33">
        <f>'J) Plafonnement effort'!G272+'J) Plafonnement effort'!H272-'K) Plafonnement aide'!I272</f>
        <v>36.746313277172646</v>
      </c>
      <c r="O273" s="130">
        <f t="shared" si="59"/>
        <v>68.156095287839179</v>
      </c>
      <c r="P273" s="47">
        <f t="shared" si="60"/>
        <v>0</v>
      </c>
      <c r="Q273" s="57">
        <f t="shared" si="66"/>
        <v>0</v>
      </c>
      <c r="R273" s="151">
        <f t="shared" si="61"/>
        <v>68.156095287839179</v>
      </c>
      <c r="S273" s="130">
        <f t="shared" si="62"/>
        <v>-0.23390471216082176</v>
      </c>
      <c r="T273" s="150">
        <f t="shared" si="64"/>
        <v>0</v>
      </c>
      <c r="V273" s="12"/>
    </row>
    <row r="274" spans="1:22" x14ac:dyDescent="0.25">
      <c r="A274" s="49">
        <f>'A) Base RI'!A275</f>
        <v>5873</v>
      </c>
      <c r="B274" s="350" t="str">
        <f>'A) Base RI'!B275</f>
        <v>Le Lieu</v>
      </c>
      <c r="C274" s="410">
        <v>749820.12966161757</v>
      </c>
      <c r="D274" s="410">
        <v>362499.91261168895</v>
      </c>
      <c r="E274" s="411">
        <v>0</v>
      </c>
      <c r="F274" s="411">
        <v>0</v>
      </c>
      <c r="G274" s="411">
        <v>0</v>
      </c>
      <c r="H274" s="352">
        <f t="shared" si="63"/>
        <v>1112320.0422733065</v>
      </c>
      <c r="I274" s="412">
        <v>31663.23595238095</v>
      </c>
      <c r="J274" s="355">
        <f>'B) D RI'!U275</f>
        <v>28965.792761904762</v>
      </c>
      <c r="K274" s="65">
        <f t="shared" si="65"/>
        <v>35.1297019655903</v>
      </c>
      <c r="L274" s="33">
        <f>'B) D RI'!S275</f>
        <v>70</v>
      </c>
      <c r="M274" s="33">
        <f t="shared" si="58"/>
        <v>34.8702980344097</v>
      </c>
      <c r="N274" s="33">
        <f>'J) Plafonnement effort'!G273+'J) Plafonnement effort'!H273-'K) Plafonnement aide'!I273</f>
        <v>7.9198277546464908</v>
      </c>
      <c r="O274" s="130">
        <f t="shared" si="59"/>
        <v>42.790125789056191</v>
      </c>
      <c r="P274" s="47">
        <f t="shared" si="60"/>
        <v>0</v>
      </c>
      <c r="Q274" s="57">
        <f t="shared" si="66"/>
        <v>0</v>
      </c>
      <c r="R274" s="151">
        <f t="shared" si="61"/>
        <v>42.790125789056191</v>
      </c>
      <c r="S274" s="130">
        <f t="shared" si="62"/>
        <v>-27.209874210943809</v>
      </c>
      <c r="T274" s="150">
        <f t="shared" si="64"/>
        <v>0</v>
      </c>
      <c r="V274" s="12"/>
    </row>
    <row r="275" spans="1:22" x14ac:dyDescent="0.25">
      <c r="A275" s="49">
        <f>'A) Base RI'!A276</f>
        <v>5881</v>
      </c>
      <c r="B275" s="350" t="str">
        <f>'A) Base RI'!B276</f>
        <v>Blonay</v>
      </c>
      <c r="C275" s="410">
        <v>5577560.8220253373</v>
      </c>
      <c r="D275" s="410">
        <v>3827265.1019465346</v>
      </c>
      <c r="E275" s="411">
        <v>0</v>
      </c>
      <c r="F275" s="411">
        <v>0</v>
      </c>
      <c r="G275" s="411">
        <v>0</v>
      </c>
      <c r="H275" s="352">
        <f t="shared" si="63"/>
        <v>9404825.9239718728</v>
      </c>
      <c r="I275" s="412">
        <v>333471.52885714278</v>
      </c>
      <c r="J275" s="355">
        <f>'B) D RI'!U276</f>
        <v>355898.72514285718</v>
      </c>
      <c r="K275" s="65">
        <f t="shared" si="65"/>
        <v>28.20278527586337</v>
      </c>
      <c r="L275" s="33">
        <f>'B) D RI'!S276</f>
        <v>70</v>
      </c>
      <c r="M275" s="33">
        <f t="shared" si="58"/>
        <v>41.79721472413663</v>
      </c>
      <c r="N275" s="33">
        <f>'J) Plafonnement effort'!G274+'J) Plafonnement effort'!H274-'K) Plafonnement aide'!I274</f>
        <v>32.482191967771598</v>
      </c>
      <c r="O275" s="130">
        <f t="shared" si="59"/>
        <v>74.279406691908235</v>
      </c>
      <c r="P275" s="47">
        <f t="shared" si="60"/>
        <v>0</v>
      </c>
      <c r="Q275" s="57">
        <f t="shared" si="66"/>
        <v>0</v>
      </c>
      <c r="R275" s="151">
        <f t="shared" si="61"/>
        <v>74.279406691908235</v>
      </c>
      <c r="S275" s="130">
        <f t="shared" si="62"/>
        <v>4.2794066919082354</v>
      </c>
      <c r="T275" s="150">
        <f t="shared" si="64"/>
        <v>0</v>
      </c>
      <c r="V275" s="12"/>
    </row>
    <row r="276" spans="1:22" x14ac:dyDescent="0.25">
      <c r="A276" s="49">
        <f>'A) Base RI'!A277</f>
        <v>5882</v>
      </c>
      <c r="B276" s="350" t="str">
        <f>'A) Base RI'!B277</f>
        <v>Chardonne</v>
      </c>
      <c r="C276" s="410">
        <v>3306828.6575770834</v>
      </c>
      <c r="D276" s="410">
        <v>2285400.0255707158</v>
      </c>
      <c r="E276" s="411">
        <v>0</v>
      </c>
      <c r="F276" s="411">
        <v>0</v>
      </c>
      <c r="G276" s="411">
        <v>0</v>
      </c>
      <c r="H276" s="352">
        <f t="shared" si="63"/>
        <v>5592228.6831477992</v>
      </c>
      <c r="I276" s="412">
        <v>161419.68117647059</v>
      </c>
      <c r="J276" s="355">
        <f>'B) D RI'!U277</f>
        <v>184082.76117647055</v>
      </c>
      <c r="K276" s="65">
        <f t="shared" si="65"/>
        <v>34.644032514437605</v>
      </c>
      <c r="L276" s="33">
        <f>'B) D RI'!S277</f>
        <v>68</v>
      </c>
      <c r="M276" s="33">
        <f t="shared" si="58"/>
        <v>33.355967485562395</v>
      </c>
      <c r="N276" s="33">
        <f>'J) Plafonnement effort'!G275+'J) Plafonnement effort'!H275-'K) Plafonnement aide'!I275</f>
        <v>37.814963709446332</v>
      </c>
      <c r="O276" s="130">
        <f t="shared" si="59"/>
        <v>71.170931195008734</v>
      </c>
      <c r="P276" s="47">
        <f t="shared" si="60"/>
        <v>0</v>
      </c>
      <c r="Q276" s="57">
        <f t="shared" si="66"/>
        <v>0</v>
      </c>
      <c r="R276" s="151">
        <f t="shared" si="61"/>
        <v>71.170931195008734</v>
      </c>
      <c r="S276" s="130">
        <f t="shared" si="62"/>
        <v>3.170931195008734</v>
      </c>
      <c r="T276" s="150">
        <f t="shared" si="64"/>
        <v>0</v>
      </c>
      <c r="V276" s="12"/>
    </row>
    <row r="277" spans="1:22" x14ac:dyDescent="0.25">
      <c r="A277" s="49">
        <f>'A) Base RI'!A278</f>
        <v>5883</v>
      </c>
      <c r="B277" s="350" t="str">
        <f>'A) Base RI'!B278</f>
        <v>Corseaux</v>
      </c>
      <c r="C277" s="410">
        <v>4690849.2766849194</v>
      </c>
      <c r="D277" s="410">
        <v>2318390.2195811211</v>
      </c>
      <c r="E277" s="411">
        <v>0</v>
      </c>
      <c r="F277" s="411">
        <v>0</v>
      </c>
      <c r="G277" s="411">
        <v>0</v>
      </c>
      <c r="H277" s="352">
        <f t="shared" si="63"/>
        <v>7009239.496266041</v>
      </c>
      <c r="I277" s="412">
        <v>156359.79318840581</v>
      </c>
      <c r="J277" s="355">
        <f>'B) D RI'!U278</f>
        <v>164555.95811594205</v>
      </c>
      <c r="K277" s="65">
        <f t="shared" si="65"/>
        <v>44.827633455745584</v>
      </c>
      <c r="L277" s="33">
        <f>'B) D RI'!S278</f>
        <v>69</v>
      </c>
      <c r="M277" s="33">
        <f t="shared" si="58"/>
        <v>24.172366544254416</v>
      </c>
      <c r="N277" s="33">
        <f>'J) Plafonnement effort'!G276+'J) Plafonnement effort'!H276-'K) Plafonnement aide'!I276</f>
        <v>39.616352987818956</v>
      </c>
      <c r="O277" s="130">
        <f t="shared" si="59"/>
        <v>63.788719532073372</v>
      </c>
      <c r="P277" s="47">
        <f t="shared" si="60"/>
        <v>0</v>
      </c>
      <c r="Q277" s="57">
        <f t="shared" si="66"/>
        <v>0</v>
      </c>
      <c r="R277" s="151">
        <f t="shared" si="61"/>
        <v>63.788719532073372</v>
      </c>
      <c r="S277" s="130">
        <f t="shared" si="62"/>
        <v>-5.2112804679266276</v>
      </c>
      <c r="T277" s="150">
        <f t="shared" si="64"/>
        <v>0</v>
      </c>
      <c r="V277" s="12"/>
    </row>
    <row r="278" spans="1:22" x14ac:dyDescent="0.25">
      <c r="A278" s="49">
        <f>'A) Base RI'!A279</f>
        <v>5884</v>
      </c>
      <c r="B278" s="350" t="str">
        <f>'A) Base RI'!B279</f>
        <v>Corsier-sur-Vevey</v>
      </c>
      <c r="C278" s="410">
        <v>2152917.9594143764</v>
      </c>
      <c r="D278" s="410">
        <v>690004.74797550635</v>
      </c>
      <c r="E278" s="411">
        <v>0</v>
      </c>
      <c r="F278" s="411">
        <v>0</v>
      </c>
      <c r="G278" s="411">
        <v>0</v>
      </c>
      <c r="H278" s="352">
        <f t="shared" si="63"/>
        <v>2842922.7073898828</v>
      </c>
      <c r="I278" s="412">
        <v>119111.03626262626</v>
      </c>
      <c r="J278" s="355">
        <f>'B) D RI'!U279</f>
        <v>127106.22217171718</v>
      </c>
      <c r="K278" s="65">
        <f t="shared" si="65"/>
        <v>23.867836235775517</v>
      </c>
      <c r="L278" s="33">
        <f>'B) D RI'!S279</f>
        <v>66</v>
      </c>
      <c r="M278" s="33">
        <f t="shared" si="58"/>
        <v>42.132163764224487</v>
      </c>
      <c r="N278" s="33">
        <f>'J) Plafonnement effort'!G277+'J) Plafonnement effort'!H277-'K) Plafonnement aide'!I277</f>
        <v>14.272890100944855</v>
      </c>
      <c r="O278" s="130">
        <f t="shared" si="59"/>
        <v>56.405053865169343</v>
      </c>
      <c r="P278" s="47">
        <f t="shared" si="60"/>
        <v>0</v>
      </c>
      <c r="Q278" s="57">
        <f t="shared" si="66"/>
        <v>0</v>
      </c>
      <c r="R278" s="151">
        <f t="shared" si="61"/>
        <v>56.405053865169343</v>
      </c>
      <c r="S278" s="130">
        <f t="shared" si="62"/>
        <v>-9.5949461348306571</v>
      </c>
      <c r="T278" s="150">
        <f t="shared" si="64"/>
        <v>0</v>
      </c>
      <c r="V278" s="12"/>
    </row>
    <row r="279" spans="1:22" x14ac:dyDescent="0.25">
      <c r="A279" s="49">
        <f>'A) Base RI'!A280</f>
        <v>5885</v>
      </c>
      <c r="B279" s="350" t="str">
        <f>'A) Base RI'!B280</f>
        <v>Jongny</v>
      </c>
      <c r="C279" s="410">
        <v>1857485.442623009</v>
      </c>
      <c r="D279" s="410">
        <v>1303431.4368532593</v>
      </c>
      <c r="E279" s="411">
        <v>0</v>
      </c>
      <c r="F279" s="411">
        <v>0</v>
      </c>
      <c r="G279" s="411">
        <v>0</v>
      </c>
      <c r="H279" s="352">
        <f t="shared" si="63"/>
        <v>3160916.8794762683</v>
      </c>
      <c r="I279" s="412">
        <v>83805.46166666667</v>
      </c>
      <c r="J279" s="355">
        <f>'B) D RI'!U280</f>
        <v>79120.74528169015</v>
      </c>
      <c r="K279" s="65">
        <f t="shared" si="65"/>
        <v>37.717313604794711</v>
      </c>
      <c r="L279" s="33">
        <f>'B) D RI'!S280</f>
        <v>71</v>
      </c>
      <c r="M279" s="33">
        <f t="shared" si="58"/>
        <v>33.282686395205289</v>
      </c>
      <c r="N279" s="33">
        <f>'J) Plafonnement effort'!G278+'J) Plafonnement effort'!H278-'K) Plafonnement aide'!I278</f>
        <v>34.07075683014466</v>
      </c>
      <c r="O279" s="130">
        <f t="shared" si="59"/>
        <v>67.353443225349949</v>
      </c>
      <c r="P279" s="47">
        <f t="shared" si="60"/>
        <v>0</v>
      </c>
      <c r="Q279" s="57">
        <f t="shared" si="66"/>
        <v>0</v>
      </c>
      <c r="R279" s="151">
        <f t="shared" si="61"/>
        <v>67.353443225349949</v>
      </c>
      <c r="S279" s="130">
        <f t="shared" si="62"/>
        <v>-3.6465567746500511</v>
      </c>
      <c r="T279" s="150">
        <f t="shared" si="64"/>
        <v>0</v>
      </c>
      <c r="V279" s="12"/>
    </row>
    <row r="280" spans="1:22" x14ac:dyDescent="0.25">
      <c r="A280" s="49">
        <f>'A) Base RI'!A281</f>
        <v>5886</v>
      </c>
      <c r="B280" s="350" t="str">
        <f>'A) Base RI'!B281</f>
        <v>Montreux</v>
      </c>
      <c r="C280" s="410">
        <v>28396148.220601059</v>
      </c>
      <c r="D280" s="410">
        <v>-862624.2251537554</v>
      </c>
      <c r="E280" s="411">
        <v>0</v>
      </c>
      <c r="F280" s="411">
        <v>0</v>
      </c>
      <c r="G280" s="411">
        <v>0</v>
      </c>
      <c r="H280" s="352">
        <f t="shared" si="63"/>
        <v>27533523.995447304</v>
      </c>
      <c r="I280" s="412">
        <v>1120949.2064615386</v>
      </c>
      <c r="J280" s="355">
        <f>'B) D RI'!U281</f>
        <v>1142059.586051282</v>
      </c>
      <c r="K280" s="65">
        <f t="shared" si="65"/>
        <v>24.562686548805743</v>
      </c>
      <c r="L280" s="33">
        <f>'B) D RI'!S281</f>
        <v>65</v>
      </c>
      <c r="M280" s="33">
        <f t="shared" si="58"/>
        <v>40.437313451194257</v>
      </c>
      <c r="N280" s="33">
        <f>'J) Plafonnement effort'!G279+'J) Plafonnement effort'!H279-'K) Plafonnement aide'!I279</f>
        <v>17.059639543352738</v>
      </c>
      <c r="O280" s="130">
        <f t="shared" si="59"/>
        <v>57.496952994546994</v>
      </c>
      <c r="P280" s="47">
        <f t="shared" si="60"/>
        <v>0</v>
      </c>
      <c r="Q280" s="57">
        <f t="shared" si="66"/>
        <v>0</v>
      </c>
      <c r="R280" s="151">
        <f t="shared" si="61"/>
        <v>57.496952994546994</v>
      </c>
      <c r="S280" s="130">
        <f t="shared" si="62"/>
        <v>-7.5030470054530056</v>
      </c>
      <c r="T280" s="150">
        <f t="shared" si="64"/>
        <v>0</v>
      </c>
      <c r="V280" s="12"/>
    </row>
    <row r="281" spans="1:22" x14ac:dyDescent="0.25">
      <c r="A281" s="49">
        <f>'A) Base RI'!A282</f>
        <v>5888</v>
      </c>
      <c r="B281" s="350" t="str">
        <f>'A) Base RI'!B282</f>
        <v>Saint-Légier-La Chiésaz</v>
      </c>
      <c r="C281" s="410">
        <v>6340514.1313947113</v>
      </c>
      <c r="D281" s="410">
        <v>4035173.9675208563</v>
      </c>
      <c r="E281" s="411">
        <v>0</v>
      </c>
      <c r="F281" s="411">
        <v>0</v>
      </c>
      <c r="G281" s="411">
        <v>0</v>
      </c>
      <c r="H281" s="352">
        <f t="shared" si="63"/>
        <v>10375688.098915568</v>
      </c>
      <c r="I281" s="412">
        <v>318719.43035714288</v>
      </c>
      <c r="J281" s="355">
        <f>'B) D RI'!U282</f>
        <v>338249.0701666667</v>
      </c>
      <c r="K281" s="65">
        <f t="shared" si="65"/>
        <v>32.554300461973817</v>
      </c>
      <c r="L281" s="33">
        <f>'B) D RI'!S282</f>
        <v>70</v>
      </c>
      <c r="M281" s="33">
        <f t="shared" si="58"/>
        <v>37.445699538026183</v>
      </c>
      <c r="N281" s="33">
        <f>'J) Plafonnement effort'!G280+'J) Plafonnement effort'!H280-'K) Plafonnement aide'!I280</f>
        <v>35.621154464808548</v>
      </c>
      <c r="O281" s="130">
        <f t="shared" si="59"/>
        <v>73.066854002834731</v>
      </c>
      <c r="P281" s="47">
        <f t="shared" si="60"/>
        <v>0</v>
      </c>
      <c r="Q281" s="57">
        <f t="shared" si="66"/>
        <v>0</v>
      </c>
      <c r="R281" s="151">
        <f t="shared" si="61"/>
        <v>73.066854002834731</v>
      </c>
      <c r="S281" s="130">
        <f t="shared" si="62"/>
        <v>3.0668540028347309</v>
      </c>
      <c r="T281" s="150">
        <f t="shared" si="64"/>
        <v>0</v>
      </c>
      <c r="V281" s="12"/>
    </row>
    <row r="282" spans="1:22" x14ac:dyDescent="0.25">
      <c r="A282" s="49">
        <f>'A) Base RI'!A283</f>
        <v>5889</v>
      </c>
      <c r="B282" s="350" t="str">
        <f>'A) Base RI'!B283</f>
        <v>La Tour-de-Peilz</v>
      </c>
      <c r="C282" s="410">
        <v>13554755.014109617</v>
      </c>
      <c r="D282" s="410">
        <v>5620511.1268427847</v>
      </c>
      <c r="E282" s="411">
        <v>0</v>
      </c>
      <c r="F282" s="411">
        <v>0</v>
      </c>
      <c r="G282" s="411">
        <v>0</v>
      </c>
      <c r="H282" s="352">
        <f t="shared" si="63"/>
        <v>19175266.140952401</v>
      </c>
      <c r="I282" s="412">
        <v>645590.04875000007</v>
      </c>
      <c r="J282" s="355">
        <f>'B) D RI'!U283</f>
        <v>693156.74124999996</v>
      </c>
      <c r="K282" s="65">
        <f t="shared" si="65"/>
        <v>29.701923346061179</v>
      </c>
      <c r="L282" s="33">
        <f>'B) D RI'!S283</f>
        <v>64</v>
      </c>
      <c r="M282" s="33">
        <f t="shared" si="58"/>
        <v>34.298076653938821</v>
      </c>
      <c r="N282" s="33">
        <f>'J) Plafonnement effort'!G281+'J) Plafonnement effort'!H281-'K) Plafonnement aide'!I281</f>
        <v>30.433190543790744</v>
      </c>
      <c r="O282" s="130">
        <f t="shared" si="59"/>
        <v>64.731267197729565</v>
      </c>
      <c r="P282" s="47">
        <f t="shared" si="60"/>
        <v>0</v>
      </c>
      <c r="Q282" s="57">
        <f t="shared" si="66"/>
        <v>0</v>
      </c>
      <c r="R282" s="151">
        <f t="shared" si="61"/>
        <v>64.731267197729565</v>
      </c>
      <c r="S282" s="130">
        <f t="shared" si="62"/>
        <v>0.73126719772956505</v>
      </c>
      <c r="T282" s="150">
        <f t="shared" si="64"/>
        <v>0</v>
      </c>
      <c r="V282" s="12"/>
    </row>
    <row r="283" spans="1:22" x14ac:dyDescent="0.25">
      <c r="A283" s="49">
        <f>'A) Base RI'!A284</f>
        <v>5890</v>
      </c>
      <c r="B283" s="350" t="str">
        <f>'A) Base RI'!B284</f>
        <v>Vevey</v>
      </c>
      <c r="C283" s="410">
        <v>17328761.13126386</v>
      </c>
      <c r="D283" s="410">
        <v>2651068.6425986327</v>
      </c>
      <c r="E283" s="411">
        <v>0</v>
      </c>
      <c r="F283" s="411">
        <v>0</v>
      </c>
      <c r="G283" s="411">
        <v>0</v>
      </c>
      <c r="H283" s="352">
        <f t="shared" si="63"/>
        <v>19979829.773862492</v>
      </c>
      <c r="I283" s="412">
        <v>923815.49078947364</v>
      </c>
      <c r="J283" s="355">
        <f>'B) D RI'!U284</f>
        <v>976839.63723684219</v>
      </c>
      <c r="K283" s="65">
        <f t="shared" si="65"/>
        <v>21.627511091839498</v>
      </c>
      <c r="L283" s="33">
        <f>'B) D RI'!S284</f>
        <v>76</v>
      </c>
      <c r="M283" s="33">
        <f t="shared" si="58"/>
        <v>54.372488908160506</v>
      </c>
      <c r="N283" s="33">
        <f>'J) Plafonnement effort'!G282+'J) Plafonnement effort'!H282-'K) Plafonnement aide'!I282</f>
        <v>18.977032560201721</v>
      </c>
      <c r="O283" s="130">
        <f t="shared" si="59"/>
        <v>73.349521468362227</v>
      </c>
      <c r="P283" s="47">
        <f t="shared" si="60"/>
        <v>0</v>
      </c>
      <c r="Q283" s="57">
        <f t="shared" si="66"/>
        <v>0</v>
      </c>
      <c r="R283" s="151">
        <f t="shared" si="61"/>
        <v>73.349521468362227</v>
      </c>
      <c r="S283" s="130">
        <f t="shared" si="62"/>
        <v>-2.6504785316377735</v>
      </c>
      <c r="T283" s="150">
        <f t="shared" si="64"/>
        <v>0</v>
      </c>
      <c r="V283" s="12"/>
    </row>
    <row r="284" spans="1:22" x14ac:dyDescent="0.25">
      <c r="A284" s="49">
        <f>'A) Base RI'!A285</f>
        <v>5891</v>
      </c>
      <c r="B284" s="350" t="str">
        <f>'A) Base RI'!B285</f>
        <v>Veytaux</v>
      </c>
      <c r="C284" s="410">
        <v>982498.36277875991</v>
      </c>
      <c r="D284" s="410">
        <v>575500.86030010856</v>
      </c>
      <c r="E284" s="411">
        <v>0</v>
      </c>
      <c r="F284" s="411">
        <v>0</v>
      </c>
      <c r="G284" s="411">
        <v>0</v>
      </c>
      <c r="H284" s="352">
        <f t="shared" si="63"/>
        <v>1557999.2230788684</v>
      </c>
      <c r="I284" s="412">
        <v>37468.229154929577</v>
      </c>
      <c r="J284" s="355">
        <f>'B) D RI'!U285</f>
        <v>37197.97126760563</v>
      </c>
      <c r="K284" s="65">
        <f t="shared" si="65"/>
        <v>41.581875050368836</v>
      </c>
      <c r="L284" s="33">
        <f>'B) D RI'!S285</f>
        <v>71</v>
      </c>
      <c r="M284" s="33">
        <f t="shared" si="58"/>
        <v>29.418124949631164</v>
      </c>
      <c r="N284" s="33">
        <f>'J) Plafonnement effort'!G283+'J) Plafonnement effort'!H283-'K) Plafonnement aide'!I283</f>
        <v>7.5337525032069763</v>
      </c>
      <c r="O284" s="130">
        <f t="shared" si="59"/>
        <v>36.95187745283814</v>
      </c>
      <c r="P284" s="47">
        <f t="shared" si="60"/>
        <v>0</v>
      </c>
      <c r="Q284" s="57">
        <f t="shared" si="66"/>
        <v>0</v>
      </c>
      <c r="R284" s="151">
        <f t="shared" si="61"/>
        <v>36.95187745283814</v>
      </c>
      <c r="S284" s="130">
        <f t="shared" si="62"/>
        <v>-34.04812254716186</v>
      </c>
      <c r="T284" s="150">
        <f t="shared" si="64"/>
        <v>0</v>
      </c>
      <c r="V284" s="12"/>
    </row>
    <row r="285" spans="1:22" x14ac:dyDescent="0.25">
      <c r="A285" s="49">
        <f>'A) Base RI'!A286</f>
        <v>5902</v>
      </c>
      <c r="B285" s="350" t="str">
        <f>'A) Base RI'!B286</f>
        <v>Belmont-sur-Yverdon</v>
      </c>
      <c r="C285" s="410">
        <v>151665.71732790591</v>
      </c>
      <c r="D285" s="410">
        <v>-2531.7030897660879</v>
      </c>
      <c r="E285" s="411">
        <v>0</v>
      </c>
      <c r="F285" s="411">
        <v>0</v>
      </c>
      <c r="G285" s="411">
        <v>0</v>
      </c>
      <c r="H285" s="352">
        <f t="shared" si="63"/>
        <v>149134.01423813982</v>
      </c>
      <c r="I285" s="412">
        <v>10322.452500000001</v>
      </c>
      <c r="J285" s="355">
        <f>'B) D RI'!U286</f>
        <v>10777.690131578949</v>
      </c>
      <c r="K285" s="65">
        <f t="shared" si="65"/>
        <v>14.447536981946858</v>
      </c>
      <c r="L285" s="33">
        <f>'B) D RI'!S286</f>
        <v>76</v>
      </c>
      <c r="M285" s="33">
        <f t="shared" si="58"/>
        <v>61.552463018053146</v>
      </c>
      <c r="N285" s="33">
        <f>'J) Plafonnement effort'!G284+'J) Plafonnement effort'!H284-'K) Plafonnement aide'!I284</f>
        <v>36.060301468148772</v>
      </c>
      <c r="O285" s="130">
        <f t="shared" si="59"/>
        <v>97.612764486201911</v>
      </c>
      <c r="P285" s="47">
        <f t="shared" si="60"/>
        <v>-4.2049048974871539</v>
      </c>
      <c r="Q285" s="57">
        <f t="shared" si="66"/>
        <v>-45319.162017875293</v>
      </c>
      <c r="R285" s="151">
        <f t="shared" si="61"/>
        <v>93.407859588714757</v>
      </c>
      <c r="S285" s="130">
        <f t="shared" si="62"/>
        <v>17.407859588714757</v>
      </c>
      <c r="T285" s="150">
        <f t="shared" si="64"/>
        <v>0</v>
      </c>
      <c r="V285" s="12"/>
    </row>
    <row r="286" spans="1:22" x14ac:dyDescent="0.25">
      <c r="A286" s="49">
        <f>'A) Base RI'!A287</f>
        <v>5903</v>
      </c>
      <c r="B286" s="350" t="str">
        <f>'A) Base RI'!B287</f>
        <v>Bioley-Magnoux</v>
      </c>
      <c r="C286" s="410">
        <v>96091.585159160313</v>
      </c>
      <c r="D286" s="410">
        <v>-19227.538692025468</v>
      </c>
      <c r="E286" s="411">
        <v>0</v>
      </c>
      <c r="F286" s="411">
        <v>0</v>
      </c>
      <c r="G286" s="411">
        <v>0</v>
      </c>
      <c r="H286" s="352">
        <f t="shared" si="63"/>
        <v>76864.046467134845</v>
      </c>
      <c r="I286" s="412">
        <v>5492.9202895752896</v>
      </c>
      <c r="J286" s="355">
        <f>'B) D RI'!U287</f>
        <v>6482.7722393822396</v>
      </c>
      <c r="K286" s="65">
        <f t="shared" si="65"/>
        <v>13.993293624342389</v>
      </c>
      <c r="L286" s="33">
        <f>'B) D RI'!S287</f>
        <v>74</v>
      </c>
      <c r="M286" s="33">
        <f t="shared" si="58"/>
        <v>60.006706375657615</v>
      </c>
      <c r="N286" s="33">
        <f>'J) Plafonnement effort'!G285+'J) Plafonnement effort'!H285-'K) Plafonnement aide'!I285</f>
        <v>-15.073633244342144</v>
      </c>
      <c r="O286" s="130">
        <f t="shared" si="59"/>
        <v>44.933073131315467</v>
      </c>
      <c r="P286" s="47">
        <f t="shared" si="60"/>
        <v>0</v>
      </c>
      <c r="Q286" s="57">
        <f t="shared" si="66"/>
        <v>0</v>
      </c>
      <c r="R286" s="151">
        <f t="shared" si="61"/>
        <v>44.933073131315467</v>
      </c>
      <c r="S286" s="130">
        <f t="shared" si="62"/>
        <v>-29.066926868684533</v>
      </c>
      <c r="T286" s="150">
        <f t="shared" si="64"/>
        <v>0</v>
      </c>
      <c r="V286" s="12"/>
    </row>
    <row r="287" spans="1:22" x14ac:dyDescent="0.25">
      <c r="A287" s="49">
        <f>'A) Base RI'!A288</f>
        <v>5904</v>
      </c>
      <c r="B287" s="350" t="str">
        <f>'A) Base RI'!B288</f>
        <v>Chamblon</v>
      </c>
      <c r="C287" s="410">
        <v>327731.90780382755</v>
      </c>
      <c r="D287" s="410">
        <v>250465.41049109606</v>
      </c>
      <c r="E287" s="411">
        <v>0</v>
      </c>
      <c r="F287" s="411">
        <v>0</v>
      </c>
      <c r="G287" s="411">
        <v>0</v>
      </c>
      <c r="H287" s="352">
        <f t="shared" si="63"/>
        <v>578197.31829492364</v>
      </c>
      <c r="I287" s="412">
        <v>20041.272272727278</v>
      </c>
      <c r="J287" s="355">
        <f>'B) D RI'!U288</f>
        <v>21977.410303030305</v>
      </c>
      <c r="K287" s="65">
        <f t="shared" si="65"/>
        <v>28.850329980385062</v>
      </c>
      <c r="L287" s="33">
        <f>'B) D RI'!S288</f>
        <v>66</v>
      </c>
      <c r="M287" s="33">
        <f t="shared" si="58"/>
        <v>37.149670019614938</v>
      </c>
      <c r="N287" s="33">
        <f>'J) Plafonnement effort'!G286+'J) Plafonnement effort'!H286-'K) Plafonnement aide'!I286</f>
        <v>30.090874136403151</v>
      </c>
      <c r="O287" s="130">
        <f t="shared" si="59"/>
        <v>67.240544156018089</v>
      </c>
      <c r="P287" s="47">
        <f t="shared" si="60"/>
        <v>0</v>
      </c>
      <c r="Q287" s="57">
        <f t="shared" si="66"/>
        <v>0</v>
      </c>
      <c r="R287" s="151">
        <f t="shared" si="61"/>
        <v>67.240544156018089</v>
      </c>
      <c r="S287" s="130">
        <f t="shared" si="62"/>
        <v>1.240544156018089</v>
      </c>
      <c r="T287" s="150">
        <f t="shared" si="64"/>
        <v>0</v>
      </c>
      <c r="V287" s="12"/>
    </row>
    <row r="288" spans="1:22" x14ac:dyDescent="0.25">
      <c r="A288" s="49">
        <f>'A) Base RI'!A289</f>
        <v>5905</v>
      </c>
      <c r="B288" s="350" t="str">
        <f>'A) Base RI'!B289</f>
        <v>Champvent</v>
      </c>
      <c r="C288" s="410">
        <v>393211.00498405605</v>
      </c>
      <c r="D288" s="410">
        <v>253653.91592616547</v>
      </c>
      <c r="E288" s="411">
        <v>0</v>
      </c>
      <c r="F288" s="411">
        <v>0</v>
      </c>
      <c r="G288" s="411">
        <v>0</v>
      </c>
      <c r="H288" s="352">
        <f t="shared" si="63"/>
        <v>646864.92091022152</v>
      </c>
      <c r="I288" s="412">
        <v>24102.36943661972</v>
      </c>
      <c r="J288" s="355">
        <f>'B) D RI'!U289</f>
        <v>23661.341690140842</v>
      </c>
      <c r="K288" s="65">
        <f t="shared" si="65"/>
        <v>26.838229436787781</v>
      </c>
      <c r="L288" s="33">
        <f>'B) D RI'!S289</f>
        <v>71</v>
      </c>
      <c r="M288" s="33">
        <f t="shared" si="58"/>
        <v>44.161770563212215</v>
      </c>
      <c r="N288" s="33">
        <f>'J) Plafonnement effort'!G287+'J) Plafonnement effort'!H287-'K) Plafonnement aide'!I287</f>
        <v>29.785316373194128</v>
      </c>
      <c r="O288" s="130">
        <f t="shared" si="59"/>
        <v>73.94708693640635</v>
      </c>
      <c r="P288" s="47">
        <f t="shared" si="60"/>
        <v>0</v>
      </c>
      <c r="Q288" s="57">
        <f t="shared" si="66"/>
        <v>0</v>
      </c>
      <c r="R288" s="151">
        <f t="shared" si="61"/>
        <v>73.94708693640635</v>
      </c>
      <c r="S288" s="130">
        <f t="shared" si="62"/>
        <v>2.9470869364063503</v>
      </c>
      <c r="T288" s="150">
        <f t="shared" si="64"/>
        <v>0</v>
      </c>
      <c r="V288" s="12"/>
    </row>
    <row r="289" spans="1:22" x14ac:dyDescent="0.25">
      <c r="A289" s="49">
        <f>'A) Base RI'!A290</f>
        <v>5907</v>
      </c>
      <c r="B289" s="350" t="str">
        <f>'A) Base RI'!B290</f>
        <v>Chavannes-le-Chêne</v>
      </c>
      <c r="C289" s="410">
        <v>126393.24267270818</v>
      </c>
      <c r="D289" s="410">
        <v>-17867.688722645369</v>
      </c>
      <c r="E289" s="411">
        <v>0</v>
      </c>
      <c r="F289" s="411">
        <v>0</v>
      </c>
      <c r="G289" s="411">
        <v>0</v>
      </c>
      <c r="H289" s="352">
        <f t="shared" si="63"/>
        <v>108525.55395006281</v>
      </c>
      <c r="I289" s="412">
        <v>8071.0708974358949</v>
      </c>
      <c r="J289" s="355">
        <f>'B) D RI'!U290</f>
        <v>9481.5466666666634</v>
      </c>
      <c r="K289" s="65">
        <f t="shared" si="65"/>
        <v>13.446239703400497</v>
      </c>
      <c r="L289" s="33">
        <f>'B) D RI'!S290</f>
        <v>78</v>
      </c>
      <c r="M289" s="33">
        <f t="shared" si="58"/>
        <v>64.553760296599506</v>
      </c>
      <c r="N289" s="33">
        <f>'J) Plafonnement effort'!G288+'J) Plafonnement effort'!H288-'K) Plafonnement aide'!I288</f>
        <v>9.469717999052305</v>
      </c>
      <c r="O289" s="130">
        <f t="shared" si="59"/>
        <v>74.023478295651813</v>
      </c>
      <c r="P289" s="47">
        <f t="shared" si="60"/>
        <v>0</v>
      </c>
      <c r="Q289" s="57">
        <f t="shared" si="66"/>
        <v>0</v>
      </c>
      <c r="R289" s="151">
        <f t="shared" si="61"/>
        <v>74.023478295651813</v>
      </c>
      <c r="S289" s="130">
        <f t="shared" si="62"/>
        <v>-3.9765217043481869</v>
      </c>
      <c r="T289" s="150">
        <f t="shared" si="64"/>
        <v>0</v>
      </c>
      <c r="V289" s="12"/>
    </row>
    <row r="290" spans="1:22" x14ac:dyDescent="0.25">
      <c r="A290" s="49">
        <f>'A) Base RI'!A291</f>
        <v>5908</v>
      </c>
      <c r="B290" s="350" t="str">
        <f>'A) Base RI'!B291</f>
        <v>Chêne-Pâquier</v>
      </c>
      <c r="C290" s="410">
        <v>85729.838116084196</v>
      </c>
      <c r="D290" s="410">
        <v>-34748.831192647565</v>
      </c>
      <c r="E290" s="411">
        <v>0</v>
      </c>
      <c r="F290" s="411">
        <v>0</v>
      </c>
      <c r="G290" s="411">
        <v>-4240.3971810276853</v>
      </c>
      <c r="H290" s="352">
        <f t="shared" si="63"/>
        <v>46740.609742408946</v>
      </c>
      <c r="I290" s="412">
        <v>3125.58</v>
      </c>
      <c r="J290" s="355">
        <f>'B) D RI'!U291</f>
        <v>3375.4056962025325</v>
      </c>
      <c r="K290" s="65">
        <f t="shared" si="65"/>
        <v>14.954219614410428</v>
      </c>
      <c r="L290" s="33">
        <f>'B) D RI'!S291</f>
        <v>79</v>
      </c>
      <c r="M290" s="33">
        <f t="shared" si="58"/>
        <v>64.045780385589566</v>
      </c>
      <c r="N290" s="33">
        <f>'J) Plafonnement effort'!G289+'J) Plafonnement effort'!H289-'K) Plafonnement aide'!I289</f>
        <v>-5.473855611698685</v>
      </c>
      <c r="O290" s="130">
        <f t="shared" si="59"/>
        <v>58.571924773890885</v>
      </c>
      <c r="P290" s="47">
        <f t="shared" si="60"/>
        <v>0</v>
      </c>
      <c r="Q290" s="57">
        <f t="shared" si="66"/>
        <v>0</v>
      </c>
      <c r="R290" s="151">
        <f t="shared" si="61"/>
        <v>58.571924773890885</v>
      </c>
      <c r="S290" s="130">
        <f t="shared" si="62"/>
        <v>-20.428075226109115</v>
      </c>
      <c r="T290" s="150">
        <f t="shared" si="64"/>
        <v>0</v>
      </c>
      <c r="V290" s="12"/>
    </row>
    <row r="291" spans="1:22" x14ac:dyDescent="0.25">
      <c r="A291" s="49">
        <f>'A) Base RI'!A292</f>
        <v>5909</v>
      </c>
      <c r="B291" s="350" t="str">
        <f>'A) Base RI'!B292</f>
        <v>Cheseaux-Noréaz</v>
      </c>
      <c r="C291" s="410">
        <v>568651.28865769086</v>
      </c>
      <c r="D291" s="410">
        <v>549865.34281719383</v>
      </c>
      <c r="E291" s="411">
        <v>0</v>
      </c>
      <c r="F291" s="411">
        <v>0</v>
      </c>
      <c r="G291" s="411">
        <v>0</v>
      </c>
      <c r="H291" s="352">
        <f t="shared" si="63"/>
        <v>1118516.6314748847</v>
      </c>
      <c r="I291" s="412">
        <v>32763.333428571434</v>
      </c>
      <c r="J291" s="355">
        <f>'B) D RI'!U292</f>
        <v>32349.342000000001</v>
      </c>
      <c r="K291" s="65">
        <f t="shared" si="65"/>
        <v>34.139280544008272</v>
      </c>
      <c r="L291" s="33">
        <f>'B) D RI'!S292</f>
        <v>70</v>
      </c>
      <c r="M291" s="33">
        <f t="shared" si="58"/>
        <v>35.860719455991728</v>
      </c>
      <c r="N291" s="33">
        <f>'J) Plafonnement effort'!G290+'J) Plafonnement effort'!H290-'K) Plafonnement aide'!I290</f>
        <v>30.866384079673669</v>
      </c>
      <c r="O291" s="130">
        <f t="shared" si="59"/>
        <v>66.727103535665393</v>
      </c>
      <c r="P291" s="47">
        <f t="shared" si="60"/>
        <v>0</v>
      </c>
      <c r="Q291" s="57">
        <f t="shared" si="66"/>
        <v>0</v>
      </c>
      <c r="R291" s="151">
        <f t="shared" si="61"/>
        <v>66.727103535665393</v>
      </c>
      <c r="S291" s="130">
        <f t="shared" si="62"/>
        <v>-3.2728964643346075</v>
      </c>
      <c r="T291" s="150">
        <f t="shared" si="64"/>
        <v>0</v>
      </c>
      <c r="V291" s="12"/>
    </row>
    <row r="292" spans="1:22" x14ac:dyDescent="0.25">
      <c r="A292" s="49">
        <f>'A) Base RI'!A293</f>
        <v>5910</v>
      </c>
      <c r="B292" s="350" t="str">
        <f>'A) Base RI'!B293</f>
        <v>Cronay</v>
      </c>
      <c r="C292" s="410">
        <v>155170.14367736693</v>
      </c>
      <c r="D292" s="410">
        <v>-45923.093127977685</v>
      </c>
      <c r="E292" s="411">
        <v>0</v>
      </c>
      <c r="F292" s="411">
        <v>0</v>
      </c>
      <c r="G292" s="411">
        <v>0</v>
      </c>
      <c r="H292" s="352">
        <f t="shared" si="63"/>
        <v>109247.05054938924</v>
      </c>
      <c r="I292" s="412">
        <v>9653.2049367088639</v>
      </c>
      <c r="J292" s="355">
        <f>'B) D RI'!U293</f>
        <v>10200.577848101264</v>
      </c>
      <c r="K292" s="65">
        <f t="shared" si="65"/>
        <v>11.317179244164645</v>
      </c>
      <c r="L292" s="33">
        <f>'B) D RI'!S293</f>
        <v>79</v>
      </c>
      <c r="M292" s="33">
        <f t="shared" ref="M292:M314" si="67">L292-K292</f>
        <v>67.682820755835351</v>
      </c>
      <c r="N292" s="33">
        <f>'J) Plafonnement effort'!G291+'J) Plafonnement effort'!H291-'K) Plafonnement aide'!I291</f>
        <v>17.014196790169663</v>
      </c>
      <c r="O292" s="130">
        <f t="shared" si="59"/>
        <v>84.697017546005014</v>
      </c>
      <c r="P292" s="47">
        <f t="shared" si="60"/>
        <v>0</v>
      </c>
      <c r="Q292" s="57">
        <f t="shared" si="66"/>
        <v>0</v>
      </c>
      <c r="R292" s="151">
        <f t="shared" si="61"/>
        <v>84.697017546005014</v>
      </c>
      <c r="S292" s="130">
        <f t="shared" si="62"/>
        <v>5.6970175460050143</v>
      </c>
      <c r="T292" s="150">
        <f t="shared" si="64"/>
        <v>0</v>
      </c>
      <c r="V292" s="12"/>
    </row>
    <row r="293" spans="1:22" x14ac:dyDescent="0.25">
      <c r="A293" s="49">
        <f>'A) Base RI'!A294</f>
        <v>5911</v>
      </c>
      <c r="B293" s="350" t="str">
        <f>'A) Base RI'!B294</f>
        <v>Cuarny</v>
      </c>
      <c r="C293" s="410">
        <v>129694.03971289212</v>
      </c>
      <c r="D293" s="410">
        <v>6198.0164400663634</v>
      </c>
      <c r="E293" s="411">
        <v>0</v>
      </c>
      <c r="F293" s="411">
        <v>0</v>
      </c>
      <c r="G293" s="411">
        <v>0</v>
      </c>
      <c r="H293" s="352">
        <f t="shared" si="63"/>
        <v>135892.05615295848</v>
      </c>
      <c r="I293" s="412">
        <v>6896.824556962024</v>
      </c>
      <c r="J293" s="355">
        <f>'B) D RI'!U294</f>
        <v>7836.9853164556971</v>
      </c>
      <c r="K293" s="65">
        <f t="shared" si="65"/>
        <v>19.703568654038293</v>
      </c>
      <c r="L293" s="33">
        <f>'B) D RI'!S294</f>
        <v>79</v>
      </c>
      <c r="M293" s="33">
        <f t="shared" si="67"/>
        <v>59.296431345961707</v>
      </c>
      <c r="N293" s="33">
        <f>'J) Plafonnement effort'!G292+'J) Plafonnement effort'!H292-'K) Plafonnement aide'!I292</f>
        <v>17.237852342019789</v>
      </c>
      <c r="O293" s="130">
        <f t="shared" si="59"/>
        <v>76.5342836879815</v>
      </c>
      <c r="P293" s="47">
        <f t="shared" si="60"/>
        <v>0</v>
      </c>
      <c r="Q293" s="57">
        <f t="shared" si="66"/>
        <v>0</v>
      </c>
      <c r="R293" s="151">
        <f t="shared" si="61"/>
        <v>76.5342836879815</v>
      </c>
      <c r="S293" s="130">
        <f t="shared" si="62"/>
        <v>-2.4657163120185004</v>
      </c>
      <c r="T293" s="150">
        <f t="shared" si="64"/>
        <v>0</v>
      </c>
      <c r="V293" s="12"/>
    </row>
    <row r="294" spans="1:22" x14ac:dyDescent="0.25">
      <c r="A294" s="49">
        <f>'A) Base RI'!A295</f>
        <v>5912</v>
      </c>
      <c r="B294" s="350" t="str">
        <f>'A) Base RI'!B295</f>
        <v>Démoret</v>
      </c>
      <c r="C294" s="410">
        <v>45889.138565556335</v>
      </c>
      <c r="D294" s="410">
        <v>-38362.502151489993</v>
      </c>
      <c r="E294" s="411">
        <v>0</v>
      </c>
      <c r="F294" s="411">
        <v>0</v>
      </c>
      <c r="G294" s="411">
        <v>0</v>
      </c>
      <c r="H294" s="352">
        <f t="shared" si="63"/>
        <v>7526.6364140663427</v>
      </c>
      <c r="I294" s="412">
        <v>3136.4120987654323</v>
      </c>
      <c r="J294" s="355">
        <f>'B) D RI'!U295</f>
        <v>3965.4814814814822</v>
      </c>
      <c r="K294" s="65">
        <f t="shared" si="65"/>
        <v>2.3997600369635768</v>
      </c>
      <c r="L294" s="33">
        <f>'B) D RI'!S295</f>
        <v>81</v>
      </c>
      <c r="M294" s="33">
        <f t="shared" si="67"/>
        <v>78.600239963036429</v>
      </c>
      <c r="N294" s="33">
        <f>'J) Plafonnement effort'!G293+'J) Plafonnement effort'!H293-'K) Plafonnement aide'!I293</f>
        <v>3.2431678780849946</v>
      </c>
      <c r="O294" s="130">
        <f t="shared" si="59"/>
        <v>81.843407841121419</v>
      </c>
      <c r="P294" s="47">
        <f t="shared" si="60"/>
        <v>0</v>
      </c>
      <c r="Q294" s="57">
        <f t="shared" si="66"/>
        <v>0</v>
      </c>
      <c r="R294" s="151">
        <f t="shared" si="61"/>
        <v>81.843407841121419</v>
      </c>
      <c r="S294" s="130">
        <f t="shared" si="62"/>
        <v>0.84340784112141876</v>
      </c>
      <c r="T294" s="150">
        <f t="shared" si="64"/>
        <v>0</v>
      </c>
      <c r="V294" s="12"/>
    </row>
    <row r="295" spans="1:22" x14ac:dyDescent="0.25">
      <c r="A295" s="49">
        <f>'A) Base RI'!A296</f>
        <v>5913</v>
      </c>
      <c r="B295" s="350" t="str">
        <f>'A) Base RI'!B296</f>
        <v>Donneloye</v>
      </c>
      <c r="C295" s="410">
        <v>378431.9073714352</v>
      </c>
      <c r="D295" s="410">
        <v>-34385.338417086867</v>
      </c>
      <c r="E295" s="411">
        <v>0</v>
      </c>
      <c r="F295" s="411">
        <v>0</v>
      </c>
      <c r="G295" s="411">
        <v>0</v>
      </c>
      <c r="H295" s="352">
        <f t="shared" si="63"/>
        <v>344046.56895434833</v>
      </c>
      <c r="I295" s="412">
        <v>20372.909452054791</v>
      </c>
      <c r="J295" s="355">
        <f>'B) D RI'!U296</f>
        <v>21603.148082191776</v>
      </c>
      <c r="K295" s="65">
        <f t="shared" si="65"/>
        <v>16.88745388890187</v>
      </c>
      <c r="L295" s="33">
        <f>'B) D RI'!S296</f>
        <v>73</v>
      </c>
      <c r="M295" s="33">
        <f t="shared" si="67"/>
        <v>56.112546111098126</v>
      </c>
      <c r="N295" s="33">
        <f>'J) Plafonnement effort'!G294+'J) Plafonnement effort'!H294-'K) Plafonnement aide'!I294</f>
        <v>14.415650535179095</v>
      </c>
      <c r="O295" s="130">
        <f t="shared" si="59"/>
        <v>70.528196646277223</v>
      </c>
      <c r="P295" s="47">
        <f t="shared" si="60"/>
        <v>0</v>
      </c>
      <c r="Q295" s="57">
        <f t="shared" si="66"/>
        <v>0</v>
      </c>
      <c r="R295" s="151">
        <f t="shared" si="61"/>
        <v>70.528196646277223</v>
      </c>
      <c r="S295" s="130">
        <f t="shared" si="62"/>
        <v>-2.4718033537227768</v>
      </c>
      <c r="T295" s="150">
        <f t="shared" si="64"/>
        <v>0</v>
      </c>
      <c r="V295" s="12"/>
    </row>
    <row r="296" spans="1:22" x14ac:dyDescent="0.25">
      <c r="A296" s="49">
        <f>'A) Base RI'!A297</f>
        <v>5914</v>
      </c>
      <c r="B296" s="350" t="str">
        <f>'A) Base RI'!B297</f>
        <v>Ependes</v>
      </c>
      <c r="C296" s="410">
        <v>155781.27370563301</v>
      </c>
      <c r="D296" s="410">
        <v>-11740.863610728498</v>
      </c>
      <c r="E296" s="411">
        <v>0</v>
      </c>
      <c r="F296" s="411">
        <v>0</v>
      </c>
      <c r="G296" s="411">
        <v>0</v>
      </c>
      <c r="H296" s="352">
        <f t="shared" si="63"/>
        <v>144040.41009490451</v>
      </c>
      <c r="I296" s="412">
        <v>9355.5792000000001</v>
      </c>
      <c r="J296" s="355">
        <f>'B) D RI'!U297</f>
        <v>10115.447866666666</v>
      </c>
      <c r="K296" s="65">
        <f t="shared" si="65"/>
        <v>15.396204448240308</v>
      </c>
      <c r="L296" s="33">
        <f>'B) D RI'!S297</f>
        <v>75</v>
      </c>
      <c r="M296" s="33">
        <f t="shared" si="67"/>
        <v>59.603795551759688</v>
      </c>
      <c r="N296" s="33">
        <f>'J) Plafonnement effort'!G295+'J) Plafonnement effort'!H295-'K) Plafonnement aide'!I295</f>
        <v>11.971063970797413</v>
      </c>
      <c r="O296" s="130">
        <f t="shared" si="59"/>
        <v>71.574859522557105</v>
      </c>
      <c r="P296" s="47">
        <f t="shared" si="60"/>
        <v>0</v>
      </c>
      <c r="Q296" s="57">
        <f t="shared" si="66"/>
        <v>0</v>
      </c>
      <c r="R296" s="151">
        <f t="shared" si="61"/>
        <v>71.574859522557105</v>
      </c>
      <c r="S296" s="130">
        <f t="shared" si="62"/>
        <v>-3.4251404774428948</v>
      </c>
      <c r="T296" s="150">
        <f t="shared" si="64"/>
        <v>0</v>
      </c>
      <c r="V296" s="12"/>
    </row>
    <row r="297" spans="1:22" x14ac:dyDescent="0.25">
      <c r="A297" s="49">
        <f>'A) Base RI'!A298</f>
        <v>5919</v>
      </c>
      <c r="B297" s="350" t="str">
        <f>'A) Base RI'!B298</f>
        <v>Mathod</v>
      </c>
      <c r="C297" s="410">
        <v>358481.97427605093</v>
      </c>
      <c r="D297" s="410">
        <v>51294.831522751949</v>
      </c>
      <c r="E297" s="411">
        <v>0</v>
      </c>
      <c r="F297" s="411">
        <v>0</v>
      </c>
      <c r="G297" s="411">
        <v>0</v>
      </c>
      <c r="H297" s="352">
        <f t="shared" si="63"/>
        <v>409776.80579880287</v>
      </c>
      <c r="I297" s="412">
        <v>17162.928379629626</v>
      </c>
      <c r="J297" s="355">
        <f>'B) D RI'!U298</f>
        <v>17475.442962962959</v>
      </c>
      <c r="K297" s="65">
        <f t="shared" si="65"/>
        <v>23.875692815053618</v>
      </c>
      <c r="L297" s="33">
        <f>'B) D RI'!S298</f>
        <v>72</v>
      </c>
      <c r="M297" s="33">
        <f t="shared" si="67"/>
        <v>48.124307184946382</v>
      </c>
      <c r="N297" s="33">
        <f>'J) Plafonnement effort'!G296+'J) Plafonnement effort'!H296-'K) Plafonnement aide'!I296</f>
        <v>14.197620936046821</v>
      </c>
      <c r="O297" s="130">
        <f t="shared" si="59"/>
        <v>62.321928120993206</v>
      </c>
      <c r="P297" s="47">
        <f t="shared" si="60"/>
        <v>0</v>
      </c>
      <c r="Q297" s="57">
        <f t="shared" si="66"/>
        <v>0</v>
      </c>
      <c r="R297" s="151">
        <f t="shared" si="61"/>
        <v>62.321928120993206</v>
      </c>
      <c r="S297" s="130">
        <f t="shared" si="62"/>
        <v>-9.6780718790067937</v>
      </c>
      <c r="T297" s="150">
        <f t="shared" si="64"/>
        <v>0</v>
      </c>
      <c r="V297" s="12"/>
    </row>
    <row r="298" spans="1:22" x14ac:dyDescent="0.25">
      <c r="A298" s="49">
        <f>'A) Base RI'!A299</f>
        <v>5921</v>
      </c>
      <c r="B298" s="350" t="str">
        <f>'A) Base RI'!B299</f>
        <v>Molondin</v>
      </c>
      <c r="C298" s="410">
        <v>92222.77634178687</v>
      </c>
      <c r="D298" s="410">
        <v>-49029.40331934554</v>
      </c>
      <c r="E298" s="411">
        <v>0</v>
      </c>
      <c r="F298" s="411">
        <v>0</v>
      </c>
      <c r="G298" s="411">
        <v>0</v>
      </c>
      <c r="H298" s="352">
        <f t="shared" si="63"/>
        <v>43193.37302244133</v>
      </c>
      <c r="I298" s="412">
        <v>5558.427777777777</v>
      </c>
      <c r="J298" s="355">
        <f>'B) D RI'!U299</f>
        <v>5665.6146913580242</v>
      </c>
      <c r="K298" s="65">
        <f t="shared" si="65"/>
        <v>7.7707896457925658</v>
      </c>
      <c r="L298" s="33">
        <f>'B) D RI'!S299</f>
        <v>81</v>
      </c>
      <c r="M298" s="33">
        <f t="shared" si="67"/>
        <v>73.229210354207439</v>
      </c>
      <c r="N298" s="33">
        <f>'J) Plafonnement effort'!G297+'J) Plafonnement effort'!H297-'K) Plafonnement aide'!I297</f>
        <v>0.78036428951782977</v>
      </c>
      <c r="O298" s="130">
        <f t="shared" si="59"/>
        <v>74.009574643725273</v>
      </c>
      <c r="P298" s="47">
        <f t="shared" si="60"/>
        <v>0</v>
      </c>
      <c r="Q298" s="57">
        <f t="shared" si="66"/>
        <v>0</v>
      </c>
      <c r="R298" s="151">
        <f t="shared" si="61"/>
        <v>74.009574643725273</v>
      </c>
      <c r="S298" s="130">
        <f t="shared" si="62"/>
        <v>-6.9904253562747272</v>
      </c>
      <c r="T298" s="150">
        <f t="shared" si="64"/>
        <v>0</v>
      </c>
      <c r="V298" s="12"/>
    </row>
    <row r="299" spans="1:22" x14ac:dyDescent="0.25">
      <c r="A299" s="49">
        <f>'A) Base RI'!A300</f>
        <v>5922</v>
      </c>
      <c r="B299" s="350" t="str">
        <f>'A) Base RI'!B300</f>
        <v>Montagny-près-Yverdon</v>
      </c>
      <c r="C299" s="410">
        <v>817044.77941340464</v>
      </c>
      <c r="D299" s="410">
        <v>672202.59652399539</v>
      </c>
      <c r="E299" s="411">
        <v>0</v>
      </c>
      <c r="F299" s="411">
        <v>0</v>
      </c>
      <c r="G299" s="411">
        <v>0</v>
      </c>
      <c r="H299" s="352">
        <f t="shared" si="63"/>
        <v>1489247.3759373999</v>
      </c>
      <c r="I299" s="412">
        <v>39297.928807692319</v>
      </c>
      <c r="J299" s="355">
        <f>'B) D RI'!U300</f>
        <v>37619.371576923077</v>
      </c>
      <c r="K299" s="65">
        <f t="shared" si="65"/>
        <v>37.896332481672403</v>
      </c>
      <c r="L299" s="33">
        <f>'B) D RI'!S300</f>
        <v>65</v>
      </c>
      <c r="M299" s="33">
        <f t="shared" si="67"/>
        <v>27.103667518327597</v>
      </c>
      <c r="N299" s="33">
        <f>'J) Plafonnement effort'!G298+'J) Plafonnement effort'!H298-'K) Plafonnement aide'!I298</f>
        <v>32.019344319381311</v>
      </c>
      <c r="O299" s="130">
        <f t="shared" si="59"/>
        <v>59.123011837708908</v>
      </c>
      <c r="P299" s="47">
        <f t="shared" si="60"/>
        <v>0</v>
      </c>
      <c r="Q299" s="57">
        <f t="shared" si="66"/>
        <v>0</v>
      </c>
      <c r="R299" s="151">
        <f t="shared" si="61"/>
        <v>59.123011837708908</v>
      </c>
      <c r="S299" s="130">
        <f t="shared" si="62"/>
        <v>-5.8769881622910916</v>
      </c>
      <c r="T299" s="150">
        <f t="shared" si="64"/>
        <v>0</v>
      </c>
      <c r="V299" s="12"/>
    </row>
    <row r="300" spans="1:22" x14ac:dyDescent="0.25">
      <c r="A300" s="49">
        <f>'A) Base RI'!A301</f>
        <v>5923</v>
      </c>
      <c r="B300" s="350" t="str">
        <f>'A) Base RI'!B301</f>
        <v>Oppens</v>
      </c>
      <c r="C300" s="410">
        <v>92000.45666823865</v>
      </c>
      <c r="D300" s="410">
        <v>-17820.529182339495</v>
      </c>
      <c r="E300" s="411">
        <v>0</v>
      </c>
      <c r="F300" s="411">
        <v>0</v>
      </c>
      <c r="G300" s="411">
        <v>0</v>
      </c>
      <c r="H300" s="352">
        <f t="shared" si="63"/>
        <v>74179.927485899156</v>
      </c>
      <c r="I300" s="412">
        <v>5148.3425925925922</v>
      </c>
      <c r="J300" s="355">
        <f>'B) D RI'!U301</f>
        <v>5399.502592592592</v>
      </c>
      <c r="K300" s="65">
        <f t="shared" si="65"/>
        <v>14.4085064565495</v>
      </c>
      <c r="L300" s="33">
        <f>'B) D RI'!S301</f>
        <v>81</v>
      </c>
      <c r="M300" s="33">
        <f t="shared" si="67"/>
        <v>66.591493543450497</v>
      </c>
      <c r="N300" s="33">
        <f>'J) Plafonnement effort'!G299+'J) Plafonnement effort'!H299-'K) Plafonnement aide'!I299</f>
        <v>7.1381398689524875</v>
      </c>
      <c r="O300" s="130">
        <f t="shared" si="59"/>
        <v>73.72963341240299</v>
      </c>
      <c r="P300" s="47">
        <f t="shared" si="60"/>
        <v>0</v>
      </c>
      <c r="Q300" s="57">
        <f t="shared" si="66"/>
        <v>0</v>
      </c>
      <c r="R300" s="151">
        <f t="shared" si="61"/>
        <v>73.72963341240299</v>
      </c>
      <c r="S300" s="130">
        <f t="shared" si="62"/>
        <v>-7.2703665875970103</v>
      </c>
      <c r="T300" s="150">
        <f t="shared" si="64"/>
        <v>0</v>
      </c>
      <c r="V300" s="12"/>
    </row>
    <row r="301" spans="1:22" x14ac:dyDescent="0.25">
      <c r="A301" s="49">
        <f>'A) Base RI'!A302</f>
        <v>5924</v>
      </c>
      <c r="B301" s="350" t="str">
        <f>'A) Base RI'!B302</f>
        <v>Orges</v>
      </c>
      <c r="C301" s="410">
        <v>176286.03794160351</v>
      </c>
      <c r="D301" s="410">
        <v>71375.136299139092</v>
      </c>
      <c r="E301" s="411">
        <v>0</v>
      </c>
      <c r="F301" s="411">
        <v>0</v>
      </c>
      <c r="G301" s="411">
        <v>0</v>
      </c>
      <c r="H301" s="352">
        <f t="shared" si="63"/>
        <v>247661.17424074261</v>
      </c>
      <c r="I301" s="412">
        <v>10554.565405405407</v>
      </c>
      <c r="J301" s="355">
        <f>'B) D RI'!U302</f>
        <v>11911.353243243244</v>
      </c>
      <c r="K301" s="65">
        <f t="shared" si="65"/>
        <v>23.464838648297693</v>
      </c>
      <c r="L301" s="33">
        <f>'B) D RI'!S302</f>
        <v>74</v>
      </c>
      <c r="M301" s="33">
        <f t="shared" si="67"/>
        <v>50.535161351702307</v>
      </c>
      <c r="N301" s="33">
        <f>'J) Plafonnement effort'!G300+'J) Plafonnement effort'!H300-'K) Plafonnement aide'!I300</f>
        <v>28.410879703293709</v>
      </c>
      <c r="O301" s="130">
        <f t="shared" si="59"/>
        <v>78.946041054996016</v>
      </c>
      <c r="P301" s="47">
        <f t="shared" si="60"/>
        <v>0</v>
      </c>
      <c r="Q301" s="57">
        <f t="shared" si="66"/>
        <v>0</v>
      </c>
      <c r="R301" s="151">
        <f t="shared" si="61"/>
        <v>78.946041054996016</v>
      </c>
      <c r="S301" s="130">
        <f t="shared" si="62"/>
        <v>4.9460410549960159</v>
      </c>
      <c r="T301" s="150">
        <f t="shared" si="64"/>
        <v>0</v>
      </c>
      <c r="V301" s="12"/>
    </row>
    <row r="302" spans="1:22" x14ac:dyDescent="0.25">
      <c r="A302" s="49">
        <f>'A) Base RI'!A303</f>
        <v>5925</v>
      </c>
      <c r="B302" s="350" t="str">
        <f>'A) Base RI'!B303</f>
        <v>Orzens</v>
      </c>
      <c r="C302" s="410">
        <v>107019.24326966572</v>
      </c>
      <c r="D302" s="410">
        <v>6320.808872376525</v>
      </c>
      <c r="E302" s="411">
        <v>0</v>
      </c>
      <c r="F302" s="411">
        <v>0</v>
      </c>
      <c r="G302" s="411">
        <v>0</v>
      </c>
      <c r="H302" s="352">
        <f t="shared" si="63"/>
        <v>113340.05214204224</v>
      </c>
      <c r="I302" s="412">
        <v>5593.0722784810123</v>
      </c>
      <c r="J302" s="355">
        <f>'B) D RI'!U303</f>
        <v>5348.3883544303808</v>
      </c>
      <c r="K302" s="65">
        <f t="shared" si="65"/>
        <v>20.264363930734607</v>
      </c>
      <c r="L302" s="33">
        <f>'B) D RI'!S303</f>
        <v>79</v>
      </c>
      <c r="M302" s="33">
        <f t="shared" si="67"/>
        <v>58.735636069265396</v>
      </c>
      <c r="N302" s="33">
        <f>'J) Plafonnement effort'!G301+'J) Plafonnement effort'!H301-'K) Plafonnement aide'!I301</f>
        <v>19.000367764087748</v>
      </c>
      <c r="O302" s="130">
        <f t="shared" si="59"/>
        <v>77.736003833353152</v>
      </c>
      <c r="P302" s="47">
        <f t="shared" si="60"/>
        <v>0</v>
      </c>
      <c r="Q302" s="57">
        <f t="shared" si="66"/>
        <v>0</v>
      </c>
      <c r="R302" s="151">
        <f t="shared" si="61"/>
        <v>77.736003833353152</v>
      </c>
      <c r="S302" s="130">
        <f t="shared" si="62"/>
        <v>-1.263996166646848</v>
      </c>
      <c r="T302" s="150">
        <f t="shared" si="64"/>
        <v>0</v>
      </c>
      <c r="V302" s="12"/>
    </row>
    <row r="303" spans="1:22" x14ac:dyDescent="0.25">
      <c r="A303" s="49">
        <f>'A) Base RI'!A304</f>
        <v>5926</v>
      </c>
      <c r="B303" s="350" t="str">
        <f>'A) Base RI'!B304</f>
        <v>Pomy</v>
      </c>
      <c r="C303" s="410">
        <v>417679.79806213436</v>
      </c>
      <c r="D303" s="410">
        <v>256348.77267744334</v>
      </c>
      <c r="E303" s="411">
        <v>0</v>
      </c>
      <c r="F303" s="411">
        <v>0</v>
      </c>
      <c r="G303" s="411">
        <v>0</v>
      </c>
      <c r="H303" s="352">
        <f t="shared" si="63"/>
        <v>674028.57073957776</v>
      </c>
      <c r="I303" s="412">
        <v>26612.015633802817</v>
      </c>
      <c r="J303" s="355">
        <f>'B) D RI'!U304</f>
        <v>27563.954929577467</v>
      </c>
      <c r="K303" s="65">
        <f t="shared" si="65"/>
        <v>25.327978910527193</v>
      </c>
      <c r="L303" s="33">
        <f>'B) D RI'!S304</f>
        <v>71</v>
      </c>
      <c r="M303" s="33">
        <f t="shared" si="67"/>
        <v>45.672021089472807</v>
      </c>
      <c r="N303" s="33">
        <f>'J) Plafonnement effort'!G302+'J) Plafonnement effort'!H302-'K) Plafonnement aide'!I302</f>
        <v>24.451700086431124</v>
      </c>
      <c r="O303" s="130">
        <f t="shared" si="59"/>
        <v>70.123721175903938</v>
      </c>
      <c r="P303" s="47">
        <f t="shared" si="60"/>
        <v>0</v>
      </c>
      <c r="Q303" s="57">
        <f t="shared" si="66"/>
        <v>0</v>
      </c>
      <c r="R303" s="151">
        <f t="shared" si="61"/>
        <v>70.123721175903938</v>
      </c>
      <c r="S303" s="130">
        <f t="shared" si="62"/>
        <v>-0.87627882409606173</v>
      </c>
      <c r="T303" s="150">
        <f t="shared" si="64"/>
        <v>0</v>
      </c>
      <c r="V303" s="12"/>
    </row>
    <row r="304" spans="1:22" x14ac:dyDescent="0.25">
      <c r="A304" s="49">
        <f>'A) Base RI'!A305</f>
        <v>5928</v>
      </c>
      <c r="B304" s="350" t="str">
        <f>'A) Base RI'!B305</f>
        <v>Rovray</v>
      </c>
      <c r="C304" s="410">
        <v>77650.711022877833</v>
      </c>
      <c r="D304" s="410">
        <v>-15634.584927827163</v>
      </c>
      <c r="E304" s="411">
        <v>0</v>
      </c>
      <c r="F304" s="411">
        <v>0</v>
      </c>
      <c r="G304" s="411">
        <v>0</v>
      </c>
      <c r="H304" s="352">
        <f t="shared" si="63"/>
        <v>62016.126095050669</v>
      </c>
      <c r="I304" s="412">
        <v>4333.9980821917816</v>
      </c>
      <c r="J304" s="355">
        <f>'B) D RI'!U305</f>
        <v>6002.0193150684927</v>
      </c>
      <c r="K304" s="65">
        <f t="shared" si="65"/>
        <v>14.309218628838892</v>
      </c>
      <c r="L304" s="33">
        <f>'B) D RI'!S305</f>
        <v>73</v>
      </c>
      <c r="M304" s="33">
        <f t="shared" si="67"/>
        <v>58.690781371161108</v>
      </c>
      <c r="N304" s="33">
        <f>'J) Plafonnement effort'!G303+'J) Plafonnement effort'!H303-'K) Plafonnement aide'!I303</f>
        <v>25.658274836112508</v>
      </c>
      <c r="O304" s="130">
        <f t="shared" si="59"/>
        <v>84.34905620727362</v>
      </c>
      <c r="P304" s="47">
        <f t="shared" si="60"/>
        <v>0</v>
      </c>
      <c r="Q304" s="57">
        <f t="shared" si="66"/>
        <v>0</v>
      </c>
      <c r="R304" s="151">
        <f t="shared" si="61"/>
        <v>84.34905620727362</v>
      </c>
      <c r="S304" s="130">
        <f t="shared" si="62"/>
        <v>11.34905620727362</v>
      </c>
      <c r="T304" s="150">
        <f t="shared" si="64"/>
        <v>0</v>
      </c>
      <c r="V304" s="12"/>
    </row>
    <row r="305" spans="1:22" x14ac:dyDescent="0.25">
      <c r="A305" s="49">
        <f>'A) Base RI'!A306</f>
        <v>5929</v>
      </c>
      <c r="B305" s="350" t="str">
        <f>'A) Base RI'!B306</f>
        <v>Suchy</v>
      </c>
      <c r="C305" s="410">
        <v>299719.43246758013</v>
      </c>
      <c r="D305" s="410">
        <v>74163.307194047549</v>
      </c>
      <c r="E305" s="411">
        <v>0</v>
      </c>
      <c r="F305" s="411">
        <v>0</v>
      </c>
      <c r="G305" s="411">
        <v>0</v>
      </c>
      <c r="H305" s="352">
        <f t="shared" si="63"/>
        <v>373882.73966162768</v>
      </c>
      <c r="I305" s="412">
        <v>17148.792607142859</v>
      </c>
      <c r="J305" s="355">
        <f>'B) D RI'!U306</f>
        <v>17258.460214285715</v>
      </c>
      <c r="K305" s="65">
        <f t="shared" si="65"/>
        <v>21.802277759537258</v>
      </c>
      <c r="L305" s="33">
        <f>'B) D RI'!S306</f>
        <v>70</v>
      </c>
      <c r="M305" s="33">
        <f t="shared" si="67"/>
        <v>48.197722240462738</v>
      </c>
      <c r="N305" s="33">
        <f>'J) Plafonnement effort'!G304+'J) Plafonnement effort'!H304-'K) Plafonnement aide'!I304</f>
        <v>19.833066245954573</v>
      </c>
      <c r="O305" s="130">
        <f t="shared" si="59"/>
        <v>68.030788486417308</v>
      </c>
      <c r="P305" s="47">
        <f t="shared" si="60"/>
        <v>0</v>
      </c>
      <c r="Q305" s="57">
        <f t="shared" si="66"/>
        <v>0</v>
      </c>
      <c r="R305" s="151">
        <f t="shared" si="61"/>
        <v>68.030788486417308</v>
      </c>
      <c r="S305" s="130">
        <f t="shared" si="62"/>
        <v>-1.9692115135826924</v>
      </c>
      <c r="T305" s="150">
        <f t="shared" si="64"/>
        <v>0</v>
      </c>
      <c r="V305" s="12"/>
    </row>
    <row r="306" spans="1:22" x14ac:dyDescent="0.25">
      <c r="A306" s="49">
        <f>'A) Base RI'!A307</f>
        <v>5930</v>
      </c>
      <c r="B306" s="350" t="str">
        <f>'A) Base RI'!B307</f>
        <v>Suscévaz</v>
      </c>
      <c r="C306" s="410">
        <v>117078.90689925717</v>
      </c>
      <c r="D306" s="410">
        <v>14876.183186302413</v>
      </c>
      <c r="E306" s="411">
        <v>0</v>
      </c>
      <c r="F306" s="411">
        <v>0</v>
      </c>
      <c r="G306" s="411">
        <v>0</v>
      </c>
      <c r="H306" s="352">
        <f t="shared" si="63"/>
        <v>131955.09008555958</v>
      </c>
      <c r="I306" s="412">
        <v>5907.1765277777777</v>
      </c>
      <c r="J306" s="355">
        <f>'B) D RI'!U307</f>
        <v>5852.6869444444428</v>
      </c>
      <c r="K306" s="65">
        <f t="shared" si="65"/>
        <v>22.338098322448442</v>
      </c>
      <c r="L306" s="33">
        <f>'B) D RI'!S307</f>
        <v>72</v>
      </c>
      <c r="M306" s="33">
        <f t="shared" si="67"/>
        <v>49.661901677551555</v>
      </c>
      <c r="N306" s="33">
        <f>'J) Plafonnement effort'!G305+'J) Plafonnement effort'!H305-'K) Plafonnement aide'!I305</f>
        <v>9.512254411888712</v>
      </c>
      <c r="O306" s="130">
        <f t="shared" si="59"/>
        <v>59.174156089440267</v>
      </c>
      <c r="P306" s="47">
        <f t="shared" si="60"/>
        <v>0</v>
      </c>
      <c r="Q306" s="57">
        <f t="shared" si="66"/>
        <v>0</v>
      </c>
      <c r="R306" s="151">
        <f t="shared" si="61"/>
        <v>59.174156089440267</v>
      </c>
      <c r="S306" s="130">
        <f t="shared" si="62"/>
        <v>-12.825843910559733</v>
      </c>
      <c r="T306" s="150">
        <f t="shared" si="64"/>
        <v>0</v>
      </c>
      <c r="V306" s="12"/>
    </row>
    <row r="307" spans="1:22" x14ac:dyDescent="0.25">
      <c r="A307" s="49">
        <f>'A) Base RI'!A308</f>
        <v>5931</v>
      </c>
      <c r="B307" s="350" t="str">
        <f>'A) Base RI'!B308</f>
        <v>Treycovagnes</v>
      </c>
      <c r="C307" s="410">
        <v>224331.91510749032</v>
      </c>
      <c r="D307" s="410">
        <v>4959.0604533057776</v>
      </c>
      <c r="E307" s="411">
        <v>0</v>
      </c>
      <c r="F307" s="411">
        <v>0</v>
      </c>
      <c r="G307" s="411">
        <v>0</v>
      </c>
      <c r="H307" s="352">
        <f t="shared" si="63"/>
        <v>229290.9755607961</v>
      </c>
      <c r="I307" s="412">
        <v>12973.060799999999</v>
      </c>
      <c r="J307" s="355">
        <f>'B) D RI'!U308</f>
        <v>12202.115733333332</v>
      </c>
      <c r="K307" s="65">
        <f t="shared" si="65"/>
        <v>17.674393043837128</v>
      </c>
      <c r="L307" s="33">
        <f>'B) D RI'!S308</f>
        <v>75</v>
      </c>
      <c r="M307" s="33">
        <f t="shared" si="67"/>
        <v>57.325606956162872</v>
      </c>
      <c r="N307" s="33">
        <f>'J) Plafonnement effort'!G306+'J) Plafonnement effort'!H306-'K) Plafonnement aide'!I306</f>
        <v>10.911592825740588</v>
      </c>
      <c r="O307" s="130">
        <f t="shared" si="59"/>
        <v>68.237199781903456</v>
      </c>
      <c r="P307" s="47">
        <f t="shared" si="60"/>
        <v>0</v>
      </c>
      <c r="Q307" s="57">
        <f t="shared" si="66"/>
        <v>0</v>
      </c>
      <c r="R307" s="151">
        <f t="shared" si="61"/>
        <v>68.237199781903456</v>
      </c>
      <c r="S307" s="130">
        <f t="shared" si="62"/>
        <v>-6.7628002180965439</v>
      </c>
      <c r="T307" s="150">
        <f t="shared" si="64"/>
        <v>0</v>
      </c>
      <c r="V307" s="12"/>
    </row>
    <row r="308" spans="1:22" x14ac:dyDescent="0.25">
      <c r="A308" s="49">
        <f>'A) Base RI'!A309</f>
        <v>5932</v>
      </c>
      <c r="B308" s="350" t="str">
        <f>'A) Base RI'!B309</f>
        <v>Ursins</v>
      </c>
      <c r="C308" s="410">
        <v>121428.22518792943</v>
      </c>
      <c r="D308" s="410">
        <v>17229.295468349999</v>
      </c>
      <c r="E308" s="411">
        <v>0</v>
      </c>
      <c r="F308" s="411">
        <v>0</v>
      </c>
      <c r="G308" s="411">
        <v>0</v>
      </c>
      <c r="H308" s="352">
        <f t="shared" si="63"/>
        <v>138657.52065627943</v>
      </c>
      <c r="I308" s="412">
        <v>6683.323116883118</v>
      </c>
      <c r="J308" s="355">
        <f>'B) D RI'!U309</f>
        <v>8278.3758441558457</v>
      </c>
      <c r="K308" s="65">
        <f t="shared" si="65"/>
        <v>20.746792909953566</v>
      </c>
      <c r="L308" s="33">
        <f>'B) D RI'!S309</f>
        <v>77</v>
      </c>
      <c r="M308" s="33">
        <f t="shared" si="67"/>
        <v>56.25320709004643</v>
      </c>
      <c r="N308" s="33">
        <f>'J) Plafonnement effort'!G307+'J) Plafonnement effort'!H307-'K) Plafonnement aide'!I307</f>
        <v>26.135683360792115</v>
      </c>
      <c r="O308" s="130">
        <f t="shared" si="59"/>
        <v>82.388890450838545</v>
      </c>
      <c r="P308" s="47">
        <f t="shared" si="60"/>
        <v>0</v>
      </c>
      <c r="Q308" s="57">
        <f t="shared" si="66"/>
        <v>0</v>
      </c>
      <c r="R308" s="151">
        <f t="shared" si="61"/>
        <v>82.388890450838545</v>
      </c>
      <c r="S308" s="130">
        <f t="shared" si="62"/>
        <v>5.3888904508385451</v>
      </c>
      <c r="T308" s="150">
        <f t="shared" si="64"/>
        <v>0</v>
      </c>
      <c r="V308" s="12"/>
    </row>
    <row r="309" spans="1:22" x14ac:dyDescent="0.25">
      <c r="A309" s="49">
        <f>'A) Base RI'!A310</f>
        <v>5933</v>
      </c>
      <c r="B309" s="350" t="str">
        <f>'A) Base RI'!B310</f>
        <v>Valeyres-sous-Montagny</v>
      </c>
      <c r="C309" s="410">
        <v>374064.73958899698</v>
      </c>
      <c r="D309" s="410">
        <v>157403.98364701041</v>
      </c>
      <c r="E309" s="411">
        <v>0</v>
      </c>
      <c r="F309" s="411">
        <v>0</v>
      </c>
      <c r="G309" s="411">
        <v>0</v>
      </c>
      <c r="H309" s="352">
        <f t="shared" si="63"/>
        <v>531468.72323600738</v>
      </c>
      <c r="I309" s="412">
        <v>22363.871527777774</v>
      </c>
      <c r="J309" s="355">
        <f>'B) D RI'!U310</f>
        <v>22135.641944444447</v>
      </c>
      <c r="K309" s="65">
        <f t="shared" si="65"/>
        <v>23.764611712058862</v>
      </c>
      <c r="L309" s="33">
        <f>'B) D RI'!S310</f>
        <v>72</v>
      </c>
      <c r="M309" s="33">
        <f t="shared" si="67"/>
        <v>48.235388287941134</v>
      </c>
      <c r="N309" s="33">
        <f>'J) Plafonnement effort'!G308+'J) Plafonnement effort'!H308-'K) Plafonnement aide'!I308</f>
        <v>18.051104200422888</v>
      </c>
      <c r="O309" s="130">
        <f t="shared" si="59"/>
        <v>66.286492488364019</v>
      </c>
      <c r="P309" s="47">
        <f t="shared" si="60"/>
        <v>0</v>
      </c>
      <c r="Q309" s="57">
        <f t="shared" si="66"/>
        <v>0</v>
      </c>
      <c r="R309" s="151">
        <f t="shared" si="61"/>
        <v>66.286492488364019</v>
      </c>
      <c r="S309" s="130">
        <f t="shared" si="62"/>
        <v>-5.7135075116359815</v>
      </c>
      <c r="T309" s="150">
        <f t="shared" si="64"/>
        <v>0</v>
      </c>
      <c r="V309" s="12"/>
    </row>
    <row r="310" spans="1:22" x14ac:dyDescent="0.25">
      <c r="A310" s="49">
        <f>'A) Base RI'!A311</f>
        <v>5934</v>
      </c>
      <c r="B310" s="350" t="str">
        <f>'A) Base RI'!B311</f>
        <v>Valeyres-sous-Ursins</v>
      </c>
      <c r="C310" s="410">
        <v>112967.08762974221</v>
      </c>
      <c r="D310" s="410">
        <v>51441.854047931265</v>
      </c>
      <c r="E310" s="411">
        <v>0</v>
      </c>
      <c r="F310" s="411">
        <v>0</v>
      </c>
      <c r="G310" s="411">
        <v>0</v>
      </c>
      <c r="H310" s="352">
        <f t="shared" si="63"/>
        <v>164408.94167767349</v>
      </c>
      <c r="I310" s="412">
        <v>7624.9658227848104</v>
      </c>
      <c r="J310" s="355">
        <f>'B) D RI'!U311</f>
        <v>7563.0520253164568</v>
      </c>
      <c r="K310" s="65">
        <f t="shared" si="65"/>
        <v>21.561925062849348</v>
      </c>
      <c r="L310" s="33">
        <f>'B) D RI'!S311</f>
        <v>79</v>
      </c>
      <c r="M310" s="33">
        <f t="shared" si="67"/>
        <v>57.438074937150652</v>
      </c>
      <c r="N310" s="33">
        <f>'J) Plafonnement effort'!G309+'J) Plafonnement effort'!H309-'K) Plafonnement aide'!I309</f>
        <v>3.2601787348144313</v>
      </c>
      <c r="O310" s="130">
        <f t="shared" si="59"/>
        <v>60.698253671965084</v>
      </c>
      <c r="P310" s="47">
        <f t="shared" si="60"/>
        <v>0</v>
      </c>
      <c r="Q310" s="57">
        <f t="shared" si="66"/>
        <v>0</v>
      </c>
      <c r="R310" s="151">
        <f t="shared" si="61"/>
        <v>60.698253671965084</v>
      </c>
      <c r="S310" s="130">
        <f t="shared" si="62"/>
        <v>-18.301746328034916</v>
      </c>
      <c r="T310" s="150">
        <f t="shared" si="64"/>
        <v>0</v>
      </c>
      <c r="V310" s="12"/>
    </row>
    <row r="311" spans="1:22" x14ac:dyDescent="0.25">
      <c r="A311" s="49">
        <f>'A) Base RI'!A312</f>
        <v>5935</v>
      </c>
      <c r="B311" s="350" t="str">
        <f>'A) Base RI'!B312</f>
        <v>Villars-Epeney</v>
      </c>
      <c r="C311" s="410">
        <v>89714.411773515996</v>
      </c>
      <c r="D311" s="410">
        <v>96197.204464581446</v>
      </c>
      <c r="E311" s="411">
        <v>0</v>
      </c>
      <c r="F311" s="411">
        <v>0</v>
      </c>
      <c r="G311" s="411">
        <v>0</v>
      </c>
      <c r="H311" s="352">
        <f t="shared" si="63"/>
        <v>185911.61623809743</v>
      </c>
      <c r="I311" s="412">
        <v>5603.6660000000002</v>
      </c>
      <c r="J311" s="355">
        <f>'B) D RI'!U312</f>
        <v>4858.9101666666666</v>
      </c>
      <c r="K311" s="65">
        <f t="shared" si="65"/>
        <v>33.176783955021129</v>
      </c>
      <c r="L311" s="33">
        <f>'B) D RI'!S312</f>
        <v>60</v>
      </c>
      <c r="M311" s="33">
        <f t="shared" si="67"/>
        <v>26.823216044978871</v>
      </c>
      <c r="N311" s="33">
        <f>'J) Plafonnement effort'!G310+'J) Plafonnement effort'!H310-'K) Plafonnement aide'!I310</f>
        <v>31.860031390163449</v>
      </c>
      <c r="O311" s="130">
        <f t="shared" si="59"/>
        <v>58.68324743514232</v>
      </c>
      <c r="P311" s="47">
        <f t="shared" si="60"/>
        <v>0</v>
      </c>
      <c r="Q311" s="57">
        <f t="shared" si="66"/>
        <v>0</v>
      </c>
      <c r="R311" s="151">
        <f t="shared" si="61"/>
        <v>58.68324743514232</v>
      </c>
      <c r="S311" s="130">
        <f t="shared" si="62"/>
        <v>-1.3167525648576799</v>
      </c>
      <c r="T311" s="150">
        <f t="shared" si="64"/>
        <v>0</v>
      </c>
      <c r="V311" s="12"/>
    </row>
    <row r="312" spans="1:22" x14ac:dyDescent="0.25">
      <c r="A312" s="49">
        <f>'A) Base RI'!A313</f>
        <v>5937</v>
      </c>
      <c r="B312" s="350" t="str">
        <f>'A) Base RI'!B313</f>
        <v>Vugelles-La Mothe</v>
      </c>
      <c r="C312" s="410">
        <v>44877.072798046851</v>
      </c>
      <c r="D312" s="410">
        <v>-35383.488789703995</v>
      </c>
      <c r="E312" s="411">
        <v>0</v>
      </c>
      <c r="F312" s="411">
        <v>0</v>
      </c>
      <c r="G312" s="411">
        <v>0</v>
      </c>
      <c r="H312" s="352">
        <f t="shared" si="63"/>
        <v>9493.5840083428557</v>
      </c>
      <c r="I312" s="412">
        <v>2433.2134081632657</v>
      </c>
      <c r="J312" s="355">
        <f>'B) D RI'!U313</f>
        <v>2984.3882040816329</v>
      </c>
      <c r="K312" s="65">
        <f t="shared" si="65"/>
        <v>3.9016651710419343</v>
      </c>
      <c r="L312" s="33">
        <f>'B) D RI'!S313</f>
        <v>70</v>
      </c>
      <c r="M312" s="33">
        <f t="shared" si="67"/>
        <v>66.098334828958059</v>
      </c>
      <c r="N312" s="33">
        <f>'J) Plafonnement effort'!G311+'J) Plafonnement effort'!H311-'K) Plafonnement aide'!I311</f>
        <v>2.6165176796211345</v>
      </c>
      <c r="O312" s="130">
        <f t="shared" si="59"/>
        <v>68.714852508579199</v>
      </c>
      <c r="P312" s="47">
        <f t="shared" si="60"/>
        <v>0</v>
      </c>
      <c r="Q312" s="57">
        <f t="shared" si="66"/>
        <v>0</v>
      </c>
      <c r="R312" s="151">
        <f t="shared" si="61"/>
        <v>68.714852508579199</v>
      </c>
      <c r="S312" s="130">
        <f t="shared" si="62"/>
        <v>-1.2851474914208012</v>
      </c>
      <c r="T312" s="150">
        <f t="shared" si="64"/>
        <v>0</v>
      </c>
      <c r="V312" s="12"/>
    </row>
    <row r="313" spans="1:22" x14ac:dyDescent="0.25">
      <c r="A313" s="49">
        <f>'A) Base RI'!A314</f>
        <v>5938</v>
      </c>
      <c r="B313" s="350" t="str">
        <f>'A) Base RI'!B314</f>
        <v>Yverdon-les-Bains</v>
      </c>
      <c r="C313" s="410">
        <v>14921465.803547526</v>
      </c>
      <c r="D313" s="410">
        <v>-24624249.775783047</v>
      </c>
      <c r="E313" s="411">
        <v>4667501.1341309473</v>
      </c>
      <c r="F313" s="411">
        <v>0</v>
      </c>
      <c r="G313" s="411">
        <v>0</v>
      </c>
      <c r="H313" s="352">
        <f t="shared" si="63"/>
        <v>-5035282.838104574</v>
      </c>
      <c r="I313" s="412">
        <v>774658.89816993475</v>
      </c>
      <c r="J313" s="355">
        <f>'B) D RI'!U314</f>
        <v>788422.31346405216</v>
      </c>
      <c r="K313" s="65">
        <f t="shared" si="65"/>
        <v>-6.4999999999999973</v>
      </c>
      <c r="L313" s="33">
        <f>'B) D RI'!S314</f>
        <v>76.5</v>
      </c>
      <c r="M313" s="33">
        <f t="shared" si="67"/>
        <v>83</v>
      </c>
      <c r="N313" s="33">
        <f>'J) Plafonnement effort'!G312+'J) Plafonnement effort'!H312-'K) Plafonnement aide'!I312</f>
        <v>-20.707251617708415</v>
      </c>
      <c r="O313" s="130">
        <f t="shared" si="59"/>
        <v>62.292748382291585</v>
      </c>
      <c r="P313" s="47">
        <f t="shared" si="60"/>
        <v>0</v>
      </c>
      <c r="Q313" s="57">
        <f t="shared" si="66"/>
        <v>0</v>
      </c>
      <c r="R313" s="151">
        <f t="shared" si="61"/>
        <v>62.292748382291585</v>
      </c>
      <c r="S313" s="130">
        <f t="shared" si="62"/>
        <v>-14.207251617708415</v>
      </c>
      <c r="T313" s="150">
        <f t="shared" si="64"/>
        <v>0</v>
      </c>
      <c r="V313" s="12"/>
    </row>
    <row r="314" spans="1:22" x14ac:dyDescent="0.25">
      <c r="A314" s="50">
        <f>'A) Base RI'!A315</f>
        <v>5939</v>
      </c>
      <c r="B314" s="351" t="str">
        <f>'A) Base RI'!B315</f>
        <v>Yvonand</v>
      </c>
      <c r="C314" s="410">
        <v>1723070.6233460363</v>
      </c>
      <c r="D314" s="410">
        <v>-512505.13458316866</v>
      </c>
      <c r="E314" s="411">
        <v>0</v>
      </c>
      <c r="F314" s="411">
        <v>0</v>
      </c>
      <c r="G314" s="411">
        <v>0</v>
      </c>
      <c r="H314" s="352">
        <f t="shared" si="63"/>
        <v>1210565.4887628676</v>
      </c>
      <c r="I314" s="412">
        <v>93821.233287671232</v>
      </c>
      <c r="J314" s="356">
        <f>'B) D RI'!U315</f>
        <v>95122.764246575331</v>
      </c>
      <c r="K314" s="65">
        <f t="shared" si="65"/>
        <v>12.902894647004651</v>
      </c>
      <c r="L314" s="91">
        <f>'B) D RI'!S315</f>
        <v>73</v>
      </c>
      <c r="M314" s="91">
        <f t="shared" si="67"/>
        <v>60.097105352995349</v>
      </c>
      <c r="N314" s="91">
        <f>'J) Plafonnement effort'!G313+'J) Plafonnement effort'!H313-'K) Plafonnement aide'!I313</f>
        <v>12.189307001399907</v>
      </c>
      <c r="O314" s="132">
        <f t="shared" si="59"/>
        <v>72.286412354395253</v>
      </c>
      <c r="P314" s="47">
        <f t="shared" si="60"/>
        <v>0</v>
      </c>
      <c r="Q314" s="57">
        <f t="shared" si="66"/>
        <v>0</v>
      </c>
      <c r="R314" s="152">
        <f t="shared" si="61"/>
        <v>72.286412354395253</v>
      </c>
      <c r="S314" s="132">
        <f t="shared" si="62"/>
        <v>-0.71358764560474697</v>
      </c>
      <c r="T314" s="150">
        <f t="shared" si="64"/>
        <v>0</v>
      </c>
      <c r="V314" s="12"/>
    </row>
    <row r="315" spans="1:22" x14ac:dyDescent="0.25">
      <c r="A315" s="30"/>
      <c r="B315" s="123">
        <f>COUNTA(B6:B314)</f>
        <v>309</v>
      </c>
      <c r="C315" s="38">
        <f>SUM(C6:C314)</f>
        <v>790010913.99999928</v>
      </c>
      <c r="D315" s="297">
        <f t="shared" ref="D315:J315" si="68">SUM(D6:D314)</f>
        <v>148928437.54618925</v>
      </c>
      <c r="E315" s="297">
        <f t="shared" si="68"/>
        <v>5423730.7749360707</v>
      </c>
      <c r="F315" s="297">
        <f t="shared" si="68"/>
        <v>-9662514.5173370894</v>
      </c>
      <c r="G315" s="297">
        <f t="shared" si="68"/>
        <v>-7942.6011709205522</v>
      </c>
      <c r="H315" s="155">
        <f t="shared" si="68"/>
        <v>934692625.20261705</v>
      </c>
      <c r="I315" s="413">
        <f t="shared" si="68"/>
        <v>37017775.996768594</v>
      </c>
      <c r="J315" s="99">
        <f t="shared" si="68"/>
        <v>37986675.400474928</v>
      </c>
      <c r="K315" s="62">
        <f>H315/I315</f>
        <v>25.249832007309394</v>
      </c>
      <c r="L315" s="19">
        <f>'B) D RI'!S316</f>
        <v>68.191890899218393</v>
      </c>
      <c r="M315" s="19"/>
      <c r="N315" s="19">
        <f>SUM(N6:N314)</f>
        <v>6403.2617734248952</v>
      </c>
      <c r="O315" s="100"/>
      <c r="P315" s="119"/>
      <c r="Q315" s="37">
        <f>SUM(Q6:Q314)</f>
        <v>-46083.949377517849</v>
      </c>
      <c r="R315" s="122"/>
      <c r="S315" s="100"/>
      <c r="T315" s="154"/>
    </row>
    <row r="316" spans="1:22" x14ac:dyDescent="0.25">
      <c r="T316" s="22"/>
    </row>
    <row r="317" spans="1:22" s="6" customFormat="1" x14ac:dyDescent="0.25">
      <c r="K317" s="271"/>
      <c r="N317" s="15"/>
    </row>
    <row r="320" spans="1:22" s="6" customFormat="1" x14ac:dyDescent="0.25">
      <c r="K320" s="271"/>
      <c r="M320" s="271"/>
      <c r="N320" s="15"/>
      <c r="O320" s="271"/>
      <c r="P320" s="271"/>
    </row>
  </sheetData>
  <mergeCells count="17">
    <mergeCell ref="C3:I3"/>
    <mergeCell ref="C4:C5"/>
    <mergeCell ref="B4:B5"/>
    <mergeCell ref="A4:A5"/>
    <mergeCell ref="K4:K5"/>
    <mergeCell ref="E4:E5"/>
    <mergeCell ref="D4:D5"/>
    <mergeCell ref="S4:S5"/>
    <mergeCell ref="R4:R5"/>
    <mergeCell ref="Q4:Q5"/>
    <mergeCell ref="O4:O5"/>
    <mergeCell ref="N4:N5"/>
    <mergeCell ref="M4:M5"/>
    <mergeCell ref="L4:L5"/>
    <mergeCell ref="H4:H5"/>
    <mergeCell ref="G4:G5"/>
    <mergeCell ref="F4:F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00B050"/>
    <pageSetUpPr fitToPage="1"/>
  </sheetPr>
  <dimension ref="A1:O317"/>
  <sheetViews>
    <sheetView workbookViewId="0"/>
  </sheetViews>
  <sheetFormatPr baseColWidth="10" defaultColWidth="9.375" defaultRowHeight="15" x14ac:dyDescent="0.25"/>
  <cols>
    <col min="1" max="1" width="8.125" style="214" customWidth="1"/>
    <col min="2" max="2" width="17.875" style="214" bestFit="1" customWidth="1"/>
    <col min="3" max="3" width="9.875" style="487" customWidth="1"/>
    <col min="4" max="4" width="10.5" style="214" customWidth="1"/>
    <col min="5" max="5" width="5.625" style="214" bestFit="1" customWidth="1"/>
    <col min="6" max="6" width="14.25" style="214" bestFit="1" customWidth="1"/>
    <col min="7" max="7" width="12.125" style="214" bestFit="1" customWidth="1"/>
    <col min="8" max="8" width="14.25" style="214" bestFit="1" customWidth="1"/>
    <col min="9" max="9" width="13.625" style="214" customWidth="1"/>
    <col min="10" max="10" width="12.125" style="214" bestFit="1" customWidth="1"/>
    <col min="11" max="11" width="11.75" style="214" customWidth="1"/>
    <col min="12" max="15" width="12.125" style="214" bestFit="1" customWidth="1"/>
    <col min="16" max="241" width="9.375" style="214"/>
    <col min="242" max="242" width="5" style="214" customWidth="1"/>
    <col min="243" max="243" width="17.875" style="214" bestFit="1" customWidth="1"/>
    <col min="244" max="244" width="9.875" style="214" customWidth="1"/>
    <col min="245" max="245" width="8.875" style="214" customWidth="1"/>
    <col min="246" max="246" width="7.375" style="214" bestFit="1" customWidth="1"/>
    <col min="247" max="247" width="10.125" style="214" bestFit="1" customWidth="1"/>
    <col min="248" max="248" width="9.375" style="214"/>
    <col min="249" max="249" width="10.125" style="214" bestFit="1" customWidth="1"/>
    <col min="250" max="250" width="10.75" style="214" customWidth="1"/>
    <col min="251" max="253" width="9.375" style="214"/>
    <col min="254" max="255" width="10.75" style="214" customWidth="1"/>
    <col min="256" max="260" width="9.375" style="214"/>
    <col min="261" max="261" width="1.625" style="214" bestFit="1" customWidth="1"/>
    <col min="262" max="262" width="9.375" style="214"/>
    <col min="263" max="263" width="8.875" style="214" customWidth="1"/>
    <col min="264" max="264" width="13.125" style="214" customWidth="1"/>
    <col min="265" max="265" width="9.375" style="214"/>
    <col min="266" max="266" width="9.875" style="214" customWidth="1"/>
    <col min="267" max="267" width="11.75" style="214" bestFit="1" customWidth="1"/>
    <col min="268" max="497" width="9.375" style="214"/>
    <col min="498" max="498" width="5" style="214" customWidth="1"/>
    <col min="499" max="499" width="17.875" style="214" bestFit="1" customWidth="1"/>
    <col min="500" max="500" width="9.875" style="214" customWidth="1"/>
    <col min="501" max="501" width="8.875" style="214" customWidth="1"/>
    <col min="502" max="502" width="7.375" style="214" bestFit="1" customWidth="1"/>
    <col min="503" max="503" width="10.125" style="214" bestFit="1" customWidth="1"/>
    <col min="504" max="504" width="9.375" style="214"/>
    <col min="505" max="505" width="10.125" style="214" bestFit="1" customWidth="1"/>
    <col min="506" max="506" width="10.75" style="214" customWidth="1"/>
    <col min="507" max="509" width="9.375" style="214"/>
    <col min="510" max="511" width="10.75" style="214" customWidth="1"/>
    <col min="512" max="516" width="9.375" style="214"/>
    <col min="517" max="517" width="1.625" style="214" bestFit="1" customWidth="1"/>
    <col min="518" max="518" width="9.375" style="214"/>
    <col min="519" max="519" width="8.875" style="214" customWidth="1"/>
    <col min="520" max="520" width="13.125" style="214" customWidth="1"/>
    <col min="521" max="521" width="9.375" style="214"/>
    <col min="522" max="522" width="9.875" style="214" customWidth="1"/>
    <col min="523" max="523" width="11.75" style="214" bestFit="1" customWidth="1"/>
    <col min="524" max="753" width="9.375" style="214"/>
    <col min="754" max="754" width="5" style="214" customWidth="1"/>
    <col min="755" max="755" width="17.875" style="214" bestFit="1" customWidth="1"/>
    <col min="756" max="756" width="9.875" style="214" customWidth="1"/>
    <col min="757" max="757" width="8.875" style="214" customWidth="1"/>
    <col min="758" max="758" width="7.375" style="214" bestFit="1" customWidth="1"/>
    <col min="759" max="759" width="10.125" style="214" bestFit="1" customWidth="1"/>
    <col min="760" max="760" width="9.375" style="214"/>
    <col min="761" max="761" width="10.125" style="214" bestFit="1" customWidth="1"/>
    <col min="762" max="762" width="10.75" style="214" customWidth="1"/>
    <col min="763" max="765" width="9.375" style="214"/>
    <col min="766" max="767" width="10.75" style="214" customWidth="1"/>
    <col min="768" max="772" width="9.375" style="214"/>
    <col min="773" max="773" width="1.625" style="214" bestFit="1" customWidth="1"/>
    <col min="774" max="774" width="9.375" style="214"/>
    <col min="775" max="775" width="8.875" style="214" customWidth="1"/>
    <col min="776" max="776" width="13.125" style="214" customWidth="1"/>
    <col min="777" max="777" width="9.375" style="214"/>
    <col min="778" max="778" width="9.875" style="214" customWidth="1"/>
    <col min="779" max="779" width="11.75" style="214" bestFit="1" customWidth="1"/>
    <col min="780" max="1009" width="9.375" style="214"/>
    <col min="1010" max="1010" width="5" style="214" customWidth="1"/>
    <col min="1011" max="1011" width="17.875" style="214" bestFit="1" customWidth="1"/>
    <col min="1012" max="1012" width="9.875" style="214" customWidth="1"/>
    <col min="1013" max="1013" width="8.875" style="214" customWidth="1"/>
    <col min="1014" max="1014" width="7.375" style="214" bestFit="1" customWidth="1"/>
    <col min="1015" max="1015" width="10.125" style="214" bestFit="1" customWidth="1"/>
    <col min="1016" max="1016" width="9.375" style="214"/>
    <col min="1017" max="1017" width="10.125" style="214" bestFit="1" customWidth="1"/>
    <col min="1018" max="1018" width="10.75" style="214" customWidth="1"/>
    <col min="1019" max="1021" width="9.375" style="214"/>
    <col min="1022" max="1023" width="10.75" style="214" customWidth="1"/>
    <col min="1024" max="1028" width="9.375" style="214"/>
    <col min="1029" max="1029" width="1.625" style="214" bestFit="1" customWidth="1"/>
    <col min="1030" max="1030" width="9.375" style="214"/>
    <col min="1031" max="1031" width="8.875" style="214" customWidth="1"/>
    <col min="1032" max="1032" width="13.125" style="214" customWidth="1"/>
    <col min="1033" max="1033" width="9.375" style="214"/>
    <col min="1034" max="1034" width="9.875" style="214" customWidth="1"/>
    <col min="1035" max="1035" width="11.75" style="214" bestFit="1" customWidth="1"/>
    <col min="1036" max="1265" width="9.375" style="214"/>
    <col min="1266" max="1266" width="5" style="214" customWidth="1"/>
    <col min="1267" max="1267" width="17.875" style="214" bestFit="1" customWidth="1"/>
    <col min="1268" max="1268" width="9.875" style="214" customWidth="1"/>
    <col min="1269" max="1269" width="8.875" style="214" customWidth="1"/>
    <col min="1270" max="1270" width="7.375" style="214" bestFit="1" customWidth="1"/>
    <col min="1271" max="1271" width="10.125" style="214" bestFit="1" customWidth="1"/>
    <col min="1272" max="1272" width="9.375" style="214"/>
    <col min="1273" max="1273" width="10.125" style="214" bestFit="1" customWidth="1"/>
    <col min="1274" max="1274" width="10.75" style="214" customWidth="1"/>
    <col min="1275" max="1277" width="9.375" style="214"/>
    <col min="1278" max="1279" width="10.75" style="214" customWidth="1"/>
    <col min="1280" max="1284" width="9.375" style="214"/>
    <col min="1285" max="1285" width="1.625" style="214" bestFit="1" customWidth="1"/>
    <col min="1286" max="1286" width="9.375" style="214"/>
    <col min="1287" max="1287" width="8.875" style="214" customWidth="1"/>
    <col min="1288" max="1288" width="13.125" style="214" customWidth="1"/>
    <col min="1289" max="1289" width="9.375" style="214"/>
    <col min="1290" max="1290" width="9.875" style="214" customWidth="1"/>
    <col min="1291" max="1291" width="11.75" style="214" bestFit="1" customWidth="1"/>
    <col min="1292" max="1521" width="9.375" style="214"/>
    <col min="1522" max="1522" width="5" style="214" customWidth="1"/>
    <col min="1523" max="1523" width="17.875" style="214" bestFit="1" customWidth="1"/>
    <col min="1524" max="1524" width="9.875" style="214" customWidth="1"/>
    <col min="1525" max="1525" width="8.875" style="214" customWidth="1"/>
    <col min="1526" max="1526" width="7.375" style="214" bestFit="1" customWidth="1"/>
    <col min="1527" max="1527" width="10.125" style="214" bestFit="1" customWidth="1"/>
    <col min="1528" max="1528" width="9.375" style="214"/>
    <col min="1529" max="1529" width="10.125" style="214" bestFit="1" customWidth="1"/>
    <col min="1530" max="1530" width="10.75" style="214" customWidth="1"/>
    <col min="1531" max="1533" width="9.375" style="214"/>
    <col min="1534" max="1535" width="10.75" style="214" customWidth="1"/>
    <col min="1536" max="1540" width="9.375" style="214"/>
    <col min="1541" max="1541" width="1.625" style="214" bestFit="1" customWidth="1"/>
    <col min="1542" max="1542" width="9.375" style="214"/>
    <col min="1543" max="1543" width="8.875" style="214" customWidth="1"/>
    <col min="1544" max="1544" width="13.125" style="214" customWidth="1"/>
    <col min="1545" max="1545" width="9.375" style="214"/>
    <col min="1546" max="1546" width="9.875" style="214" customWidth="1"/>
    <col min="1547" max="1547" width="11.75" style="214" bestFit="1" customWidth="1"/>
    <col min="1548" max="1777" width="9.375" style="214"/>
    <col min="1778" max="1778" width="5" style="214" customWidth="1"/>
    <col min="1779" max="1779" width="17.875" style="214" bestFit="1" customWidth="1"/>
    <col min="1780" max="1780" width="9.875" style="214" customWidth="1"/>
    <col min="1781" max="1781" width="8.875" style="214" customWidth="1"/>
    <col min="1782" max="1782" width="7.375" style="214" bestFit="1" customWidth="1"/>
    <col min="1783" max="1783" width="10.125" style="214" bestFit="1" customWidth="1"/>
    <col min="1784" max="1784" width="9.375" style="214"/>
    <col min="1785" max="1785" width="10.125" style="214" bestFit="1" customWidth="1"/>
    <col min="1786" max="1786" width="10.75" style="214" customWidth="1"/>
    <col min="1787" max="1789" width="9.375" style="214"/>
    <col min="1790" max="1791" width="10.75" style="214" customWidth="1"/>
    <col min="1792" max="1796" width="9.375" style="214"/>
    <col min="1797" max="1797" width="1.625" style="214" bestFit="1" customWidth="1"/>
    <col min="1798" max="1798" width="9.375" style="214"/>
    <col min="1799" max="1799" width="8.875" style="214" customWidth="1"/>
    <col min="1800" max="1800" width="13.125" style="214" customWidth="1"/>
    <col min="1801" max="1801" width="9.375" style="214"/>
    <col min="1802" max="1802" width="9.875" style="214" customWidth="1"/>
    <col min="1803" max="1803" width="11.75" style="214" bestFit="1" customWidth="1"/>
    <col min="1804" max="2033" width="9.375" style="214"/>
    <col min="2034" max="2034" width="5" style="214" customWidth="1"/>
    <col min="2035" max="2035" width="17.875" style="214" bestFit="1" customWidth="1"/>
    <col min="2036" max="2036" width="9.875" style="214" customWidth="1"/>
    <col min="2037" max="2037" width="8.875" style="214" customWidth="1"/>
    <col min="2038" max="2038" width="7.375" style="214" bestFit="1" customWidth="1"/>
    <col min="2039" max="2039" width="10.125" style="214" bestFit="1" customWidth="1"/>
    <col min="2040" max="2040" width="9.375" style="214"/>
    <col min="2041" max="2041" width="10.125" style="214" bestFit="1" customWidth="1"/>
    <col min="2042" max="2042" width="10.75" style="214" customWidth="1"/>
    <col min="2043" max="2045" width="9.375" style="214"/>
    <col min="2046" max="2047" width="10.75" style="214" customWidth="1"/>
    <col min="2048" max="2052" width="9.375" style="214"/>
    <col min="2053" max="2053" width="1.625" style="214" bestFit="1" customWidth="1"/>
    <col min="2054" max="2054" width="9.375" style="214"/>
    <col min="2055" max="2055" width="8.875" style="214" customWidth="1"/>
    <col min="2056" max="2056" width="13.125" style="214" customWidth="1"/>
    <col min="2057" max="2057" width="9.375" style="214"/>
    <col min="2058" max="2058" width="9.875" style="214" customWidth="1"/>
    <col min="2059" max="2059" width="11.75" style="214" bestFit="1" customWidth="1"/>
    <col min="2060" max="2289" width="9.375" style="214"/>
    <col min="2290" max="2290" width="5" style="214" customWidth="1"/>
    <col min="2291" max="2291" width="17.875" style="214" bestFit="1" customWidth="1"/>
    <col min="2292" max="2292" width="9.875" style="214" customWidth="1"/>
    <col min="2293" max="2293" width="8.875" style="214" customWidth="1"/>
    <col min="2294" max="2294" width="7.375" style="214" bestFit="1" customWidth="1"/>
    <col min="2295" max="2295" width="10.125" style="214" bestFit="1" customWidth="1"/>
    <col min="2296" max="2296" width="9.375" style="214"/>
    <col min="2297" max="2297" width="10.125" style="214" bestFit="1" customWidth="1"/>
    <col min="2298" max="2298" width="10.75" style="214" customWidth="1"/>
    <col min="2299" max="2301" width="9.375" style="214"/>
    <col min="2302" max="2303" width="10.75" style="214" customWidth="1"/>
    <col min="2304" max="2308" width="9.375" style="214"/>
    <col min="2309" max="2309" width="1.625" style="214" bestFit="1" customWidth="1"/>
    <col min="2310" max="2310" width="9.375" style="214"/>
    <col min="2311" max="2311" width="8.875" style="214" customWidth="1"/>
    <col min="2312" max="2312" width="13.125" style="214" customWidth="1"/>
    <col min="2313" max="2313" width="9.375" style="214"/>
    <col min="2314" max="2314" width="9.875" style="214" customWidth="1"/>
    <col min="2315" max="2315" width="11.75" style="214" bestFit="1" customWidth="1"/>
    <col min="2316" max="2545" width="9.375" style="214"/>
    <col min="2546" max="2546" width="5" style="214" customWidth="1"/>
    <col min="2547" max="2547" width="17.875" style="214" bestFit="1" customWidth="1"/>
    <col min="2548" max="2548" width="9.875" style="214" customWidth="1"/>
    <col min="2549" max="2549" width="8.875" style="214" customWidth="1"/>
    <col min="2550" max="2550" width="7.375" style="214" bestFit="1" customWidth="1"/>
    <col min="2551" max="2551" width="10.125" style="214" bestFit="1" customWidth="1"/>
    <col min="2552" max="2552" width="9.375" style="214"/>
    <col min="2553" max="2553" width="10.125" style="214" bestFit="1" customWidth="1"/>
    <col min="2554" max="2554" width="10.75" style="214" customWidth="1"/>
    <col min="2555" max="2557" width="9.375" style="214"/>
    <col min="2558" max="2559" width="10.75" style="214" customWidth="1"/>
    <col min="2560" max="2564" width="9.375" style="214"/>
    <col min="2565" max="2565" width="1.625" style="214" bestFit="1" customWidth="1"/>
    <col min="2566" max="2566" width="9.375" style="214"/>
    <col min="2567" max="2567" width="8.875" style="214" customWidth="1"/>
    <col min="2568" max="2568" width="13.125" style="214" customWidth="1"/>
    <col min="2569" max="2569" width="9.375" style="214"/>
    <col min="2570" max="2570" width="9.875" style="214" customWidth="1"/>
    <col min="2571" max="2571" width="11.75" style="214" bestFit="1" customWidth="1"/>
    <col min="2572" max="2801" width="9.375" style="214"/>
    <col min="2802" max="2802" width="5" style="214" customWidth="1"/>
    <col min="2803" max="2803" width="17.875" style="214" bestFit="1" customWidth="1"/>
    <col min="2804" max="2804" width="9.875" style="214" customWidth="1"/>
    <col min="2805" max="2805" width="8.875" style="214" customWidth="1"/>
    <col min="2806" max="2806" width="7.375" style="214" bestFit="1" customWidth="1"/>
    <col min="2807" max="2807" width="10.125" style="214" bestFit="1" customWidth="1"/>
    <col min="2808" max="2808" width="9.375" style="214"/>
    <col min="2809" max="2809" width="10.125" style="214" bestFit="1" customWidth="1"/>
    <col min="2810" max="2810" width="10.75" style="214" customWidth="1"/>
    <col min="2811" max="2813" width="9.375" style="214"/>
    <col min="2814" max="2815" width="10.75" style="214" customWidth="1"/>
    <col min="2816" max="2820" width="9.375" style="214"/>
    <col min="2821" max="2821" width="1.625" style="214" bestFit="1" customWidth="1"/>
    <col min="2822" max="2822" width="9.375" style="214"/>
    <col min="2823" max="2823" width="8.875" style="214" customWidth="1"/>
    <col min="2824" max="2824" width="13.125" style="214" customWidth="1"/>
    <col min="2825" max="2825" width="9.375" style="214"/>
    <col min="2826" max="2826" width="9.875" style="214" customWidth="1"/>
    <col min="2827" max="2827" width="11.75" style="214" bestFit="1" customWidth="1"/>
    <col min="2828" max="3057" width="9.375" style="214"/>
    <col min="3058" max="3058" width="5" style="214" customWidth="1"/>
    <col min="3059" max="3059" width="17.875" style="214" bestFit="1" customWidth="1"/>
    <col min="3060" max="3060" width="9.875" style="214" customWidth="1"/>
    <col min="3061" max="3061" width="8.875" style="214" customWidth="1"/>
    <col min="3062" max="3062" width="7.375" style="214" bestFit="1" customWidth="1"/>
    <col min="3063" max="3063" width="10.125" style="214" bestFit="1" customWidth="1"/>
    <col min="3064" max="3064" width="9.375" style="214"/>
    <col min="3065" max="3065" width="10.125" style="214" bestFit="1" customWidth="1"/>
    <col min="3066" max="3066" width="10.75" style="214" customWidth="1"/>
    <col min="3067" max="3069" width="9.375" style="214"/>
    <col min="3070" max="3071" width="10.75" style="214" customWidth="1"/>
    <col min="3072" max="3076" width="9.375" style="214"/>
    <col min="3077" max="3077" width="1.625" style="214" bestFit="1" customWidth="1"/>
    <col min="3078" max="3078" width="9.375" style="214"/>
    <col min="3079" max="3079" width="8.875" style="214" customWidth="1"/>
    <col min="3080" max="3080" width="13.125" style="214" customWidth="1"/>
    <col min="3081" max="3081" width="9.375" style="214"/>
    <col min="3082" max="3082" width="9.875" style="214" customWidth="1"/>
    <col min="3083" max="3083" width="11.75" style="214" bestFit="1" customWidth="1"/>
    <col min="3084" max="3313" width="9.375" style="214"/>
    <col min="3314" max="3314" width="5" style="214" customWidth="1"/>
    <col min="3315" max="3315" width="17.875" style="214" bestFit="1" customWidth="1"/>
    <col min="3316" max="3316" width="9.875" style="214" customWidth="1"/>
    <col min="3317" max="3317" width="8.875" style="214" customWidth="1"/>
    <col min="3318" max="3318" width="7.375" style="214" bestFit="1" customWidth="1"/>
    <col min="3319" max="3319" width="10.125" style="214" bestFit="1" customWidth="1"/>
    <col min="3320" max="3320" width="9.375" style="214"/>
    <col min="3321" max="3321" width="10.125" style="214" bestFit="1" customWidth="1"/>
    <col min="3322" max="3322" width="10.75" style="214" customWidth="1"/>
    <col min="3323" max="3325" width="9.375" style="214"/>
    <col min="3326" max="3327" width="10.75" style="214" customWidth="1"/>
    <col min="3328" max="3332" width="9.375" style="214"/>
    <col min="3333" max="3333" width="1.625" style="214" bestFit="1" customWidth="1"/>
    <col min="3334" max="3334" width="9.375" style="214"/>
    <col min="3335" max="3335" width="8.875" style="214" customWidth="1"/>
    <col min="3336" max="3336" width="13.125" style="214" customWidth="1"/>
    <col min="3337" max="3337" width="9.375" style="214"/>
    <col min="3338" max="3338" width="9.875" style="214" customWidth="1"/>
    <col min="3339" max="3339" width="11.75" style="214" bestFit="1" customWidth="1"/>
    <col min="3340" max="3569" width="9.375" style="214"/>
    <col min="3570" max="3570" width="5" style="214" customWidth="1"/>
    <col min="3571" max="3571" width="17.875" style="214" bestFit="1" customWidth="1"/>
    <col min="3572" max="3572" width="9.875" style="214" customWidth="1"/>
    <col min="3573" max="3573" width="8.875" style="214" customWidth="1"/>
    <col min="3574" max="3574" width="7.375" style="214" bestFit="1" customWidth="1"/>
    <col min="3575" max="3575" width="10.125" style="214" bestFit="1" customWidth="1"/>
    <col min="3576" max="3576" width="9.375" style="214"/>
    <col min="3577" max="3577" width="10.125" style="214" bestFit="1" customWidth="1"/>
    <col min="3578" max="3578" width="10.75" style="214" customWidth="1"/>
    <col min="3579" max="3581" width="9.375" style="214"/>
    <col min="3582" max="3583" width="10.75" style="214" customWidth="1"/>
    <col min="3584" max="3588" width="9.375" style="214"/>
    <col min="3589" max="3589" width="1.625" style="214" bestFit="1" customWidth="1"/>
    <col min="3590" max="3590" width="9.375" style="214"/>
    <col min="3591" max="3591" width="8.875" style="214" customWidth="1"/>
    <col min="3592" max="3592" width="13.125" style="214" customWidth="1"/>
    <col min="3593" max="3593" width="9.375" style="214"/>
    <col min="3594" max="3594" width="9.875" style="214" customWidth="1"/>
    <col min="3595" max="3595" width="11.75" style="214" bestFit="1" customWidth="1"/>
    <col min="3596" max="3825" width="9.375" style="214"/>
    <col min="3826" max="3826" width="5" style="214" customWidth="1"/>
    <col min="3827" max="3827" width="17.875" style="214" bestFit="1" customWidth="1"/>
    <col min="3828" max="3828" width="9.875" style="214" customWidth="1"/>
    <col min="3829" max="3829" width="8.875" style="214" customWidth="1"/>
    <col min="3830" max="3830" width="7.375" style="214" bestFit="1" customWidth="1"/>
    <col min="3831" max="3831" width="10.125" style="214" bestFit="1" customWidth="1"/>
    <col min="3832" max="3832" width="9.375" style="214"/>
    <col min="3833" max="3833" width="10.125" style="214" bestFit="1" customWidth="1"/>
    <col min="3834" max="3834" width="10.75" style="214" customWidth="1"/>
    <col min="3835" max="3837" width="9.375" style="214"/>
    <col min="3838" max="3839" width="10.75" style="214" customWidth="1"/>
    <col min="3840" max="3844" width="9.375" style="214"/>
    <col min="3845" max="3845" width="1.625" style="214" bestFit="1" customWidth="1"/>
    <col min="3846" max="3846" width="9.375" style="214"/>
    <col min="3847" max="3847" width="8.875" style="214" customWidth="1"/>
    <col min="3848" max="3848" width="13.125" style="214" customWidth="1"/>
    <col min="3849" max="3849" width="9.375" style="214"/>
    <col min="3850" max="3850" width="9.875" style="214" customWidth="1"/>
    <col min="3851" max="3851" width="11.75" style="214" bestFit="1" customWidth="1"/>
    <col min="3852" max="4081" width="9.375" style="214"/>
    <col min="4082" max="4082" width="5" style="214" customWidth="1"/>
    <col min="4083" max="4083" width="17.875" style="214" bestFit="1" customWidth="1"/>
    <col min="4084" max="4084" width="9.875" style="214" customWidth="1"/>
    <col min="4085" max="4085" width="8.875" style="214" customWidth="1"/>
    <col min="4086" max="4086" width="7.375" style="214" bestFit="1" customWidth="1"/>
    <col min="4087" max="4087" width="10.125" style="214" bestFit="1" customWidth="1"/>
    <col min="4088" max="4088" width="9.375" style="214"/>
    <col min="4089" max="4089" width="10.125" style="214" bestFit="1" customWidth="1"/>
    <col min="4090" max="4090" width="10.75" style="214" customWidth="1"/>
    <col min="4091" max="4093" width="9.375" style="214"/>
    <col min="4094" max="4095" width="10.75" style="214" customWidth="1"/>
    <col min="4096" max="4100" width="9.375" style="214"/>
    <col min="4101" max="4101" width="1.625" style="214" bestFit="1" customWidth="1"/>
    <col min="4102" max="4102" width="9.375" style="214"/>
    <col min="4103" max="4103" width="8.875" style="214" customWidth="1"/>
    <col min="4104" max="4104" width="13.125" style="214" customWidth="1"/>
    <col min="4105" max="4105" width="9.375" style="214"/>
    <col min="4106" max="4106" width="9.875" style="214" customWidth="1"/>
    <col min="4107" max="4107" width="11.75" style="214" bestFit="1" customWidth="1"/>
    <col min="4108" max="4337" width="9.375" style="214"/>
    <col min="4338" max="4338" width="5" style="214" customWidth="1"/>
    <col min="4339" max="4339" width="17.875" style="214" bestFit="1" customWidth="1"/>
    <col min="4340" max="4340" width="9.875" style="214" customWidth="1"/>
    <col min="4341" max="4341" width="8.875" style="214" customWidth="1"/>
    <col min="4342" max="4342" width="7.375" style="214" bestFit="1" customWidth="1"/>
    <col min="4343" max="4343" width="10.125" style="214" bestFit="1" customWidth="1"/>
    <col min="4344" max="4344" width="9.375" style="214"/>
    <col min="4345" max="4345" width="10.125" style="214" bestFit="1" customWidth="1"/>
    <col min="4346" max="4346" width="10.75" style="214" customWidth="1"/>
    <col min="4347" max="4349" width="9.375" style="214"/>
    <col min="4350" max="4351" width="10.75" style="214" customWidth="1"/>
    <col min="4352" max="4356" width="9.375" style="214"/>
    <col min="4357" max="4357" width="1.625" style="214" bestFit="1" customWidth="1"/>
    <col min="4358" max="4358" width="9.375" style="214"/>
    <col min="4359" max="4359" width="8.875" style="214" customWidth="1"/>
    <col min="4360" max="4360" width="13.125" style="214" customWidth="1"/>
    <col min="4361" max="4361" width="9.375" style="214"/>
    <col min="4362" max="4362" width="9.875" style="214" customWidth="1"/>
    <col min="4363" max="4363" width="11.75" style="214" bestFit="1" customWidth="1"/>
    <col min="4364" max="4593" width="9.375" style="214"/>
    <col min="4594" max="4594" width="5" style="214" customWidth="1"/>
    <col min="4595" max="4595" width="17.875" style="214" bestFit="1" customWidth="1"/>
    <col min="4596" max="4596" width="9.875" style="214" customWidth="1"/>
    <col min="4597" max="4597" width="8.875" style="214" customWidth="1"/>
    <col min="4598" max="4598" width="7.375" style="214" bestFit="1" customWidth="1"/>
    <col min="4599" max="4599" width="10.125" style="214" bestFit="1" customWidth="1"/>
    <col min="4600" max="4600" width="9.375" style="214"/>
    <col min="4601" max="4601" width="10.125" style="214" bestFit="1" customWidth="1"/>
    <col min="4602" max="4602" width="10.75" style="214" customWidth="1"/>
    <col min="4603" max="4605" width="9.375" style="214"/>
    <col min="4606" max="4607" width="10.75" style="214" customWidth="1"/>
    <col min="4608" max="4612" width="9.375" style="214"/>
    <col min="4613" max="4613" width="1.625" style="214" bestFit="1" customWidth="1"/>
    <col min="4614" max="4614" width="9.375" style="214"/>
    <col min="4615" max="4615" width="8.875" style="214" customWidth="1"/>
    <col min="4616" max="4616" width="13.125" style="214" customWidth="1"/>
    <col min="4617" max="4617" width="9.375" style="214"/>
    <col min="4618" max="4618" width="9.875" style="214" customWidth="1"/>
    <col min="4619" max="4619" width="11.75" style="214" bestFit="1" customWidth="1"/>
    <col min="4620" max="4849" width="9.375" style="214"/>
    <col min="4850" max="4850" width="5" style="214" customWidth="1"/>
    <col min="4851" max="4851" width="17.875" style="214" bestFit="1" customWidth="1"/>
    <col min="4852" max="4852" width="9.875" style="214" customWidth="1"/>
    <col min="4853" max="4853" width="8.875" style="214" customWidth="1"/>
    <col min="4854" max="4854" width="7.375" style="214" bestFit="1" customWidth="1"/>
    <col min="4855" max="4855" width="10.125" style="214" bestFit="1" customWidth="1"/>
    <col min="4856" max="4856" width="9.375" style="214"/>
    <col min="4857" max="4857" width="10.125" style="214" bestFit="1" customWidth="1"/>
    <col min="4858" max="4858" width="10.75" style="214" customWidth="1"/>
    <col min="4859" max="4861" width="9.375" style="214"/>
    <col min="4862" max="4863" width="10.75" style="214" customWidth="1"/>
    <col min="4864" max="4868" width="9.375" style="214"/>
    <col min="4869" max="4869" width="1.625" style="214" bestFit="1" customWidth="1"/>
    <col min="4870" max="4870" width="9.375" style="214"/>
    <col min="4871" max="4871" width="8.875" style="214" customWidth="1"/>
    <col min="4872" max="4872" width="13.125" style="214" customWidth="1"/>
    <col min="4873" max="4873" width="9.375" style="214"/>
    <col min="4874" max="4874" width="9.875" style="214" customWidth="1"/>
    <col min="4875" max="4875" width="11.75" style="214" bestFit="1" customWidth="1"/>
    <col min="4876" max="5105" width="9.375" style="214"/>
    <col min="5106" max="5106" width="5" style="214" customWidth="1"/>
    <col min="5107" max="5107" width="17.875" style="214" bestFit="1" customWidth="1"/>
    <col min="5108" max="5108" width="9.875" style="214" customWidth="1"/>
    <col min="5109" max="5109" width="8.875" style="214" customWidth="1"/>
    <col min="5110" max="5110" width="7.375" style="214" bestFit="1" customWidth="1"/>
    <col min="5111" max="5111" width="10.125" style="214" bestFit="1" customWidth="1"/>
    <col min="5112" max="5112" width="9.375" style="214"/>
    <col min="5113" max="5113" width="10.125" style="214" bestFit="1" customWidth="1"/>
    <col min="5114" max="5114" width="10.75" style="214" customWidth="1"/>
    <col min="5115" max="5117" width="9.375" style="214"/>
    <col min="5118" max="5119" width="10.75" style="214" customWidth="1"/>
    <col min="5120" max="5124" width="9.375" style="214"/>
    <col min="5125" max="5125" width="1.625" style="214" bestFit="1" customWidth="1"/>
    <col min="5126" max="5126" width="9.375" style="214"/>
    <col min="5127" max="5127" width="8.875" style="214" customWidth="1"/>
    <col min="5128" max="5128" width="13.125" style="214" customWidth="1"/>
    <col min="5129" max="5129" width="9.375" style="214"/>
    <col min="5130" max="5130" width="9.875" style="214" customWidth="1"/>
    <col min="5131" max="5131" width="11.75" style="214" bestFit="1" customWidth="1"/>
    <col min="5132" max="5361" width="9.375" style="214"/>
    <col min="5362" max="5362" width="5" style="214" customWidth="1"/>
    <col min="5363" max="5363" width="17.875" style="214" bestFit="1" customWidth="1"/>
    <col min="5364" max="5364" width="9.875" style="214" customWidth="1"/>
    <col min="5365" max="5365" width="8.875" style="214" customWidth="1"/>
    <col min="5366" max="5366" width="7.375" style="214" bestFit="1" customWidth="1"/>
    <col min="5367" max="5367" width="10.125" style="214" bestFit="1" customWidth="1"/>
    <col min="5368" max="5368" width="9.375" style="214"/>
    <col min="5369" max="5369" width="10.125" style="214" bestFit="1" customWidth="1"/>
    <col min="5370" max="5370" width="10.75" style="214" customWidth="1"/>
    <col min="5371" max="5373" width="9.375" style="214"/>
    <col min="5374" max="5375" width="10.75" style="214" customWidth="1"/>
    <col min="5376" max="5380" width="9.375" style="214"/>
    <col min="5381" max="5381" width="1.625" style="214" bestFit="1" customWidth="1"/>
    <col min="5382" max="5382" width="9.375" style="214"/>
    <col min="5383" max="5383" width="8.875" style="214" customWidth="1"/>
    <col min="5384" max="5384" width="13.125" style="214" customWidth="1"/>
    <col min="5385" max="5385" width="9.375" style="214"/>
    <col min="5386" max="5386" width="9.875" style="214" customWidth="1"/>
    <col min="5387" max="5387" width="11.75" style="214" bestFit="1" customWidth="1"/>
    <col min="5388" max="5617" width="9.375" style="214"/>
    <col min="5618" max="5618" width="5" style="214" customWidth="1"/>
    <col min="5619" max="5619" width="17.875" style="214" bestFit="1" customWidth="1"/>
    <col min="5620" max="5620" width="9.875" style="214" customWidth="1"/>
    <col min="5621" max="5621" width="8.875" style="214" customWidth="1"/>
    <col min="5622" max="5622" width="7.375" style="214" bestFit="1" customWidth="1"/>
    <col min="5623" max="5623" width="10.125" style="214" bestFit="1" customWidth="1"/>
    <col min="5624" max="5624" width="9.375" style="214"/>
    <col min="5625" max="5625" width="10.125" style="214" bestFit="1" customWidth="1"/>
    <col min="5626" max="5626" width="10.75" style="214" customWidth="1"/>
    <col min="5627" max="5629" width="9.375" style="214"/>
    <col min="5630" max="5631" width="10.75" style="214" customWidth="1"/>
    <col min="5632" max="5636" width="9.375" style="214"/>
    <col min="5637" max="5637" width="1.625" style="214" bestFit="1" customWidth="1"/>
    <col min="5638" max="5638" width="9.375" style="214"/>
    <col min="5639" max="5639" width="8.875" style="214" customWidth="1"/>
    <col min="5640" max="5640" width="13.125" style="214" customWidth="1"/>
    <col min="5641" max="5641" width="9.375" style="214"/>
    <col min="5642" max="5642" width="9.875" style="214" customWidth="1"/>
    <col min="5643" max="5643" width="11.75" style="214" bestFit="1" customWidth="1"/>
    <col min="5644" max="5873" width="9.375" style="214"/>
    <col min="5874" max="5874" width="5" style="214" customWidth="1"/>
    <col min="5875" max="5875" width="17.875" style="214" bestFit="1" customWidth="1"/>
    <col min="5876" max="5876" width="9.875" style="214" customWidth="1"/>
    <col min="5877" max="5877" width="8.875" style="214" customWidth="1"/>
    <col min="5878" max="5878" width="7.375" style="214" bestFit="1" customWidth="1"/>
    <col min="5879" max="5879" width="10.125" style="214" bestFit="1" customWidth="1"/>
    <col min="5880" max="5880" width="9.375" style="214"/>
    <col min="5881" max="5881" width="10.125" style="214" bestFit="1" customWidth="1"/>
    <col min="5882" max="5882" width="10.75" style="214" customWidth="1"/>
    <col min="5883" max="5885" width="9.375" style="214"/>
    <col min="5886" max="5887" width="10.75" style="214" customWidth="1"/>
    <col min="5888" max="5892" width="9.375" style="214"/>
    <col min="5893" max="5893" width="1.625" style="214" bestFit="1" customWidth="1"/>
    <col min="5894" max="5894" width="9.375" style="214"/>
    <col min="5895" max="5895" width="8.875" style="214" customWidth="1"/>
    <col min="5896" max="5896" width="13.125" style="214" customWidth="1"/>
    <col min="5897" max="5897" width="9.375" style="214"/>
    <col min="5898" max="5898" width="9.875" style="214" customWidth="1"/>
    <col min="5899" max="5899" width="11.75" style="214" bestFit="1" customWidth="1"/>
    <col min="5900" max="6129" width="9.375" style="214"/>
    <col min="6130" max="6130" width="5" style="214" customWidth="1"/>
    <col min="6131" max="6131" width="17.875" style="214" bestFit="1" customWidth="1"/>
    <col min="6132" max="6132" width="9.875" style="214" customWidth="1"/>
    <col min="6133" max="6133" width="8.875" style="214" customWidth="1"/>
    <col min="6134" max="6134" width="7.375" style="214" bestFit="1" customWidth="1"/>
    <col min="6135" max="6135" width="10.125" style="214" bestFit="1" customWidth="1"/>
    <col min="6136" max="6136" width="9.375" style="214"/>
    <col min="6137" max="6137" width="10.125" style="214" bestFit="1" customWidth="1"/>
    <col min="6138" max="6138" width="10.75" style="214" customWidth="1"/>
    <col min="6139" max="6141" width="9.375" style="214"/>
    <col min="6142" max="6143" width="10.75" style="214" customWidth="1"/>
    <col min="6144" max="6148" width="9.375" style="214"/>
    <col min="6149" max="6149" width="1.625" style="214" bestFit="1" customWidth="1"/>
    <col min="6150" max="6150" width="9.375" style="214"/>
    <col min="6151" max="6151" width="8.875" style="214" customWidth="1"/>
    <col min="6152" max="6152" width="13.125" style="214" customWidth="1"/>
    <col min="6153" max="6153" width="9.375" style="214"/>
    <col min="6154" max="6154" width="9.875" style="214" customWidth="1"/>
    <col min="6155" max="6155" width="11.75" style="214" bestFit="1" customWidth="1"/>
    <col min="6156" max="6385" width="9.375" style="214"/>
    <col min="6386" max="6386" width="5" style="214" customWidth="1"/>
    <col min="6387" max="6387" width="17.875" style="214" bestFit="1" customWidth="1"/>
    <col min="6388" max="6388" width="9.875" style="214" customWidth="1"/>
    <col min="6389" max="6389" width="8.875" style="214" customWidth="1"/>
    <col min="6390" max="6390" width="7.375" style="214" bestFit="1" customWidth="1"/>
    <col min="6391" max="6391" width="10.125" style="214" bestFit="1" customWidth="1"/>
    <col min="6392" max="6392" width="9.375" style="214"/>
    <col min="6393" max="6393" width="10.125" style="214" bestFit="1" customWidth="1"/>
    <col min="6394" max="6394" width="10.75" style="214" customWidth="1"/>
    <col min="6395" max="6397" width="9.375" style="214"/>
    <col min="6398" max="6399" width="10.75" style="214" customWidth="1"/>
    <col min="6400" max="6404" width="9.375" style="214"/>
    <col min="6405" max="6405" width="1.625" style="214" bestFit="1" customWidth="1"/>
    <col min="6406" max="6406" width="9.375" style="214"/>
    <col min="6407" max="6407" width="8.875" style="214" customWidth="1"/>
    <col min="6408" max="6408" width="13.125" style="214" customWidth="1"/>
    <col min="6409" max="6409" width="9.375" style="214"/>
    <col min="6410" max="6410" width="9.875" style="214" customWidth="1"/>
    <col min="6411" max="6411" width="11.75" style="214" bestFit="1" customWidth="1"/>
    <col min="6412" max="6641" width="9.375" style="214"/>
    <col min="6642" max="6642" width="5" style="214" customWidth="1"/>
    <col min="6643" max="6643" width="17.875" style="214" bestFit="1" customWidth="1"/>
    <col min="6644" max="6644" width="9.875" style="214" customWidth="1"/>
    <col min="6645" max="6645" width="8.875" style="214" customWidth="1"/>
    <col min="6646" max="6646" width="7.375" style="214" bestFit="1" customWidth="1"/>
    <col min="6647" max="6647" width="10.125" style="214" bestFit="1" customWidth="1"/>
    <col min="6648" max="6648" width="9.375" style="214"/>
    <col min="6649" max="6649" width="10.125" style="214" bestFit="1" customWidth="1"/>
    <col min="6650" max="6650" width="10.75" style="214" customWidth="1"/>
    <col min="6651" max="6653" width="9.375" style="214"/>
    <col min="6654" max="6655" width="10.75" style="214" customWidth="1"/>
    <col min="6656" max="6660" width="9.375" style="214"/>
    <col min="6661" max="6661" width="1.625" style="214" bestFit="1" customWidth="1"/>
    <col min="6662" max="6662" width="9.375" style="214"/>
    <col min="6663" max="6663" width="8.875" style="214" customWidth="1"/>
    <col min="6664" max="6664" width="13.125" style="214" customWidth="1"/>
    <col min="6665" max="6665" width="9.375" style="214"/>
    <col min="6666" max="6666" width="9.875" style="214" customWidth="1"/>
    <col min="6667" max="6667" width="11.75" style="214" bestFit="1" customWidth="1"/>
    <col min="6668" max="6897" width="9.375" style="214"/>
    <col min="6898" max="6898" width="5" style="214" customWidth="1"/>
    <col min="6899" max="6899" width="17.875" style="214" bestFit="1" customWidth="1"/>
    <col min="6900" max="6900" width="9.875" style="214" customWidth="1"/>
    <col min="6901" max="6901" width="8.875" style="214" customWidth="1"/>
    <col min="6902" max="6902" width="7.375" style="214" bestFit="1" customWidth="1"/>
    <col min="6903" max="6903" width="10.125" style="214" bestFit="1" customWidth="1"/>
    <col min="6904" max="6904" width="9.375" style="214"/>
    <col min="6905" max="6905" width="10.125" style="214" bestFit="1" customWidth="1"/>
    <col min="6906" max="6906" width="10.75" style="214" customWidth="1"/>
    <col min="6907" max="6909" width="9.375" style="214"/>
    <col min="6910" max="6911" width="10.75" style="214" customWidth="1"/>
    <col min="6912" max="6916" width="9.375" style="214"/>
    <col min="6917" max="6917" width="1.625" style="214" bestFit="1" customWidth="1"/>
    <col min="6918" max="6918" width="9.375" style="214"/>
    <col min="6919" max="6919" width="8.875" style="214" customWidth="1"/>
    <col min="6920" max="6920" width="13.125" style="214" customWidth="1"/>
    <col min="6921" max="6921" width="9.375" style="214"/>
    <col min="6922" max="6922" width="9.875" style="214" customWidth="1"/>
    <col min="6923" max="6923" width="11.75" style="214" bestFit="1" customWidth="1"/>
    <col min="6924" max="7153" width="9.375" style="214"/>
    <col min="7154" max="7154" width="5" style="214" customWidth="1"/>
    <col min="7155" max="7155" width="17.875" style="214" bestFit="1" customWidth="1"/>
    <col min="7156" max="7156" width="9.875" style="214" customWidth="1"/>
    <col min="7157" max="7157" width="8.875" style="214" customWidth="1"/>
    <col min="7158" max="7158" width="7.375" style="214" bestFit="1" customWidth="1"/>
    <col min="7159" max="7159" width="10.125" style="214" bestFit="1" customWidth="1"/>
    <col min="7160" max="7160" width="9.375" style="214"/>
    <col min="7161" max="7161" width="10.125" style="214" bestFit="1" customWidth="1"/>
    <col min="7162" max="7162" width="10.75" style="214" customWidth="1"/>
    <col min="7163" max="7165" width="9.375" style="214"/>
    <col min="7166" max="7167" width="10.75" style="214" customWidth="1"/>
    <col min="7168" max="7172" width="9.375" style="214"/>
    <col min="7173" max="7173" width="1.625" style="214" bestFit="1" customWidth="1"/>
    <col min="7174" max="7174" width="9.375" style="214"/>
    <col min="7175" max="7175" width="8.875" style="214" customWidth="1"/>
    <col min="7176" max="7176" width="13.125" style="214" customWidth="1"/>
    <col min="7177" max="7177" width="9.375" style="214"/>
    <col min="7178" max="7178" width="9.875" style="214" customWidth="1"/>
    <col min="7179" max="7179" width="11.75" style="214" bestFit="1" customWidth="1"/>
    <col min="7180" max="7409" width="9.375" style="214"/>
    <col min="7410" max="7410" width="5" style="214" customWidth="1"/>
    <col min="7411" max="7411" width="17.875" style="214" bestFit="1" customWidth="1"/>
    <col min="7412" max="7412" width="9.875" style="214" customWidth="1"/>
    <col min="7413" max="7413" width="8.875" style="214" customWidth="1"/>
    <col min="7414" max="7414" width="7.375" style="214" bestFit="1" customWidth="1"/>
    <col min="7415" max="7415" width="10.125" style="214" bestFit="1" customWidth="1"/>
    <col min="7416" max="7416" width="9.375" style="214"/>
    <col min="7417" max="7417" width="10.125" style="214" bestFit="1" customWidth="1"/>
    <col min="7418" max="7418" width="10.75" style="214" customWidth="1"/>
    <col min="7419" max="7421" width="9.375" style="214"/>
    <col min="7422" max="7423" width="10.75" style="214" customWidth="1"/>
    <col min="7424" max="7428" width="9.375" style="214"/>
    <col min="7429" max="7429" width="1.625" style="214" bestFit="1" customWidth="1"/>
    <col min="7430" max="7430" width="9.375" style="214"/>
    <col min="7431" max="7431" width="8.875" style="214" customWidth="1"/>
    <col min="7432" max="7432" width="13.125" style="214" customWidth="1"/>
    <col min="7433" max="7433" width="9.375" style="214"/>
    <col min="7434" max="7434" width="9.875" style="214" customWidth="1"/>
    <col min="7435" max="7435" width="11.75" style="214" bestFit="1" customWidth="1"/>
    <col min="7436" max="7665" width="9.375" style="214"/>
    <col min="7666" max="7666" width="5" style="214" customWidth="1"/>
    <col min="7667" max="7667" width="17.875" style="214" bestFit="1" customWidth="1"/>
    <col min="7668" max="7668" width="9.875" style="214" customWidth="1"/>
    <col min="7669" max="7669" width="8.875" style="214" customWidth="1"/>
    <col min="7670" max="7670" width="7.375" style="214" bestFit="1" customWidth="1"/>
    <col min="7671" max="7671" width="10.125" style="214" bestFit="1" customWidth="1"/>
    <col min="7672" max="7672" width="9.375" style="214"/>
    <col min="7673" max="7673" width="10.125" style="214" bestFit="1" customWidth="1"/>
    <col min="7674" max="7674" width="10.75" style="214" customWidth="1"/>
    <col min="7675" max="7677" width="9.375" style="214"/>
    <col min="7678" max="7679" width="10.75" style="214" customWidth="1"/>
    <col min="7680" max="7684" width="9.375" style="214"/>
    <col min="7685" max="7685" width="1.625" style="214" bestFit="1" customWidth="1"/>
    <col min="7686" max="7686" width="9.375" style="214"/>
    <col min="7687" max="7687" width="8.875" style="214" customWidth="1"/>
    <col min="7688" max="7688" width="13.125" style="214" customWidth="1"/>
    <col min="7689" max="7689" width="9.375" style="214"/>
    <col min="7690" max="7690" width="9.875" style="214" customWidth="1"/>
    <col min="7691" max="7691" width="11.75" style="214" bestFit="1" customWidth="1"/>
    <col min="7692" max="7921" width="9.375" style="214"/>
    <col min="7922" max="7922" width="5" style="214" customWidth="1"/>
    <col min="7923" max="7923" width="17.875" style="214" bestFit="1" customWidth="1"/>
    <col min="7924" max="7924" width="9.875" style="214" customWidth="1"/>
    <col min="7925" max="7925" width="8.875" style="214" customWidth="1"/>
    <col min="7926" max="7926" width="7.375" style="214" bestFit="1" customWidth="1"/>
    <col min="7927" max="7927" width="10.125" style="214" bestFit="1" customWidth="1"/>
    <col min="7928" max="7928" width="9.375" style="214"/>
    <col min="7929" max="7929" width="10.125" style="214" bestFit="1" customWidth="1"/>
    <col min="7930" max="7930" width="10.75" style="214" customWidth="1"/>
    <col min="7931" max="7933" width="9.375" style="214"/>
    <col min="7934" max="7935" width="10.75" style="214" customWidth="1"/>
    <col min="7936" max="7940" width="9.375" style="214"/>
    <col min="7941" max="7941" width="1.625" style="214" bestFit="1" customWidth="1"/>
    <col min="7942" max="7942" width="9.375" style="214"/>
    <col min="7943" max="7943" width="8.875" style="214" customWidth="1"/>
    <col min="7944" max="7944" width="13.125" style="214" customWidth="1"/>
    <col min="7945" max="7945" width="9.375" style="214"/>
    <col min="7946" max="7946" width="9.875" style="214" customWidth="1"/>
    <col min="7947" max="7947" width="11.75" style="214" bestFit="1" customWidth="1"/>
    <col min="7948" max="8177" width="9.375" style="214"/>
    <col min="8178" max="8178" width="5" style="214" customWidth="1"/>
    <col min="8179" max="8179" width="17.875" style="214" bestFit="1" customWidth="1"/>
    <col min="8180" max="8180" width="9.875" style="214" customWidth="1"/>
    <col min="8181" max="8181" width="8.875" style="214" customWidth="1"/>
    <col min="8182" max="8182" width="7.375" style="214" bestFit="1" customWidth="1"/>
    <col min="8183" max="8183" width="10.125" style="214" bestFit="1" customWidth="1"/>
    <col min="8184" max="8184" width="9.375" style="214"/>
    <col min="8185" max="8185" width="10.125" style="214" bestFit="1" customWidth="1"/>
    <col min="8186" max="8186" width="10.75" style="214" customWidth="1"/>
    <col min="8187" max="8189" width="9.375" style="214"/>
    <col min="8190" max="8191" width="10.75" style="214" customWidth="1"/>
    <col min="8192" max="8196" width="9.375" style="214"/>
    <col min="8197" max="8197" width="1.625" style="214" bestFit="1" customWidth="1"/>
    <col min="8198" max="8198" width="9.375" style="214"/>
    <col min="8199" max="8199" width="8.875" style="214" customWidth="1"/>
    <col min="8200" max="8200" width="13.125" style="214" customWidth="1"/>
    <col min="8201" max="8201" width="9.375" style="214"/>
    <col min="8202" max="8202" width="9.875" style="214" customWidth="1"/>
    <col min="8203" max="8203" width="11.75" style="214" bestFit="1" customWidth="1"/>
    <col min="8204" max="8433" width="9.375" style="214"/>
    <col min="8434" max="8434" width="5" style="214" customWidth="1"/>
    <col min="8435" max="8435" width="17.875" style="214" bestFit="1" customWidth="1"/>
    <col min="8436" max="8436" width="9.875" style="214" customWidth="1"/>
    <col min="8437" max="8437" width="8.875" style="214" customWidth="1"/>
    <col min="8438" max="8438" width="7.375" style="214" bestFit="1" customWidth="1"/>
    <col min="8439" max="8439" width="10.125" style="214" bestFit="1" customWidth="1"/>
    <col min="8440" max="8440" width="9.375" style="214"/>
    <col min="8441" max="8441" width="10.125" style="214" bestFit="1" customWidth="1"/>
    <col min="8442" max="8442" width="10.75" style="214" customWidth="1"/>
    <col min="8443" max="8445" width="9.375" style="214"/>
    <col min="8446" max="8447" width="10.75" style="214" customWidth="1"/>
    <col min="8448" max="8452" width="9.375" style="214"/>
    <col min="8453" max="8453" width="1.625" style="214" bestFit="1" customWidth="1"/>
    <col min="8454" max="8454" width="9.375" style="214"/>
    <col min="8455" max="8455" width="8.875" style="214" customWidth="1"/>
    <col min="8456" max="8456" width="13.125" style="214" customWidth="1"/>
    <col min="8457" max="8457" width="9.375" style="214"/>
    <col min="8458" max="8458" width="9.875" style="214" customWidth="1"/>
    <col min="8459" max="8459" width="11.75" style="214" bestFit="1" customWidth="1"/>
    <col min="8460" max="8689" width="9.375" style="214"/>
    <col min="8690" max="8690" width="5" style="214" customWidth="1"/>
    <col min="8691" max="8691" width="17.875" style="214" bestFit="1" customWidth="1"/>
    <col min="8692" max="8692" width="9.875" style="214" customWidth="1"/>
    <col min="8693" max="8693" width="8.875" style="214" customWidth="1"/>
    <col min="8694" max="8694" width="7.375" style="214" bestFit="1" customWidth="1"/>
    <col min="8695" max="8695" width="10.125" style="214" bestFit="1" customWidth="1"/>
    <col min="8696" max="8696" width="9.375" style="214"/>
    <col min="8697" max="8697" width="10.125" style="214" bestFit="1" customWidth="1"/>
    <col min="8698" max="8698" width="10.75" style="214" customWidth="1"/>
    <col min="8699" max="8701" width="9.375" style="214"/>
    <col min="8702" max="8703" width="10.75" style="214" customWidth="1"/>
    <col min="8704" max="8708" width="9.375" style="214"/>
    <col min="8709" max="8709" width="1.625" style="214" bestFit="1" customWidth="1"/>
    <col min="8710" max="8710" width="9.375" style="214"/>
    <col min="8711" max="8711" width="8.875" style="214" customWidth="1"/>
    <col min="8712" max="8712" width="13.125" style="214" customWidth="1"/>
    <col min="8713" max="8713" width="9.375" style="214"/>
    <col min="8714" max="8714" width="9.875" style="214" customWidth="1"/>
    <col min="8715" max="8715" width="11.75" style="214" bestFit="1" customWidth="1"/>
    <col min="8716" max="8945" width="9.375" style="214"/>
    <col min="8946" max="8946" width="5" style="214" customWidth="1"/>
    <col min="8947" max="8947" width="17.875" style="214" bestFit="1" customWidth="1"/>
    <col min="8948" max="8948" width="9.875" style="214" customWidth="1"/>
    <col min="8949" max="8949" width="8.875" style="214" customWidth="1"/>
    <col min="8950" max="8950" width="7.375" style="214" bestFit="1" customWidth="1"/>
    <col min="8951" max="8951" width="10.125" style="214" bestFit="1" customWidth="1"/>
    <col min="8952" max="8952" width="9.375" style="214"/>
    <col min="8953" max="8953" width="10.125" style="214" bestFit="1" customWidth="1"/>
    <col min="8954" max="8954" width="10.75" style="214" customWidth="1"/>
    <col min="8955" max="8957" width="9.375" style="214"/>
    <col min="8958" max="8959" width="10.75" style="214" customWidth="1"/>
    <col min="8960" max="8964" width="9.375" style="214"/>
    <col min="8965" max="8965" width="1.625" style="214" bestFit="1" customWidth="1"/>
    <col min="8966" max="8966" width="9.375" style="214"/>
    <col min="8967" max="8967" width="8.875" style="214" customWidth="1"/>
    <col min="8968" max="8968" width="13.125" style="214" customWidth="1"/>
    <col min="8969" max="8969" width="9.375" style="214"/>
    <col min="8970" max="8970" width="9.875" style="214" customWidth="1"/>
    <col min="8971" max="8971" width="11.75" style="214" bestFit="1" customWidth="1"/>
    <col min="8972" max="9201" width="9.375" style="214"/>
    <col min="9202" max="9202" width="5" style="214" customWidth="1"/>
    <col min="9203" max="9203" width="17.875" style="214" bestFit="1" customWidth="1"/>
    <col min="9204" max="9204" width="9.875" style="214" customWidth="1"/>
    <col min="9205" max="9205" width="8.875" style="214" customWidth="1"/>
    <col min="9206" max="9206" width="7.375" style="214" bestFit="1" customWidth="1"/>
    <col min="9207" max="9207" width="10.125" style="214" bestFit="1" customWidth="1"/>
    <col min="9208" max="9208" width="9.375" style="214"/>
    <col min="9209" max="9209" width="10.125" style="214" bestFit="1" customWidth="1"/>
    <col min="9210" max="9210" width="10.75" style="214" customWidth="1"/>
    <col min="9211" max="9213" width="9.375" style="214"/>
    <col min="9214" max="9215" width="10.75" style="214" customWidth="1"/>
    <col min="9216" max="9220" width="9.375" style="214"/>
    <col min="9221" max="9221" width="1.625" style="214" bestFit="1" customWidth="1"/>
    <col min="9222" max="9222" width="9.375" style="214"/>
    <col min="9223" max="9223" width="8.875" style="214" customWidth="1"/>
    <col min="9224" max="9224" width="13.125" style="214" customWidth="1"/>
    <col min="9225" max="9225" width="9.375" style="214"/>
    <col min="9226" max="9226" width="9.875" style="214" customWidth="1"/>
    <col min="9227" max="9227" width="11.75" style="214" bestFit="1" customWidth="1"/>
    <col min="9228" max="9457" width="9.375" style="214"/>
    <col min="9458" max="9458" width="5" style="214" customWidth="1"/>
    <col min="9459" max="9459" width="17.875" style="214" bestFit="1" customWidth="1"/>
    <col min="9460" max="9460" width="9.875" style="214" customWidth="1"/>
    <col min="9461" max="9461" width="8.875" style="214" customWidth="1"/>
    <col min="9462" max="9462" width="7.375" style="214" bestFit="1" customWidth="1"/>
    <col min="9463" max="9463" width="10.125" style="214" bestFit="1" customWidth="1"/>
    <col min="9464" max="9464" width="9.375" style="214"/>
    <col min="9465" max="9465" width="10.125" style="214" bestFit="1" customWidth="1"/>
    <col min="9466" max="9466" width="10.75" style="214" customWidth="1"/>
    <col min="9467" max="9469" width="9.375" style="214"/>
    <col min="9470" max="9471" width="10.75" style="214" customWidth="1"/>
    <col min="9472" max="9476" width="9.375" style="214"/>
    <col min="9477" max="9477" width="1.625" style="214" bestFit="1" customWidth="1"/>
    <col min="9478" max="9478" width="9.375" style="214"/>
    <col min="9479" max="9479" width="8.875" style="214" customWidth="1"/>
    <col min="9480" max="9480" width="13.125" style="214" customWidth="1"/>
    <col min="9481" max="9481" width="9.375" style="214"/>
    <col min="9482" max="9482" width="9.875" style="214" customWidth="1"/>
    <col min="9483" max="9483" width="11.75" style="214" bestFit="1" customWidth="1"/>
    <col min="9484" max="9713" width="9.375" style="214"/>
    <col min="9714" max="9714" width="5" style="214" customWidth="1"/>
    <col min="9715" max="9715" width="17.875" style="214" bestFit="1" customWidth="1"/>
    <col min="9716" max="9716" width="9.875" style="214" customWidth="1"/>
    <col min="9717" max="9717" width="8.875" style="214" customWidth="1"/>
    <col min="9718" max="9718" width="7.375" style="214" bestFit="1" customWidth="1"/>
    <col min="9719" max="9719" width="10.125" style="214" bestFit="1" customWidth="1"/>
    <col min="9720" max="9720" width="9.375" style="214"/>
    <col min="9721" max="9721" width="10.125" style="214" bestFit="1" customWidth="1"/>
    <col min="9722" max="9722" width="10.75" style="214" customWidth="1"/>
    <col min="9723" max="9725" width="9.375" style="214"/>
    <col min="9726" max="9727" width="10.75" style="214" customWidth="1"/>
    <col min="9728" max="9732" width="9.375" style="214"/>
    <col min="9733" max="9733" width="1.625" style="214" bestFit="1" customWidth="1"/>
    <col min="9734" max="9734" width="9.375" style="214"/>
    <col min="9735" max="9735" width="8.875" style="214" customWidth="1"/>
    <col min="9736" max="9736" width="13.125" style="214" customWidth="1"/>
    <col min="9737" max="9737" width="9.375" style="214"/>
    <col min="9738" max="9738" width="9.875" style="214" customWidth="1"/>
    <col min="9739" max="9739" width="11.75" style="214" bestFit="1" customWidth="1"/>
    <col min="9740" max="9969" width="9.375" style="214"/>
    <col min="9970" max="9970" width="5" style="214" customWidth="1"/>
    <col min="9971" max="9971" width="17.875" style="214" bestFit="1" customWidth="1"/>
    <col min="9972" max="9972" width="9.875" style="214" customWidth="1"/>
    <col min="9973" max="9973" width="8.875" style="214" customWidth="1"/>
    <col min="9974" max="9974" width="7.375" style="214" bestFit="1" customWidth="1"/>
    <col min="9975" max="9975" width="10.125" style="214" bestFit="1" customWidth="1"/>
    <col min="9976" max="9976" width="9.375" style="214"/>
    <col min="9977" max="9977" width="10.125" style="214" bestFit="1" customWidth="1"/>
    <col min="9978" max="9978" width="10.75" style="214" customWidth="1"/>
    <col min="9979" max="9981" width="9.375" style="214"/>
    <col min="9982" max="9983" width="10.75" style="214" customWidth="1"/>
    <col min="9984" max="9988" width="9.375" style="214"/>
    <col min="9989" max="9989" width="1.625" style="214" bestFit="1" customWidth="1"/>
    <col min="9990" max="9990" width="9.375" style="214"/>
    <col min="9991" max="9991" width="8.875" style="214" customWidth="1"/>
    <col min="9992" max="9992" width="13.125" style="214" customWidth="1"/>
    <col min="9993" max="9993" width="9.375" style="214"/>
    <col min="9994" max="9994" width="9.875" style="214" customWidth="1"/>
    <col min="9995" max="9995" width="11.75" style="214" bestFit="1" customWidth="1"/>
    <col min="9996" max="10225" width="9.375" style="214"/>
    <col min="10226" max="10226" width="5" style="214" customWidth="1"/>
    <col min="10227" max="10227" width="17.875" style="214" bestFit="1" customWidth="1"/>
    <col min="10228" max="10228" width="9.875" style="214" customWidth="1"/>
    <col min="10229" max="10229" width="8.875" style="214" customWidth="1"/>
    <col min="10230" max="10230" width="7.375" style="214" bestFit="1" customWidth="1"/>
    <col min="10231" max="10231" width="10.125" style="214" bestFit="1" customWidth="1"/>
    <col min="10232" max="10232" width="9.375" style="214"/>
    <col min="10233" max="10233" width="10.125" style="214" bestFit="1" customWidth="1"/>
    <col min="10234" max="10234" width="10.75" style="214" customWidth="1"/>
    <col min="10235" max="10237" width="9.375" style="214"/>
    <col min="10238" max="10239" width="10.75" style="214" customWidth="1"/>
    <col min="10240" max="10244" width="9.375" style="214"/>
    <col min="10245" max="10245" width="1.625" style="214" bestFit="1" customWidth="1"/>
    <col min="10246" max="10246" width="9.375" style="214"/>
    <col min="10247" max="10247" width="8.875" style="214" customWidth="1"/>
    <col min="10248" max="10248" width="13.125" style="214" customWidth="1"/>
    <col min="10249" max="10249" width="9.375" style="214"/>
    <col min="10250" max="10250" width="9.875" style="214" customWidth="1"/>
    <col min="10251" max="10251" width="11.75" style="214" bestFit="1" customWidth="1"/>
    <col min="10252" max="10481" width="9.375" style="214"/>
    <col min="10482" max="10482" width="5" style="214" customWidth="1"/>
    <col min="10483" max="10483" width="17.875" style="214" bestFit="1" customWidth="1"/>
    <col min="10484" max="10484" width="9.875" style="214" customWidth="1"/>
    <col min="10485" max="10485" width="8.875" style="214" customWidth="1"/>
    <col min="10486" max="10486" width="7.375" style="214" bestFit="1" customWidth="1"/>
    <col min="10487" max="10487" width="10.125" style="214" bestFit="1" customWidth="1"/>
    <col min="10488" max="10488" width="9.375" style="214"/>
    <col min="10489" max="10489" width="10.125" style="214" bestFit="1" customWidth="1"/>
    <col min="10490" max="10490" width="10.75" style="214" customWidth="1"/>
    <col min="10491" max="10493" width="9.375" style="214"/>
    <col min="10494" max="10495" width="10.75" style="214" customWidth="1"/>
    <col min="10496" max="10500" width="9.375" style="214"/>
    <col min="10501" max="10501" width="1.625" style="214" bestFit="1" customWidth="1"/>
    <col min="10502" max="10502" width="9.375" style="214"/>
    <col min="10503" max="10503" width="8.875" style="214" customWidth="1"/>
    <col min="10504" max="10504" width="13.125" style="214" customWidth="1"/>
    <col min="10505" max="10505" width="9.375" style="214"/>
    <col min="10506" max="10506" width="9.875" style="214" customWidth="1"/>
    <col min="10507" max="10507" width="11.75" style="214" bestFit="1" customWidth="1"/>
    <col min="10508" max="10737" width="9.375" style="214"/>
    <col min="10738" max="10738" width="5" style="214" customWidth="1"/>
    <col min="10739" max="10739" width="17.875" style="214" bestFit="1" customWidth="1"/>
    <col min="10740" max="10740" width="9.875" style="214" customWidth="1"/>
    <col min="10741" max="10741" width="8.875" style="214" customWidth="1"/>
    <col min="10742" max="10742" width="7.375" style="214" bestFit="1" customWidth="1"/>
    <col min="10743" max="10743" width="10.125" style="214" bestFit="1" customWidth="1"/>
    <col min="10744" max="10744" width="9.375" style="214"/>
    <col min="10745" max="10745" width="10.125" style="214" bestFit="1" customWidth="1"/>
    <col min="10746" max="10746" width="10.75" style="214" customWidth="1"/>
    <col min="10747" max="10749" width="9.375" style="214"/>
    <col min="10750" max="10751" width="10.75" style="214" customWidth="1"/>
    <col min="10752" max="10756" width="9.375" style="214"/>
    <col min="10757" max="10757" width="1.625" style="214" bestFit="1" customWidth="1"/>
    <col min="10758" max="10758" width="9.375" style="214"/>
    <col min="10759" max="10759" width="8.875" style="214" customWidth="1"/>
    <col min="10760" max="10760" width="13.125" style="214" customWidth="1"/>
    <col min="10761" max="10761" width="9.375" style="214"/>
    <col min="10762" max="10762" width="9.875" style="214" customWidth="1"/>
    <col min="10763" max="10763" width="11.75" style="214" bestFit="1" customWidth="1"/>
    <col min="10764" max="10993" width="9.375" style="214"/>
    <col min="10994" max="10994" width="5" style="214" customWidth="1"/>
    <col min="10995" max="10995" width="17.875" style="214" bestFit="1" customWidth="1"/>
    <col min="10996" max="10996" width="9.875" style="214" customWidth="1"/>
    <col min="10997" max="10997" width="8.875" style="214" customWidth="1"/>
    <col min="10998" max="10998" width="7.375" style="214" bestFit="1" customWidth="1"/>
    <col min="10999" max="10999" width="10.125" style="214" bestFit="1" customWidth="1"/>
    <col min="11000" max="11000" width="9.375" style="214"/>
    <col min="11001" max="11001" width="10.125" style="214" bestFit="1" customWidth="1"/>
    <col min="11002" max="11002" width="10.75" style="214" customWidth="1"/>
    <col min="11003" max="11005" width="9.375" style="214"/>
    <col min="11006" max="11007" width="10.75" style="214" customWidth="1"/>
    <col min="11008" max="11012" width="9.375" style="214"/>
    <col min="11013" max="11013" width="1.625" style="214" bestFit="1" customWidth="1"/>
    <col min="11014" max="11014" width="9.375" style="214"/>
    <col min="11015" max="11015" width="8.875" style="214" customWidth="1"/>
    <col min="11016" max="11016" width="13.125" style="214" customWidth="1"/>
    <col min="11017" max="11017" width="9.375" style="214"/>
    <col min="11018" max="11018" width="9.875" style="214" customWidth="1"/>
    <col min="11019" max="11019" width="11.75" style="214" bestFit="1" customWidth="1"/>
    <col min="11020" max="11249" width="9.375" style="214"/>
    <col min="11250" max="11250" width="5" style="214" customWidth="1"/>
    <col min="11251" max="11251" width="17.875" style="214" bestFit="1" customWidth="1"/>
    <col min="11252" max="11252" width="9.875" style="214" customWidth="1"/>
    <col min="11253" max="11253" width="8.875" style="214" customWidth="1"/>
    <col min="11254" max="11254" width="7.375" style="214" bestFit="1" customWidth="1"/>
    <col min="11255" max="11255" width="10.125" style="214" bestFit="1" customWidth="1"/>
    <col min="11256" max="11256" width="9.375" style="214"/>
    <col min="11257" max="11257" width="10.125" style="214" bestFit="1" customWidth="1"/>
    <col min="11258" max="11258" width="10.75" style="214" customWidth="1"/>
    <col min="11259" max="11261" width="9.375" style="214"/>
    <col min="11262" max="11263" width="10.75" style="214" customWidth="1"/>
    <col min="11264" max="11268" width="9.375" style="214"/>
    <col min="11269" max="11269" width="1.625" style="214" bestFit="1" customWidth="1"/>
    <col min="11270" max="11270" width="9.375" style="214"/>
    <col min="11271" max="11271" width="8.875" style="214" customWidth="1"/>
    <col min="11272" max="11272" width="13.125" style="214" customWidth="1"/>
    <col min="11273" max="11273" width="9.375" style="214"/>
    <col min="11274" max="11274" width="9.875" style="214" customWidth="1"/>
    <col min="11275" max="11275" width="11.75" style="214" bestFit="1" customWidth="1"/>
    <col min="11276" max="11505" width="9.375" style="214"/>
    <col min="11506" max="11506" width="5" style="214" customWidth="1"/>
    <col min="11507" max="11507" width="17.875" style="214" bestFit="1" customWidth="1"/>
    <col min="11508" max="11508" width="9.875" style="214" customWidth="1"/>
    <col min="11509" max="11509" width="8.875" style="214" customWidth="1"/>
    <col min="11510" max="11510" width="7.375" style="214" bestFit="1" customWidth="1"/>
    <col min="11511" max="11511" width="10.125" style="214" bestFit="1" customWidth="1"/>
    <col min="11512" max="11512" width="9.375" style="214"/>
    <col min="11513" max="11513" width="10.125" style="214" bestFit="1" customWidth="1"/>
    <col min="11514" max="11514" width="10.75" style="214" customWidth="1"/>
    <col min="11515" max="11517" width="9.375" style="214"/>
    <col min="11518" max="11519" width="10.75" style="214" customWidth="1"/>
    <col min="11520" max="11524" width="9.375" style="214"/>
    <col min="11525" max="11525" width="1.625" style="214" bestFit="1" customWidth="1"/>
    <col min="11526" max="11526" width="9.375" style="214"/>
    <col min="11527" max="11527" width="8.875" style="214" customWidth="1"/>
    <col min="11528" max="11528" width="13.125" style="214" customWidth="1"/>
    <col min="11529" max="11529" width="9.375" style="214"/>
    <col min="11530" max="11530" width="9.875" style="214" customWidth="1"/>
    <col min="11531" max="11531" width="11.75" style="214" bestFit="1" customWidth="1"/>
    <col min="11532" max="11761" width="9.375" style="214"/>
    <col min="11762" max="11762" width="5" style="214" customWidth="1"/>
    <col min="11763" max="11763" width="17.875" style="214" bestFit="1" customWidth="1"/>
    <col min="11764" max="11764" width="9.875" style="214" customWidth="1"/>
    <col min="11765" max="11765" width="8.875" style="214" customWidth="1"/>
    <col min="11766" max="11766" width="7.375" style="214" bestFit="1" customWidth="1"/>
    <col min="11767" max="11767" width="10.125" style="214" bestFit="1" customWidth="1"/>
    <col min="11768" max="11768" width="9.375" style="214"/>
    <col min="11769" max="11769" width="10.125" style="214" bestFit="1" customWidth="1"/>
    <col min="11770" max="11770" width="10.75" style="214" customWidth="1"/>
    <col min="11771" max="11773" width="9.375" style="214"/>
    <col min="11774" max="11775" width="10.75" style="214" customWidth="1"/>
    <col min="11776" max="11780" width="9.375" style="214"/>
    <col min="11781" max="11781" width="1.625" style="214" bestFit="1" customWidth="1"/>
    <col min="11782" max="11782" width="9.375" style="214"/>
    <col min="11783" max="11783" width="8.875" style="214" customWidth="1"/>
    <col min="11784" max="11784" width="13.125" style="214" customWidth="1"/>
    <col min="11785" max="11785" width="9.375" style="214"/>
    <col min="11786" max="11786" width="9.875" style="214" customWidth="1"/>
    <col min="11787" max="11787" width="11.75" style="214" bestFit="1" customWidth="1"/>
    <col min="11788" max="12017" width="9.375" style="214"/>
    <col min="12018" max="12018" width="5" style="214" customWidth="1"/>
    <col min="12019" max="12019" width="17.875" style="214" bestFit="1" customWidth="1"/>
    <col min="12020" max="12020" width="9.875" style="214" customWidth="1"/>
    <col min="12021" max="12021" width="8.875" style="214" customWidth="1"/>
    <col min="12022" max="12022" width="7.375" style="214" bestFit="1" customWidth="1"/>
    <col min="12023" max="12023" width="10.125" style="214" bestFit="1" customWidth="1"/>
    <col min="12024" max="12024" width="9.375" style="214"/>
    <col min="12025" max="12025" width="10.125" style="214" bestFit="1" customWidth="1"/>
    <col min="12026" max="12026" width="10.75" style="214" customWidth="1"/>
    <col min="12027" max="12029" width="9.375" style="214"/>
    <col min="12030" max="12031" width="10.75" style="214" customWidth="1"/>
    <col min="12032" max="12036" width="9.375" style="214"/>
    <col min="12037" max="12037" width="1.625" style="214" bestFit="1" customWidth="1"/>
    <col min="12038" max="12038" width="9.375" style="214"/>
    <col min="12039" max="12039" width="8.875" style="214" customWidth="1"/>
    <col min="12040" max="12040" width="13.125" style="214" customWidth="1"/>
    <col min="12041" max="12041" width="9.375" style="214"/>
    <col min="12042" max="12042" width="9.875" style="214" customWidth="1"/>
    <col min="12043" max="12043" width="11.75" style="214" bestFit="1" customWidth="1"/>
    <col min="12044" max="12273" width="9.375" style="214"/>
    <col min="12274" max="12274" width="5" style="214" customWidth="1"/>
    <col min="12275" max="12275" width="17.875" style="214" bestFit="1" customWidth="1"/>
    <col min="12276" max="12276" width="9.875" style="214" customWidth="1"/>
    <col min="12277" max="12277" width="8.875" style="214" customWidth="1"/>
    <col min="12278" max="12278" width="7.375" style="214" bestFit="1" customWidth="1"/>
    <col min="12279" max="12279" width="10.125" style="214" bestFit="1" customWidth="1"/>
    <col min="12280" max="12280" width="9.375" style="214"/>
    <col min="12281" max="12281" width="10.125" style="214" bestFit="1" customWidth="1"/>
    <col min="12282" max="12282" width="10.75" style="214" customWidth="1"/>
    <col min="12283" max="12285" width="9.375" style="214"/>
    <col min="12286" max="12287" width="10.75" style="214" customWidth="1"/>
    <col min="12288" max="12292" width="9.375" style="214"/>
    <col min="12293" max="12293" width="1.625" style="214" bestFit="1" customWidth="1"/>
    <col min="12294" max="12294" width="9.375" style="214"/>
    <col min="12295" max="12295" width="8.875" style="214" customWidth="1"/>
    <col min="12296" max="12296" width="13.125" style="214" customWidth="1"/>
    <col min="12297" max="12297" width="9.375" style="214"/>
    <col min="12298" max="12298" width="9.875" style="214" customWidth="1"/>
    <col min="12299" max="12299" width="11.75" style="214" bestFit="1" customWidth="1"/>
    <col min="12300" max="12529" width="9.375" style="214"/>
    <col min="12530" max="12530" width="5" style="214" customWidth="1"/>
    <col min="12531" max="12531" width="17.875" style="214" bestFit="1" customWidth="1"/>
    <col min="12532" max="12532" width="9.875" style="214" customWidth="1"/>
    <col min="12533" max="12533" width="8.875" style="214" customWidth="1"/>
    <col min="12534" max="12534" width="7.375" style="214" bestFit="1" customWidth="1"/>
    <col min="12535" max="12535" width="10.125" style="214" bestFit="1" customWidth="1"/>
    <col min="12536" max="12536" width="9.375" style="214"/>
    <col min="12537" max="12537" width="10.125" style="214" bestFit="1" customWidth="1"/>
    <col min="12538" max="12538" width="10.75" style="214" customWidth="1"/>
    <col min="12539" max="12541" width="9.375" style="214"/>
    <col min="12542" max="12543" width="10.75" style="214" customWidth="1"/>
    <col min="12544" max="12548" width="9.375" style="214"/>
    <col min="12549" max="12549" width="1.625" style="214" bestFit="1" customWidth="1"/>
    <col min="12550" max="12550" width="9.375" style="214"/>
    <col min="12551" max="12551" width="8.875" style="214" customWidth="1"/>
    <col min="12552" max="12552" width="13.125" style="214" customWidth="1"/>
    <col min="12553" max="12553" width="9.375" style="214"/>
    <col min="12554" max="12554" width="9.875" style="214" customWidth="1"/>
    <col min="12555" max="12555" width="11.75" style="214" bestFit="1" customWidth="1"/>
    <col min="12556" max="12785" width="9.375" style="214"/>
    <col min="12786" max="12786" width="5" style="214" customWidth="1"/>
    <col min="12787" max="12787" width="17.875" style="214" bestFit="1" customWidth="1"/>
    <col min="12788" max="12788" width="9.875" style="214" customWidth="1"/>
    <col min="12789" max="12789" width="8.875" style="214" customWidth="1"/>
    <col min="12790" max="12790" width="7.375" style="214" bestFit="1" customWidth="1"/>
    <col min="12791" max="12791" width="10.125" style="214" bestFit="1" customWidth="1"/>
    <col min="12792" max="12792" width="9.375" style="214"/>
    <col min="12793" max="12793" width="10.125" style="214" bestFit="1" customWidth="1"/>
    <col min="12794" max="12794" width="10.75" style="214" customWidth="1"/>
    <col min="12795" max="12797" width="9.375" style="214"/>
    <col min="12798" max="12799" width="10.75" style="214" customWidth="1"/>
    <col min="12800" max="12804" width="9.375" style="214"/>
    <col min="12805" max="12805" width="1.625" style="214" bestFit="1" customWidth="1"/>
    <col min="12806" max="12806" width="9.375" style="214"/>
    <col min="12807" max="12807" width="8.875" style="214" customWidth="1"/>
    <col min="12808" max="12808" width="13.125" style="214" customWidth="1"/>
    <col min="12809" max="12809" width="9.375" style="214"/>
    <col min="12810" max="12810" width="9.875" style="214" customWidth="1"/>
    <col min="12811" max="12811" width="11.75" style="214" bestFit="1" customWidth="1"/>
    <col min="12812" max="13041" width="9.375" style="214"/>
    <col min="13042" max="13042" width="5" style="214" customWidth="1"/>
    <col min="13043" max="13043" width="17.875" style="214" bestFit="1" customWidth="1"/>
    <col min="13044" max="13044" width="9.875" style="214" customWidth="1"/>
    <col min="13045" max="13045" width="8.875" style="214" customWidth="1"/>
    <col min="13046" max="13046" width="7.375" style="214" bestFit="1" customWidth="1"/>
    <col min="13047" max="13047" width="10.125" style="214" bestFit="1" customWidth="1"/>
    <col min="13048" max="13048" width="9.375" style="214"/>
    <col min="13049" max="13049" width="10.125" style="214" bestFit="1" customWidth="1"/>
    <col min="13050" max="13050" width="10.75" style="214" customWidth="1"/>
    <col min="13051" max="13053" width="9.375" style="214"/>
    <col min="13054" max="13055" width="10.75" style="214" customWidth="1"/>
    <col min="13056" max="13060" width="9.375" style="214"/>
    <col min="13061" max="13061" width="1.625" style="214" bestFit="1" customWidth="1"/>
    <col min="13062" max="13062" width="9.375" style="214"/>
    <col min="13063" max="13063" width="8.875" style="214" customWidth="1"/>
    <col min="13064" max="13064" width="13.125" style="214" customWidth="1"/>
    <col min="13065" max="13065" width="9.375" style="214"/>
    <col min="13066" max="13066" width="9.875" style="214" customWidth="1"/>
    <col min="13067" max="13067" width="11.75" style="214" bestFit="1" customWidth="1"/>
    <col min="13068" max="13297" width="9.375" style="214"/>
    <col min="13298" max="13298" width="5" style="214" customWidth="1"/>
    <col min="13299" max="13299" width="17.875" style="214" bestFit="1" customWidth="1"/>
    <col min="13300" max="13300" width="9.875" style="214" customWidth="1"/>
    <col min="13301" max="13301" width="8.875" style="214" customWidth="1"/>
    <col min="13302" max="13302" width="7.375" style="214" bestFit="1" customWidth="1"/>
    <col min="13303" max="13303" width="10.125" style="214" bestFit="1" customWidth="1"/>
    <col min="13304" max="13304" width="9.375" style="214"/>
    <col min="13305" max="13305" width="10.125" style="214" bestFit="1" customWidth="1"/>
    <col min="13306" max="13306" width="10.75" style="214" customWidth="1"/>
    <col min="13307" max="13309" width="9.375" style="214"/>
    <col min="13310" max="13311" width="10.75" style="214" customWidth="1"/>
    <col min="13312" max="13316" width="9.375" style="214"/>
    <col min="13317" max="13317" width="1.625" style="214" bestFit="1" customWidth="1"/>
    <col min="13318" max="13318" width="9.375" style="214"/>
    <col min="13319" max="13319" width="8.875" style="214" customWidth="1"/>
    <col min="13320" max="13320" width="13.125" style="214" customWidth="1"/>
    <col min="13321" max="13321" width="9.375" style="214"/>
    <col min="13322" max="13322" width="9.875" style="214" customWidth="1"/>
    <col min="13323" max="13323" width="11.75" style="214" bestFit="1" customWidth="1"/>
    <col min="13324" max="13553" width="9.375" style="214"/>
    <col min="13554" max="13554" width="5" style="214" customWidth="1"/>
    <col min="13555" max="13555" width="17.875" style="214" bestFit="1" customWidth="1"/>
    <col min="13556" max="13556" width="9.875" style="214" customWidth="1"/>
    <col min="13557" max="13557" width="8.875" style="214" customWidth="1"/>
    <col min="13558" max="13558" width="7.375" style="214" bestFit="1" customWidth="1"/>
    <col min="13559" max="13559" width="10.125" style="214" bestFit="1" customWidth="1"/>
    <col min="13560" max="13560" width="9.375" style="214"/>
    <col min="13561" max="13561" width="10.125" style="214" bestFit="1" customWidth="1"/>
    <col min="13562" max="13562" width="10.75" style="214" customWidth="1"/>
    <col min="13563" max="13565" width="9.375" style="214"/>
    <col min="13566" max="13567" width="10.75" style="214" customWidth="1"/>
    <col min="13568" max="13572" width="9.375" style="214"/>
    <col min="13573" max="13573" width="1.625" style="214" bestFit="1" customWidth="1"/>
    <col min="13574" max="13574" width="9.375" style="214"/>
    <col min="13575" max="13575" width="8.875" style="214" customWidth="1"/>
    <col min="13576" max="13576" width="13.125" style="214" customWidth="1"/>
    <col min="13577" max="13577" width="9.375" style="214"/>
    <col min="13578" max="13578" width="9.875" style="214" customWidth="1"/>
    <col min="13579" max="13579" width="11.75" style="214" bestFit="1" customWidth="1"/>
    <col min="13580" max="13809" width="9.375" style="214"/>
    <col min="13810" max="13810" width="5" style="214" customWidth="1"/>
    <col min="13811" max="13811" width="17.875" style="214" bestFit="1" customWidth="1"/>
    <col min="13812" max="13812" width="9.875" style="214" customWidth="1"/>
    <col min="13813" max="13813" width="8.875" style="214" customWidth="1"/>
    <col min="13814" max="13814" width="7.375" style="214" bestFit="1" customWidth="1"/>
    <col min="13815" max="13815" width="10.125" style="214" bestFit="1" customWidth="1"/>
    <col min="13816" max="13816" width="9.375" style="214"/>
    <col min="13817" max="13817" width="10.125" style="214" bestFit="1" customWidth="1"/>
    <col min="13818" max="13818" width="10.75" style="214" customWidth="1"/>
    <col min="13819" max="13821" width="9.375" style="214"/>
    <col min="13822" max="13823" width="10.75" style="214" customWidth="1"/>
    <col min="13824" max="13828" width="9.375" style="214"/>
    <col min="13829" max="13829" width="1.625" style="214" bestFit="1" customWidth="1"/>
    <col min="13830" max="13830" width="9.375" style="214"/>
    <col min="13831" max="13831" width="8.875" style="214" customWidth="1"/>
    <col min="13832" max="13832" width="13.125" style="214" customWidth="1"/>
    <col min="13833" max="13833" width="9.375" style="214"/>
    <col min="13834" max="13834" width="9.875" style="214" customWidth="1"/>
    <col min="13835" max="13835" width="11.75" style="214" bestFit="1" customWidth="1"/>
    <col min="13836" max="14065" width="9.375" style="214"/>
    <col min="14066" max="14066" width="5" style="214" customWidth="1"/>
    <col min="14067" max="14067" width="17.875" style="214" bestFit="1" customWidth="1"/>
    <col min="14068" max="14068" width="9.875" style="214" customWidth="1"/>
    <col min="14069" max="14069" width="8.875" style="214" customWidth="1"/>
    <col min="14070" max="14070" width="7.375" style="214" bestFit="1" customWidth="1"/>
    <col min="14071" max="14071" width="10.125" style="214" bestFit="1" customWidth="1"/>
    <col min="14072" max="14072" width="9.375" style="214"/>
    <col min="14073" max="14073" width="10.125" style="214" bestFit="1" customWidth="1"/>
    <col min="14074" max="14074" width="10.75" style="214" customWidth="1"/>
    <col min="14075" max="14077" width="9.375" style="214"/>
    <col min="14078" max="14079" width="10.75" style="214" customWidth="1"/>
    <col min="14080" max="14084" width="9.375" style="214"/>
    <col min="14085" max="14085" width="1.625" style="214" bestFit="1" customWidth="1"/>
    <col min="14086" max="14086" width="9.375" style="214"/>
    <col min="14087" max="14087" width="8.875" style="214" customWidth="1"/>
    <col min="14088" max="14088" width="13.125" style="214" customWidth="1"/>
    <col min="14089" max="14089" width="9.375" style="214"/>
    <col min="14090" max="14090" width="9.875" style="214" customWidth="1"/>
    <col min="14091" max="14091" width="11.75" style="214" bestFit="1" customWidth="1"/>
    <col min="14092" max="14321" width="9.375" style="214"/>
    <col min="14322" max="14322" width="5" style="214" customWidth="1"/>
    <col min="14323" max="14323" width="17.875" style="214" bestFit="1" customWidth="1"/>
    <col min="14324" max="14324" width="9.875" style="214" customWidth="1"/>
    <col min="14325" max="14325" width="8.875" style="214" customWidth="1"/>
    <col min="14326" max="14326" width="7.375" style="214" bestFit="1" customWidth="1"/>
    <col min="14327" max="14327" width="10.125" style="214" bestFit="1" customWidth="1"/>
    <col min="14328" max="14328" width="9.375" style="214"/>
    <col min="14329" max="14329" width="10.125" style="214" bestFit="1" customWidth="1"/>
    <col min="14330" max="14330" width="10.75" style="214" customWidth="1"/>
    <col min="14331" max="14333" width="9.375" style="214"/>
    <col min="14334" max="14335" width="10.75" style="214" customWidth="1"/>
    <col min="14336" max="14340" width="9.375" style="214"/>
    <col min="14341" max="14341" width="1.625" style="214" bestFit="1" customWidth="1"/>
    <col min="14342" max="14342" width="9.375" style="214"/>
    <col min="14343" max="14343" width="8.875" style="214" customWidth="1"/>
    <col min="14344" max="14344" width="13.125" style="214" customWidth="1"/>
    <col min="14345" max="14345" width="9.375" style="214"/>
    <col min="14346" max="14346" width="9.875" style="214" customWidth="1"/>
    <col min="14347" max="14347" width="11.75" style="214" bestFit="1" customWidth="1"/>
    <col min="14348" max="14577" width="9.375" style="214"/>
    <col min="14578" max="14578" width="5" style="214" customWidth="1"/>
    <col min="14579" max="14579" width="17.875" style="214" bestFit="1" customWidth="1"/>
    <col min="14580" max="14580" width="9.875" style="214" customWidth="1"/>
    <col min="14581" max="14581" width="8.875" style="214" customWidth="1"/>
    <col min="14582" max="14582" width="7.375" style="214" bestFit="1" customWidth="1"/>
    <col min="14583" max="14583" width="10.125" style="214" bestFit="1" customWidth="1"/>
    <col min="14584" max="14584" width="9.375" style="214"/>
    <col min="14585" max="14585" width="10.125" style="214" bestFit="1" customWidth="1"/>
    <col min="14586" max="14586" width="10.75" style="214" customWidth="1"/>
    <col min="14587" max="14589" width="9.375" style="214"/>
    <col min="14590" max="14591" width="10.75" style="214" customWidth="1"/>
    <col min="14592" max="14596" width="9.375" style="214"/>
    <col min="14597" max="14597" width="1.625" style="214" bestFit="1" customWidth="1"/>
    <col min="14598" max="14598" width="9.375" style="214"/>
    <col min="14599" max="14599" width="8.875" style="214" customWidth="1"/>
    <col min="14600" max="14600" width="13.125" style="214" customWidth="1"/>
    <col min="14601" max="14601" width="9.375" style="214"/>
    <col min="14602" max="14602" width="9.875" style="214" customWidth="1"/>
    <col min="14603" max="14603" width="11.75" style="214" bestFit="1" customWidth="1"/>
    <col min="14604" max="14833" width="9.375" style="214"/>
    <col min="14834" max="14834" width="5" style="214" customWidth="1"/>
    <col min="14835" max="14835" width="17.875" style="214" bestFit="1" customWidth="1"/>
    <col min="14836" max="14836" width="9.875" style="214" customWidth="1"/>
    <col min="14837" max="14837" width="8.875" style="214" customWidth="1"/>
    <col min="14838" max="14838" width="7.375" style="214" bestFit="1" customWidth="1"/>
    <col min="14839" max="14839" width="10.125" style="214" bestFit="1" customWidth="1"/>
    <col min="14840" max="14840" width="9.375" style="214"/>
    <col min="14841" max="14841" width="10.125" style="214" bestFit="1" customWidth="1"/>
    <col min="14842" max="14842" width="10.75" style="214" customWidth="1"/>
    <col min="14843" max="14845" width="9.375" style="214"/>
    <col min="14846" max="14847" width="10.75" style="214" customWidth="1"/>
    <col min="14848" max="14852" width="9.375" style="214"/>
    <col min="14853" max="14853" width="1.625" style="214" bestFit="1" customWidth="1"/>
    <col min="14854" max="14854" width="9.375" style="214"/>
    <col min="14855" max="14855" width="8.875" style="214" customWidth="1"/>
    <col min="14856" max="14856" width="13.125" style="214" customWidth="1"/>
    <col min="14857" max="14857" width="9.375" style="214"/>
    <col min="14858" max="14858" width="9.875" style="214" customWidth="1"/>
    <col min="14859" max="14859" width="11.75" style="214" bestFit="1" customWidth="1"/>
    <col min="14860" max="15089" width="9.375" style="214"/>
    <col min="15090" max="15090" width="5" style="214" customWidth="1"/>
    <col min="15091" max="15091" width="17.875" style="214" bestFit="1" customWidth="1"/>
    <col min="15092" max="15092" width="9.875" style="214" customWidth="1"/>
    <col min="15093" max="15093" width="8.875" style="214" customWidth="1"/>
    <col min="15094" max="15094" width="7.375" style="214" bestFit="1" customWidth="1"/>
    <col min="15095" max="15095" width="10.125" style="214" bestFit="1" customWidth="1"/>
    <col min="15096" max="15096" width="9.375" style="214"/>
    <col min="15097" max="15097" width="10.125" style="214" bestFit="1" customWidth="1"/>
    <col min="15098" max="15098" width="10.75" style="214" customWidth="1"/>
    <col min="15099" max="15101" width="9.375" style="214"/>
    <col min="15102" max="15103" width="10.75" style="214" customWidth="1"/>
    <col min="15104" max="15108" width="9.375" style="214"/>
    <col min="15109" max="15109" width="1.625" style="214" bestFit="1" customWidth="1"/>
    <col min="15110" max="15110" width="9.375" style="214"/>
    <col min="15111" max="15111" width="8.875" style="214" customWidth="1"/>
    <col min="15112" max="15112" width="13.125" style="214" customWidth="1"/>
    <col min="15113" max="15113" width="9.375" style="214"/>
    <col min="15114" max="15114" width="9.875" style="214" customWidth="1"/>
    <col min="15115" max="15115" width="11.75" style="214" bestFit="1" customWidth="1"/>
    <col min="15116" max="15345" width="9.375" style="214"/>
    <col min="15346" max="15346" width="5" style="214" customWidth="1"/>
    <col min="15347" max="15347" width="17.875" style="214" bestFit="1" customWidth="1"/>
    <col min="15348" max="15348" width="9.875" style="214" customWidth="1"/>
    <col min="15349" max="15349" width="8.875" style="214" customWidth="1"/>
    <col min="15350" max="15350" width="7.375" style="214" bestFit="1" customWidth="1"/>
    <col min="15351" max="15351" width="10.125" style="214" bestFit="1" customWidth="1"/>
    <col min="15352" max="15352" width="9.375" style="214"/>
    <col min="15353" max="15353" width="10.125" style="214" bestFit="1" customWidth="1"/>
    <col min="15354" max="15354" width="10.75" style="214" customWidth="1"/>
    <col min="15355" max="15357" width="9.375" style="214"/>
    <col min="15358" max="15359" width="10.75" style="214" customWidth="1"/>
    <col min="15360" max="15364" width="9.375" style="214"/>
    <col min="15365" max="15365" width="1.625" style="214" bestFit="1" customWidth="1"/>
    <col min="15366" max="15366" width="9.375" style="214"/>
    <col min="15367" max="15367" width="8.875" style="214" customWidth="1"/>
    <col min="15368" max="15368" width="13.125" style="214" customWidth="1"/>
    <col min="15369" max="15369" width="9.375" style="214"/>
    <col min="15370" max="15370" width="9.875" style="214" customWidth="1"/>
    <col min="15371" max="15371" width="11.75" style="214" bestFit="1" customWidth="1"/>
    <col min="15372" max="15601" width="9.375" style="214"/>
    <col min="15602" max="15602" width="5" style="214" customWidth="1"/>
    <col min="15603" max="15603" width="17.875" style="214" bestFit="1" customWidth="1"/>
    <col min="15604" max="15604" width="9.875" style="214" customWidth="1"/>
    <col min="15605" max="15605" width="8.875" style="214" customWidth="1"/>
    <col min="15606" max="15606" width="7.375" style="214" bestFit="1" customWidth="1"/>
    <col min="15607" max="15607" width="10.125" style="214" bestFit="1" customWidth="1"/>
    <col min="15608" max="15608" width="9.375" style="214"/>
    <col min="15609" max="15609" width="10.125" style="214" bestFit="1" customWidth="1"/>
    <col min="15610" max="15610" width="10.75" style="214" customWidth="1"/>
    <col min="15611" max="15613" width="9.375" style="214"/>
    <col min="15614" max="15615" width="10.75" style="214" customWidth="1"/>
    <col min="15616" max="15620" width="9.375" style="214"/>
    <col min="15621" max="15621" width="1.625" style="214" bestFit="1" customWidth="1"/>
    <col min="15622" max="15622" width="9.375" style="214"/>
    <col min="15623" max="15623" width="8.875" style="214" customWidth="1"/>
    <col min="15624" max="15624" width="13.125" style="214" customWidth="1"/>
    <col min="15625" max="15625" width="9.375" style="214"/>
    <col min="15626" max="15626" width="9.875" style="214" customWidth="1"/>
    <col min="15627" max="15627" width="11.75" style="214" bestFit="1" customWidth="1"/>
    <col min="15628" max="15857" width="9.375" style="214"/>
    <col min="15858" max="15858" width="5" style="214" customWidth="1"/>
    <col min="15859" max="15859" width="17.875" style="214" bestFit="1" customWidth="1"/>
    <col min="15860" max="15860" width="9.875" style="214" customWidth="1"/>
    <col min="15861" max="15861" width="8.875" style="214" customWidth="1"/>
    <col min="15862" max="15862" width="7.375" style="214" bestFit="1" customWidth="1"/>
    <col min="15863" max="15863" width="10.125" style="214" bestFit="1" customWidth="1"/>
    <col min="15864" max="15864" width="9.375" style="214"/>
    <col min="15865" max="15865" width="10.125" style="214" bestFit="1" customWidth="1"/>
    <col min="15866" max="15866" width="10.75" style="214" customWidth="1"/>
    <col min="15867" max="15869" width="9.375" style="214"/>
    <col min="15870" max="15871" width="10.75" style="214" customWidth="1"/>
    <col min="15872" max="15876" width="9.375" style="214"/>
    <col min="15877" max="15877" width="1.625" style="214" bestFit="1" customWidth="1"/>
    <col min="15878" max="15878" width="9.375" style="214"/>
    <col min="15879" max="15879" width="8.875" style="214" customWidth="1"/>
    <col min="15880" max="15880" width="13.125" style="214" customWidth="1"/>
    <col min="15881" max="15881" width="9.375" style="214"/>
    <col min="15882" max="15882" width="9.875" style="214" customWidth="1"/>
    <col min="15883" max="15883" width="11.75" style="214" bestFit="1" customWidth="1"/>
    <col min="15884" max="16113" width="9.375" style="214"/>
    <col min="16114" max="16114" width="5" style="214" customWidth="1"/>
    <col min="16115" max="16115" width="17.875" style="214" bestFit="1" customWidth="1"/>
    <col min="16116" max="16116" width="9.875" style="214" customWidth="1"/>
    <col min="16117" max="16117" width="8.875" style="214" customWidth="1"/>
    <col min="16118" max="16118" width="7.375" style="214" bestFit="1" customWidth="1"/>
    <col min="16119" max="16119" width="10.125" style="214" bestFit="1" customWidth="1"/>
    <col min="16120" max="16120" width="9.375" style="214"/>
    <col min="16121" max="16121" width="10.125" style="214" bestFit="1" customWidth="1"/>
    <col min="16122" max="16122" width="10.75" style="214" customWidth="1"/>
    <col min="16123" max="16125" width="9.375" style="214"/>
    <col min="16126" max="16127" width="10.75" style="214" customWidth="1"/>
    <col min="16128" max="16132" width="9.375" style="214"/>
    <col min="16133" max="16133" width="1.625" style="214" bestFit="1" customWidth="1"/>
    <col min="16134" max="16134" width="9.375" style="214"/>
    <col min="16135" max="16135" width="8.875" style="214" customWidth="1"/>
    <col min="16136" max="16136" width="13.125" style="214" customWidth="1"/>
    <col min="16137" max="16137" width="9.375" style="214"/>
    <col min="16138" max="16138" width="9.875" style="214" customWidth="1"/>
    <col min="16139" max="16139" width="11.75" style="214" bestFit="1" customWidth="1"/>
    <col min="16140" max="16384" width="9.375" style="214"/>
  </cols>
  <sheetData>
    <row r="1" spans="1:15" s="43" customFormat="1" ht="21" x14ac:dyDescent="0.2">
      <c r="A1" s="206" t="s">
        <v>490</v>
      </c>
      <c r="B1" s="42"/>
      <c r="C1" s="212"/>
      <c r="D1" s="212"/>
      <c r="E1" s="212"/>
      <c r="F1" s="212"/>
      <c r="G1" s="212"/>
      <c r="H1" s="213"/>
      <c r="I1" s="213"/>
      <c r="J1" s="213"/>
      <c r="K1" s="213"/>
      <c r="L1" s="213"/>
      <c r="M1" s="213"/>
      <c r="O1" s="213"/>
    </row>
    <row r="2" spans="1:15" s="53" customFormat="1" ht="21" x14ac:dyDescent="0.35">
      <c r="A2" s="25" t="str">
        <f>Paramètres!B5</f>
        <v>Décompte 2019</v>
      </c>
    </row>
    <row r="4" spans="1:15" s="218" customFormat="1" ht="105" x14ac:dyDescent="0.2">
      <c r="A4" s="591" t="s">
        <v>46</v>
      </c>
      <c r="B4" s="591" t="s">
        <v>96</v>
      </c>
      <c r="C4" s="591" t="s">
        <v>485</v>
      </c>
      <c r="D4" s="591" t="s">
        <v>304</v>
      </c>
      <c r="E4" s="591" t="s">
        <v>481</v>
      </c>
      <c r="F4" s="591" t="s">
        <v>486</v>
      </c>
      <c r="G4" s="591" t="s">
        <v>450</v>
      </c>
      <c r="H4" s="593" t="s">
        <v>341</v>
      </c>
      <c r="I4" s="221" t="s">
        <v>491</v>
      </c>
      <c r="J4" s="591" t="s">
        <v>539</v>
      </c>
      <c r="K4" s="591" t="s">
        <v>487</v>
      </c>
      <c r="L4" s="591" t="s">
        <v>488</v>
      </c>
      <c r="M4" s="591" t="s">
        <v>549</v>
      </c>
      <c r="N4" s="221" t="s">
        <v>548</v>
      </c>
      <c r="O4" s="591" t="s">
        <v>489</v>
      </c>
    </row>
    <row r="5" spans="1:15" s="218" customFormat="1" x14ac:dyDescent="0.2">
      <c r="A5" s="592"/>
      <c r="B5" s="592"/>
      <c r="C5" s="592"/>
      <c r="D5" s="592"/>
      <c r="E5" s="592"/>
      <c r="F5" s="592"/>
      <c r="G5" s="592"/>
      <c r="H5" s="594"/>
      <c r="I5" s="234">
        <f>Paramètres!B66</f>
        <v>2</v>
      </c>
      <c r="J5" s="592"/>
      <c r="K5" s="592"/>
      <c r="L5" s="592"/>
      <c r="M5" s="592"/>
      <c r="N5" s="274">
        <f>+N315/M315</f>
        <v>1.1922255769398185</v>
      </c>
      <c r="O5" s="592"/>
    </row>
    <row r="6" spans="1:15" x14ac:dyDescent="0.25">
      <c r="A6" s="302">
        <f>'A) Base RI'!A7</f>
        <v>5401</v>
      </c>
      <c r="B6" s="219" t="str">
        <f>'A) Base RI'!B7</f>
        <v>Aigle</v>
      </c>
      <c r="C6" s="490">
        <v>1</v>
      </c>
      <c r="D6" s="216">
        <f>'B) D RI'!AA7</f>
        <v>10217</v>
      </c>
      <c r="E6" s="217">
        <f>'B) D RI'!S7</f>
        <v>67.5</v>
      </c>
      <c r="F6" s="10">
        <f>'B) D RI'!R7</f>
        <v>18750800.196666669</v>
      </c>
      <c r="G6" s="10">
        <f>'B) D RI'!U7</f>
        <v>277789.63254320994</v>
      </c>
      <c r="H6" s="41">
        <f>'B) D RI'!T7</f>
        <v>16749480.030000003</v>
      </c>
      <c r="I6" s="54">
        <f>+H6/E6*$I$5</f>
        <v>496280.88977777789</v>
      </c>
      <c r="J6" s="89">
        <f t="shared" ref="J6" si="0">+$I$315/$D$315*D6</f>
        <v>892809.19015217538</v>
      </c>
      <c r="K6" s="54">
        <f t="shared" ref="K6" si="1">IF(C6=1,0,IF(J6&gt;I6,I6,J6))</f>
        <v>0</v>
      </c>
      <c r="L6" s="54">
        <f>+J6-K6</f>
        <v>892809.19015217538</v>
      </c>
      <c r="M6" s="54">
        <f>'D) Ecrêtage'!C5</f>
        <v>277789.63254320994</v>
      </c>
      <c r="N6" s="54">
        <f t="shared" ref="N6" si="2">+$N$5*M6</f>
        <v>331187.90492672863</v>
      </c>
      <c r="O6" s="103">
        <f>+N6+K6</f>
        <v>331187.90492672863</v>
      </c>
    </row>
    <row r="7" spans="1:15" x14ac:dyDescent="0.25">
      <c r="A7" s="303">
        <f>'A) Base RI'!A8</f>
        <v>5402</v>
      </c>
      <c r="B7" s="220" t="str">
        <f>'A) Base RI'!B8</f>
        <v>Bex</v>
      </c>
      <c r="C7" s="490">
        <v>1</v>
      </c>
      <c r="D7" s="216">
        <f>'B) D RI'!AA8</f>
        <v>7869</v>
      </c>
      <c r="E7" s="217">
        <f>'B) D RI'!S8</f>
        <v>71</v>
      </c>
      <c r="F7" s="10">
        <f>'B) D RI'!R8</f>
        <v>13186797.189999999</v>
      </c>
      <c r="G7" s="10">
        <f>'B) D RI'!U8</f>
        <v>185729.53788732394</v>
      </c>
      <c r="H7" s="41">
        <f>'B) D RI'!T8</f>
        <v>11809068.169999998</v>
      </c>
      <c r="I7" s="10">
        <f t="shared" ref="I7:I70" si="3">+H7/E7*$I$5</f>
        <v>332649.80760563374</v>
      </c>
      <c r="J7" s="31">
        <f t="shared" ref="J7:J70" si="4">+$I$315/$D$315*D7</f>
        <v>687629.98114000855</v>
      </c>
      <c r="K7" s="10">
        <f t="shared" ref="K7:K70" si="5">IF(C7=1,0,IF(J7&gt;I7,I7,J7))</f>
        <v>0</v>
      </c>
      <c r="L7" s="10">
        <f t="shared" ref="L7:L70" si="6">+J7-K7</f>
        <v>687629.98114000855</v>
      </c>
      <c r="M7" s="10">
        <f>'D) Ecrêtage'!C6</f>
        <v>185729.53788732394</v>
      </c>
      <c r="N7" s="10">
        <f t="shared" ref="N7:N70" si="7">+$N$5*M7</f>
        <v>221431.50546248065</v>
      </c>
      <c r="O7" s="57">
        <f t="shared" ref="O7:O70" si="8">+N7+K7</f>
        <v>221431.50546248065</v>
      </c>
    </row>
    <row r="8" spans="1:15" x14ac:dyDescent="0.25">
      <c r="A8" s="303">
        <f>'A) Base RI'!A9</f>
        <v>5403</v>
      </c>
      <c r="B8" s="220" t="str">
        <f>'A) Base RI'!B9</f>
        <v>Chessel</v>
      </c>
      <c r="C8" s="490">
        <v>0</v>
      </c>
      <c r="D8" s="216">
        <f>'B) D RI'!AA9</f>
        <v>429</v>
      </c>
      <c r="E8" s="217">
        <f>'B) D RI'!S9</f>
        <v>74</v>
      </c>
      <c r="F8" s="10">
        <f>'B) D RI'!R9</f>
        <v>788395.50000000012</v>
      </c>
      <c r="G8" s="10">
        <f>'B) D RI'!U9</f>
        <v>10653.993243243245</v>
      </c>
      <c r="H8" s="41">
        <f>'B) D RI'!T9</f>
        <v>717094.10000000009</v>
      </c>
      <c r="I8" s="10">
        <f t="shared" si="3"/>
        <v>19380.921621621623</v>
      </c>
      <c r="J8" s="31">
        <f t="shared" si="4"/>
        <v>37488.024133824336</v>
      </c>
      <c r="K8" s="10">
        <f t="shared" si="5"/>
        <v>19380.921621621623</v>
      </c>
      <c r="L8" s="10">
        <f t="shared" si="6"/>
        <v>18107.102512202713</v>
      </c>
      <c r="M8" s="10">
        <f>'D) Ecrêtage'!C7</f>
        <v>10653.993243243245</v>
      </c>
      <c r="N8" s="10">
        <f t="shared" si="7"/>
        <v>12701.963241138605</v>
      </c>
      <c r="O8" s="57">
        <f t="shared" si="8"/>
        <v>32082.884862760227</v>
      </c>
    </row>
    <row r="9" spans="1:15" x14ac:dyDescent="0.25">
      <c r="A9" s="303">
        <f>'A) Base RI'!A10</f>
        <v>5404</v>
      </c>
      <c r="B9" s="220" t="str">
        <f>'A) Base RI'!B10</f>
        <v>Corbeyrier</v>
      </c>
      <c r="C9" s="490">
        <v>0</v>
      </c>
      <c r="D9" s="216">
        <f>'B) D RI'!AA10</f>
        <v>437</v>
      </c>
      <c r="E9" s="217">
        <f>'B) D RI'!S10</f>
        <v>74</v>
      </c>
      <c r="F9" s="10">
        <f>'B) D RI'!R10</f>
        <v>1080070.8933333333</v>
      </c>
      <c r="G9" s="10">
        <f>'B) D RI'!U10</f>
        <v>14595.552612612611</v>
      </c>
      <c r="H9" s="41">
        <f>'B) D RI'!T10</f>
        <v>996244.70999999985</v>
      </c>
      <c r="I9" s="10">
        <f t="shared" si="3"/>
        <v>26925.532702702698</v>
      </c>
      <c r="J9" s="31">
        <f t="shared" si="4"/>
        <v>38187.101506949264</v>
      </c>
      <c r="K9" s="10">
        <f t="shared" si="5"/>
        <v>26925.532702702698</v>
      </c>
      <c r="L9" s="10">
        <f t="shared" si="6"/>
        <v>11261.568804246566</v>
      </c>
      <c r="M9" s="10">
        <f>'D) Ecrêtage'!C8</f>
        <v>14595.552612612611</v>
      </c>
      <c r="N9" s="10">
        <f t="shared" si="7"/>
        <v>17401.191134327546</v>
      </c>
      <c r="O9" s="57">
        <f t="shared" si="8"/>
        <v>44326.723837030244</v>
      </c>
    </row>
    <row r="10" spans="1:15" x14ac:dyDescent="0.25">
      <c r="A10" s="303">
        <f>'A) Base RI'!A11</f>
        <v>5405</v>
      </c>
      <c r="B10" s="220" t="str">
        <f>'A) Base RI'!B11</f>
        <v>Gryon</v>
      </c>
      <c r="C10" s="490">
        <v>0</v>
      </c>
      <c r="D10" s="216">
        <f>'B) D RI'!AA11</f>
        <v>1347</v>
      </c>
      <c r="E10" s="217">
        <f>'B) D RI'!S11</f>
        <v>75</v>
      </c>
      <c r="F10" s="10">
        <f>'B) D RI'!R11</f>
        <v>4927916.6866666656</v>
      </c>
      <c r="G10" s="10">
        <f>'B) D RI'!U11</f>
        <v>65705.555822222203</v>
      </c>
      <c r="H10" s="41">
        <f>'B) D RI'!T11</f>
        <v>4396744.419999999</v>
      </c>
      <c r="I10" s="10">
        <f t="shared" si="3"/>
        <v>117246.51786666665</v>
      </c>
      <c r="J10" s="31">
        <f t="shared" si="4"/>
        <v>117707.15269990997</v>
      </c>
      <c r="K10" s="10">
        <f t="shared" si="5"/>
        <v>117246.51786666665</v>
      </c>
      <c r="L10" s="10">
        <f t="shared" si="6"/>
        <v>460.63483324332628</v>
      </c>
      <c r="M10" s="10">
        <f>'D) Ecrêtage'!C9</f>
        <v>65705.555822222203</v>
      </c>
      <c r="N10" s="10">
        <f t="shared" si="7"/>
        <v>78335.844198300314</v>
      </c>
      <c r="O10" s="57">
        <f t="shared" si="8"/>
        <v>195582.36206496696</v>
      </c>
    </row>
    <row r="11" spans="1:15" x14ac:dyDescent="0.25">
      <c r="A11" s="303">
        <f>'A) Base RI'!A12</f>
        <v>5406</v>
      </c>
      <c r="B11" s="220" t="str">
        <f>'A) Base RI'!B12</f>
        <v>Lavey-Morcles</v>
      </c>
      <c r="C11" s="490">
        <v>0</v>
      </c>
      <c r="D11" s="216">
        <f>'B) D RI'!AA12</f>
        <v>931</v>
      </c>
      <c r="E11" s="217">
        <f>'B) D RI'!S12</f>
        <v>71</v>
      </c>
      <c r="F11" s="10">
        <f>'B) D RI'!R12</f>
        <v>1764862.6023076919</v>
      </c>
      <c r="G11" s="10">
        <f>'B) D RI'!U12</f>
        <v>24857.219750812561</v>
      </c>
      <c r="H11" s="41">
        <f>'B) D RI'!T12</f>
        <v>1605609.4599999997</v>
      </c>
      <c r="I11" s="10">
        <f t="shared" si="3"/>
        <v>45228.435492957738</v>
      </c>
      <c r="J11" s="31">
        <f t="shared" si="4"/>
        <v>81355.129297413645</v>
      </c>
      <c r="K11" s="10">
        <f t="shared" si="5"/>
        <v>45228.435492957738</v>
      </c>
      <c r="L11" s="10">
        <f t="shared" si="6"/>
        <v>36126.693804455907</v>
      </c>
      <c r="M11" s="10">
        <f>'D) Ecrêtage'!C10</f>
        <v>24857.219750812561</v>
      </c>
      <c r="N11" s="10">
        <f t="shared" si="7"/>
        <v>29635.413158532356</v>
      </c>
      <c r="O11" s="57">
        <f t="shared" si="8"/>
        <v>74863.848651490087</v>
      </c>
    </row>
    <row r="12" spans="1:15" x14ac:dyDescent="0.25">
      <c r="A12" s="303">
        <f>'A) Base RI'!A13</f>
        <v>5407</v>
      </c>
      <c r="B12" s="220" t="str">
        <f>'A) Base RI'!B13</f>
        <v>Leysin</v>
      </c>
      <c r="C12" s="490">
        <v>0</v>
      </c>
      <c r="D12" s="216">
        <f>'B) D RI'!AA13</f>
        <v>3776</v>
      </c>
      <c r="E12" s="217">
        <f>'B) D RI'!S13</f>
        <v>78</v>
      </c>
      <c r="F12" s="10">
        <f>'B) D RI'!R13</f>
        <v>7066313.7633333318</v>
      </c>
      <c r="G12" s="10">
        <f>'B) D RI'!U13</f>
        <v>90593.766196581171</v>
      </c>
      <c r="H12" s="41">
        <f>'B) D RI'!T13</f>
        <v>6202302.2299999986</v>
      </c>
      <c r="I12" s="10">
        <f t="shared" si="3"/>
        <v>159033.39051282048</v>
      </c>
      <c r="J12" s="31">
        <f t="shared" si="4"/>
        <v>329964.52011496661</v>
      </c>
      <c r="K12" s="10">
        <f t="shared" si="5"/>
        <v>159033.39051282048</v>
      </c>
      <c r="L12" s="10">
        <f t="shared" si="6"/>
        <v>170931.12960214613</v>
      </c>
      <c r="M12" s="10">
        <f>'D) Ecrêtage'!C11</f>
        <v>90593.766196581171</v>
      </c>
      <c r="N12" s="10">
        <f t="shared" si="7"/>
        <v>108008.20517087002</v>
      </c>
      <c r="O12" s="57">
        <f t="shared" si="8"/>
        <v>267041.59568369051</v>
      </c>
    </row>
    <row r="13" spans="1:15" x14ac:dyDescent="0.25">
      <c r="A13" s="303">
        <f>'A) Base RI'!A14</f>
        <v>5408</v>
      </c>
      <c r="B13" s="220" t="str">
        <f>'A) Base RI'!B14</f>
        <v>Noville</v>
      </c>
      <c r="C13" s="490">
        <v>0</v>
      </c>
      <c r="D13" s="216">
        <f>'B) D RI'!AA14</f>
        <v>1167</v>
      </c>
      <c r="E13" s="217">
        <f>'B) D RI'!S14</f>
        <v>78.5</v>
      </c>
      <c r="F13" s="10">
        <f>'B) D RI'!R14</f>
        <v>2250722.4733333332</v>
      </c>
      <c r="G13" s="10">
        <f>'B) D RI'!U14</f>
        <v>28671.623864118894</v>
      </c>
      <c r="H13" s="41">
        <f>'B) D RI'!T14</f>
        <v>1957337.9899999998</v>
      </c>
      <c r="I13" s="10">
        <f t="shared" si="3"/>
        <v>49868.483821656046</v>
      </c>
      <c r="J13" s="31">
        <f t="shared" si="4"/>
        <v>101977.91180459906</v>
      </c>
      <c r="K13" s="10">
        <f t="shared" si="5"/>
        <v>49868.483821656046</v>
      </c>
      <c r="L13" s="10">
        <f t="shared" si="6"/>
        <v>52109.427982943016</v>
      </c>
      <c r="M13" s="10">
        <f>'D) Ecrêtage'!C12</f>
        <v>28671.623864118894</v>
      </c>
      <c r="N13" s="10">
        <f t="shared" si="7"/>
        <v>34183.043303200619</v>
      </c>
      <c r="O13" s="57">
        <f t="shared" si="8"/>
        <v>84051.527124856657</v>
      </c>
    </row>
    <row r="14" spans="1:15" x14ac:dyDescent="0.25">
      <c r="A14" s="303">
        <f>'A) Base RI'!A15</f>
        <v>5409</v>
      </c>
      <c r="B14" s="220" t="str">
        <f>'A) Base RI'!B15</f>
        <v>Ollon</v>
      </c>
      <c r="C14" s="490">
        <v>1</v>
      </c>
      <c r="D14" s="216">
        <f>'B) D RI'!AA15</f>
        <v>7560</v>
      </c>
      <c r="E14" s="217">
        <f>'B) D RI'!S15</f>
        <v>68</v>
      </c>
      <c r="F14" s="10">
        <f>'B) D RI'!R15</f>
        <v>27184770.145384617</v>
      </c>
      <c r="G14" s="10">
        <f>'B) D RI'!U15</f>
        <v>399776.03154977376</v>
      </c>
      <c r="H14" s="41">
        <f>'B) D RI'!T15</f>
        <v>23980407.330000002</v>
      </c>
      <c r="I14" s="10">
        <f t="shared" si="3"/>
        <v>705306.0979411765</v>
      </c>
      <c r="J14" s="31">
        <f t="shared" si="4"/>
        <v>660628.11760305823</v>
      </c>
      <c r="K14" s="10">
        <f t="shared" si="5"/>
        <v>0</v>
      </c>
      <c r="L14" s="10">
        <f t="shared" si="6"/>
        <v>660628.11760305823</v>
      </c>
      <c r="M14" s="10">
        <f>'D) Ecrêtage'!C13</f>
        <v>399776.03154977376</v>
      </c>
      <c r="N14" s="10">
        <f t="shared" si="7"/>
        <v>476623.20986114012</v>
      </c>
      <c r="O14" s="57">
        <f t="shared" si="8"/>
        <v>476623.20986114012</v>
      </c>
    </row>
    <row r="15" spans="1:15" x14ac:dyDescent="0.25">
      <c r="A15" s="303">
        <f>'A) Base RI'!A16</f>
        <v>5410</v>
      </c>
      <c r="B15" s="220" t="str">
        <f>'A) Base RI'!B16</f>
        <v>Ormont-Dessous</v>
      </c>
      <c r="C15" s="490">
        <v>0</v>
      </c>
      <c r="D15" s="216">
        <f>'B) D RI'!AA16</f>
        <v>1141</v>
      </c>
      <c r="E15" s="217">
        <f>'B) D RI'!S16</f>
        <v>78.5</v>
      </c>
      <c r="F15" s="10">
        <f>'B) D RI'!R16</f>
        <v>3016904.4533333336</v>
      </c>
      <c r="G15" s="10">
        <f>'B) D RI'!U16</f>
        <v>38431.903864118896</v>
      </c>
      <c r="H15" s="41">
        <f>'B) D RI'!T16</f>
        <v>2622291.4600000004</v>
      </c>
      <c r="I15" s="10">
        <f t="shared" si="3"/>
        <v>66809.973503184723</v>
      </c>
      <c r="J15" s="31">
        <f t="shared" si="4"/>
        <v>99705.910341943047</v>
      </c>
      <c r="K15" s="10">
        <f t="shared" si="5"/>
        <v>66809.973503184723</v>
      </c>
      <c r="L15" s="10">
        <f t="shared" si="6"/>
        <v>32895.936838758324</v>
      </c>
      <c r="M15" s="10">
        <f>'D) Ecrêtage'!C14</f>
        <v>38431.903864118896</v>
      </c>
      <c r="N15" s="10">
        <f t="shared" si="7"/>
        <v>45819.498757294787</v>
      </c>
      <c r="O15" s="57">
        <f t="shared" si="8"/>
        <v>112629.47226047951</v>
      </c>
    </row>
    <row r="16" spans="1:15" s="215" customFormat="1" x14ac:dyDescent="0.25">
      <c r="A16" s="303">
        <f>'A) Base RI'!A17</f>
        <v>5411</v>
      </c>
      <c r="B16" s="220" t="str">
        <f>'A) Base RI'!B17</f>
        <v>Ormont-Dessus</v>
      </c>
      <c r="C16" s="490">
        <v>0</v>
      </c>
      <c r="D16" s="216">
        <f>'B) D RI'!AA17</f>
        <v>1434</v>
      </c>
      <c r="E16" s="217">
        <f>'B) D RI'!S17</f>
        <v>76</v>
      </c>
      <c r="F16" s="10">
        <f>'B) D RI'!R17</f>
        <v>5567006.3599999994</v>
      </c>
      <c r="G16" s="10">
        <f>'B) D RI'!U17</f>
        <v>73250.08368421052</v>
      </c>
      <c r="H16" s="41">
        <f>'B) D RI'!T17</f>
        <v>4709709.46</v>
      </c>
      <c r="I16" s="10">
        <f t="shared" si="3"/>
        <v>123939.72263157894</v>
      </c>
      <c r="J16" s="31">
        <f t="shared" si="4"/>
        <v>125309.61913264358</v>
      </c>
      <c r="K16" s="10">
        <f t="shared" si="5"/>
        <v>123939.72263157894</v>
      </c>
      <c r="L16" s="10">
        <f t="shared" si="6"/>
        <v>1369.8965010646352</v>
      </c>
      <c r="M16" s="10">
        <f>'D) Ecrêtage'!C15</f>
        <v>73250.08368421052</v>
      </c>
      <c r="N16" s="10">
        <f t="shared" si="7"/>
        <v>87330.623281297871</v>
      </c>
      <c r="O16" s="57">
        <f t="shared" si="8"/>
        <v>211270.34591287683</v>
      </c>
    </row>
    <row r="17" spans="1:15" s="215" customFormat="1" x14ac:dyDescent="0.25">
      <c r="A17" s="303">
        <f>'A) Base RI'!A18</f>
        <v>5412</v>
      </c>
      <c r="B17" s="220" t="str">
        <f>'A) Base RI'!B18</f>
        <v>Rennaz</v>
      </c>
      <c r="C17" s="490">
        <v>0</v>
      </c>
      <c r="D17" s="216">
        <f>'B) D RI'!AA18</f>
        <v>871</v>
      </c>
      <c r="E17" s="217">
        <f>'B) D RI'!S18</f>
        <v>67.5</v>
      </c>
      <c r="F17" s="10">
        <f>'B) D RI'!R18</f>
        <v>1640418.1100000003</v>
      </c>
      <c r="G17" s="10">
        <f>'B) D RI'!U18</f>
        <v>24302.490518518523</v>
      </c>
      <c r="H17" s="41">
        <f>'B) D RI'!T18</f>
        <v>1510037.0100000002</v>
      </c>
      <c r="I17" s="10">
        <f t="shared" si="3"/>
        <v>44741.837333333344</v>
      </c>
      <c r="J17" s="31">
        <f t="shared" si="4"/>
        <v>76112.048998976679</v>
      </c>
      <c r="K17" s="10">
        <f t="shared" si="5"/>
        <v>44741.837333333344</v>
      </c>
      <c r="L17" s="10">
        <f t="shared" si="6"/>
        <v>31370.211665643335</v>
      </c>
      <c r="M17" s="10">
        <f>'D) Ecrêtage'!C16</f>
        <v>24302.490518518523</v>
      </c>
      <c r="N17" s="10">
        <f t="shared" si="7"/>
        <v>28974.050779515215</v>
      </c>
      <c r="O17" s="57">
        <f t="shared" si="8"/>
        <v>73715.888112848566</v>
      </c>
    </row>
    <row r="18" spans="1:15" s="215" customFormat="1" x14ac:dyDescent="0.25">
      <c r="A18" s="303">
        <f>'A) Base RI'!A19</f>
        <v>5413</v>
      </c>
      <c r="B18" s="220" t="str">
        <f>'A) Base RI'!B19</f>
        <v>Roche</v>
      </c>
      <c r="C18" s="490">
        <v>0</v>
      </c>
      <c r="D18" s="216">
        <f>'B) D RI'!AA19</f>
        <v>1826</v>
      </c>
      <c r="E18" s="217">
        <f>'B) D RI'!S19</f>
        <v>68</v>
      </c>
      <c r="F18" s="10">
        <f>'B) D RI'!R19</f>
        <v>3065734.2916666665</v>
      </c>
      <c r="G18" s="10">
        <f>'B) D RI'!U19</f>
        <v>45084.327818627447</v>
      </c>
      <c r="H18" s="41">
        <f>'B) D RI'!T19</f>
        <v>2792468.3</v>
      </c>
      <c r="I18" s="10">
        <f t="shared" si="3"/>
        <v>82131.420588235284</v>
      </c>
      <c r="J18" s="31">
        <f t="shared" si="4"/>
        <v>159564.4104157651</v>
      </c>
      <c r="K18" s="10">
        <f t="shared" si="5"/>
        <v>82131.420588235284</v>
      </c>
      <c r="L18" s="10">
        <f t="shared" si="6"/>
        <v>77432.989827529818</v>
      </c>
      <c r="M18" s="10">
        <f>'D) Ecrêtage'!C17</f>
        <v>45084.327818627447</v>
      </c>
      <c r="N18" s="10">
        <f t="shared" si="7"/>
        <v>53750.688744507017</v>
      </c>
      <c r="O18" s="57">
        <f t="shared" si="8"/>
        <v>135882.10933274229</v>
      </c>
    </row>
    <row r="19" spans="1:15" s="215" customFormat="1" x14ac:dyDescent="0.25">
      <c r="A19" s="303">
        <f>'A) Base RI'!A20</f>
        <v>5414</v>
      </c>
      <c r="B19" s="220" t="str">
        <f>'A) Base RI'!B20</f>
        <v>Villeneuve</v>
      </c>
      <c r="C19" s="490">
        <v>0</v>
      </c>
      <c r="D19" s="216">
        <f>'B) D RI'!AA20</f>
        <v>5772</v>
      </c>
      <c r="E19" s="217">
        <f>'B) D RI'!S20</f>
        <v>69</v>
      </c>
      <c r="F19" s="10">
        <f>'B) D RI'!R20</f>
        <v>11564079.33</v>
      </c>
      <c r="G19" s="10">
        <f>'B) D RI'!U20</f>
        <v>167595.35260869566</v>
      </c>
      <c r="H19" s="41">
        <f>'B) D RI'!T20</f>
        <v>10232254.83</v>
      </c>
      <c r="I19" s="10">
        <f t="shared" si="3"/>
        <v>296587.09652173915</v>
      </c>
      <c r="J19" s="31">
        <f t="shared" si="4"/>
        <v>504384.32470963651</v>
      </c>
      <c r="K19" s="10">
        <f t="shared" si="5"/>
        <v>296587.09652173915</v>
      </c>
      <c r="L19" s="10">
        <f t="shared" si="6"/>
        <v>207797.22818789736</v>
      </c>
      <c r="M19" s="10">
        <f>'D) Ecrêtage'!C18</f>
        <v>167595.35260869566</v>
      </c>
      <c r="N19" s="10">
        <f t="shared" si="7"/>
        <v>199811.46595633449</v>
      </c>
      <c r="O19" s="57">
        <f t="shared" si="8"/>
        <v>496398.56247807364</v>
      </c>
    </row>
    <row r="20" spans="1:15" s="215" customFormat="1" x14ac:dyDescent="0.25">
      <c r="A20" s="303">
        <f>'A) Base RI'!A21</f>
        <v>5415</v>
      </c>
      <c r="B20" s="220" t="str">
        <f>'A) Base RI'!B21</f>
        <v>Yvorne</v>
      </c>
      <c r="C20" s="490">
        <v>0</v>
      </c>
      <c r="D20" s="216">
        <f>'B) D RI'!AA21</f>
        <v>1071</v>
      </c>
      <c r="E20" s="217">
        <f>'B) D RI'!S21</f>
        <v>71.5</v>
      </c>
      <c r="F20" s="10">
        <f>'B) D RI'!R21</f>
        <v>2800704.3833333333</v>
      </c>
      <c r="G20" s="10">
        <f>'B) D RI'!U21</f>
        <v>39170.690675990678</v>
      </c>
      <c r="H20" s="41">
        <f>'B) D RI'!T21</f>
        <v>2572249.9</v>
      </c>
      <c r="I20" s="10">
        <f t="shared" si="3"/>
        <v>71951.046153846153</v>
      </c>
      <c r="J20" s="31">
        <f t="shared" si="4"/>
        <v>93588.983327099908</v>
      </c>
      <c r="K20" s="10">
        <f t="shared" si="5"/>
        <v>71951.046153846153</v>
      </c>
      <c r="L20" s="10">
        <f t="shared" si="6"/>
        <v>21637.937173253755</v>
      </c>
      <c r="M20" s="10">
        <f>'D) Ecrêtage'!C19</f>
        <v>39170.690675990678</v>
      </c>
      <c r="N20" s="10">
        <f t="shared" si="7"/>
        <v>46700.299290314157</v>
      </c>
      <c r="O20" s="57">
        <f t="shared" si="8"/>
        <v>118651.34544416031</v>
      </c>
    </row>
    <row r="21" spans="1:15" s="215" customFormat="1" x14ac:dyDescent="0.25">
      <c r="A21" s="303">
        <f>'A) Base RI'!A22</f>
        <v>5421</v>
      </c>
      <c r="B21" s="220" t="str">
        <f>'A) Base RI'!B22</f>
        <v>Apples</v>
      </c>
      <c r="C21" s="490">
        <v>0</v>
      </c>
      <c r="D21" s="216">
        <f>'B) D RI'!AA22</f>
        <v>1460</v>
      </c>
      <c r="E21" s="217">
        <f>'B) D RI'!S22</f>
        <v>76</v>
      </c>
      <c r="F21" s="10">
        <f>'B) D RI'!R22</f>
        <v>5366523.91</v>
      </c>
      <c r="G21" s="10">
        <f>'B) D RI'!U22</f>
        <v>70612.156710526324</v>
      </c>
      <c r="H21" s="41">
        <f>'B) D RI'!T22</f>
        <v>5059482.51</v>
      </c>
      <c r="I21" s="10">
        <f t="shared" si="3"/>
        <v>133144.27657894735</v>
      </c>
      <c r="J21" s="31">
        <f t="shared" si="4"/>
        <v>127581.6205952996</v>
      </c>
      <c r="K21" s="10">
        <f t="shared" si="5"/>
        <v>127581.6205952996</v>
      </c>
      <c r="L21" s="10">
        <f t="shared" si="6"/>
        <v>0</v>
      </c>
      <c r="M21" s="10">
        <f>'D) Ecrêtage'!C20</f>
        <v>70612.156710526324</v>
      </c>
      <c r="N21" s="10">
        <f t="shared" si="7"/>
        <v>84185.619273172124</v>
      </c>
      <c r="O21" s="57">
        <f t="shared" si="8"/>
        <v>211767.23986847172</v>
      </c>
    </row>
    <row r="22" spans="1:15" s="215" customFormat="1" x14ac:dyDescent="0.25">
      <c r="A22" s="303">
        <f>'A) Base RI'!A23</f>
        <v>5422</v>
      </c>
      <c r="B22" s="220" t="str">
        <f>'A) Base RI'!B23</f>
        <v>Aubonne</v>
      </c>
      <c r="C22" s="490">
        <v>0</v>
      </c>
      <c r="D22" s="216">
        <f>'B) D RI'!AA23</f>
        <v>3276</v>
      </c>
      <c r="E22" s="217">
        <f>'B) D RI'!S23</f>
        <v>70</v>
      </c>
      <c r="F22" s="10">
        <f>'B) D RI'!R23</f>
        <v>16182028.36999999</v>
      </c>
      <c r="G22" s="10">
        <f>'B) D RI'!U23</f>
        <v>231171.83385714272</v>
      </c>
      <c r="H22" s="41">
        <f>'B) D RI'!T23</f>
        <v>15055190.76999999</v>
      </c>
      <c r="I22" s="10">
        <f t="shared" si="3"/>
        <v>430148.30771428545</v>
      </c>
      <c r="J22" s="31">
        <f t="shared" si="4"/>
        <v>286272.18429465854</v>
      </c>
      <c r="K22" s="10">
        <f t="shared" si="5"/>
        <v>286272.18429465854</v>
      </c>
      <c r="L22" s="10">
        <f t="shared" si="6"/>
        <v>0</v>
      </c>
      <c r="M22" s="10">
        <f>'D) Ecrêtage'!C21</f>
        <v>231171.83385714272</v>
      </c>
      <c r="N22" s="10">
        <f t="shared" si="7"/>
        <v>275608.97299256781</v>
      </c>
      <c r="O22" s="57">
        <f t="shared" si="8"/>
        <v>561881.15728722629</v>
      </c>
    </row>
    <row r="23" spans="1:15" s="215" customFormat="1" x14ac:dyDescent="0.25">
      <c r="A23" s="303">
        <f>'A) Base RI'!A24</f>
        <v>5423</v>
      </c>
      <c r="B23" s="220" t="str">
        <f>'A) Base RI'!B24</f>
        <v>Ballens</v>
      </c>
      <c r="C23" s="490">
        <v>0</v>
      </c>
      <c r="D23" s="216">
        <f>'B) D RI'!AA24</f>
        <v>545</v>
      </c>
      <c r="E23" s="217">
        <f>'B) D RI'!S24</f>
        <v>73</v>
      </c>
      <c r="F23" s="10">
        <f>'B) D RI'!R24</f>
        <v>1187157.1600000001</v>
      </c>
      <c r="G23" s="10">
        <f>'B) D RI'!U24</f>
        <v>16262.42684931507</v>
      </c>
      <c r="H23" s="41">
        <f>'B) D RI'!T24</f>
        <v>1104043.81</v>
      </c>
      <c r="I23" s="10">
        <f t="shared" si="3"/>
        <v>30247.775616438357</v>
      </c>
      <c r="J23" s="31">
        <f t="shared" si="4"/>
        <v>47624.646044135807</v>
      </c>
      <c r="K23" s="10">
        <f t="shared" si="5"/>
        <v>30247.775616438357</v>
      </c>
      <c r="L23" s="10">
        <f t="shared" si="6"/>
        <v>17376.870427697449</v>
      </c>
      <c r="M23" s="10">
        <f>'D) Ecrêtage'!C22</f>
        <v>16262.42684931507</v>
      </c>
      <c r="N23" s="10">
        <f t="shared" si="7"/>
        <v>19388.481232866252</v>
      </c>
      <c r="O23" s="57">
        <f t="shared" si="8"/>
        <v>49636.256849304613</v>
      </c>
    </row>
    <row r="24" spans="1:15" s="215" customFormat="1" x14ac:dyDescent="0.25">
      <c r="A24" s="303">
        <f>'A) Base RI'!A25</f>
        <v>5424</v>
      </c>
      <c r="B24" s="220" t="str">
        <f>'A) Base RI'!B25</f>
        <v>Berolle</v>
      </c>
      <c r="C24" s="490">
        <v>0</v>
      </c>
      <c r="D24" s="216">
        <f>'B) D RI'!AA25</f>
        <v>300</v>
      </c>
      <c r="E24" s="217">
        <f>'B) D RI'!S25</f>
        <v>77</v>
      </c>
      <c r="F24" s="10">
        <f>'B) D RI'!R25</f>
        <v>714694.17999999982</v>
      </c>
      <c r="G24" s="10">
        <f>'B) D RI'!U25</f>
        <v>9281.7425974025955</v>
      </c>
      <c r="H24" s="41">
        <f>'B) D RI'!T25</f>
        <v>663783.17999999982</v>
      </c>
      <c r="I24" s="10">
        <f t="shared" si="3"/>
        <v>17241.121558441555</v>
      </c>
      <c r="J24" s="31">
        <f t="shared" si="4"/>
        <v>26215.40149218485</v>
      </c>
      <c r="K24" s="10">
        <f t="shared" si="5"/>
        <v>17241.121558441555</v>
      </c>
      <c r="L24" s="10">
        <f t="shared" si="6"/>
        <v>8974.2799337432953</v>
      </c>
      <c r="M24" s="10">
        <f>'D) Ecrêtage'!C23</f>
        <v>9281.7425974025955</v>
      </c>
      <c r="N24" s="10">
        <f t="shared" si="7"/>
        <v>11065.930923195199</v>
      </c>
      <c r="O24" s="57">
        <f t="shared" si="8"/>
        <v>28307.052481636754</v>
      </c>
    </row>
    <row r="25" spans="1:15" s="215" customFormat="1" x14ac:dyDescent="0.25">
      <c r="A25" s="303">
        <f>'A) Base RI'!A26</f>
        <v>5425</v>
      </c>
      <c r="B25" s="220" t="str">
        <f>'A) Base RI'!B26</f>
        <v>Bière</v>
      </c>
      <c r="C25" s="490">
        <v>0</v>
      </c>
      <c r="D25" s="216">
        <f>'B) D RI'!AA26</f>
        <v>1596</v>
      </c>
      <c r="E25" s="217">
        <f>'B) D RI'!S26</f>
        <v>70</v>
      </c>
      <c r="F25" s="10">
        <f>'B) D RI'!R26</f>
        <v>2766556.7872413797</v>
      </c>
      <c r="G25" s="10">
        <f>'B) D RI'!U26</f>
        <v>39522.239817733993</v>
      </c>
      <c r="H25" s="41">
        <f>'B) D RI'!T26</f>
        <v>2550740.5700000003</v>
      </c>
      <c r="I25" s="10">
        <f t="shared" si="3"/>
        <v>72878.302000000011</v>
      </c>
      <c r="J25" s="31">
        <f t="shared" si="4"/>
        <v>139465.93593842338</v>
      </c>
      <c r="K25" s="10">
        <f t="shared" si="5"/>
        <v>72878.302000000011</v>
      </c>
      <c r="L25" s="10">
        <f t="shared" si="6"/>
        <v>66587.633938423372</v>
      </c>
      <c r="M25" s="10">
        <f>'D) Ecrêtage'!C24</f>
        <v>39522.239817733993</v>
      </c>
      <c r="N25" s="10">
        <f t="shared" si="7"/>
        <v>47119.425168651775</v>
      </c>
      <c r="O25" s="57">
        <f t="shared" si="8"/>
        <v>119997.72716865179</v>
      </c>
    </row>
    <row r="26" spans="1:15" s="215" customFormat="1" x14ac:dyDescent="0.25">
      <c r="A26" s="303">
        <f>'A) Base RI'!A27</f>
        <v>5426</v>
      </c>
      <c r="B26" s="220" t="str">
        <f>'A) Base RI'!B27</f>
        <v>Bougy-Villars</v>
      </c>
      <c r="C26" s="490">
        <v>0</v>
      </c>
      <c r="D26" s="216">
        <f>'B) D RI'!AA27</f>
        <v>475</v>
      </c>
      <c r="E26" s="217">
        <f>'B) D RI'!S27</f>
        <v>66</v>
      </c>
      <c r="F26" s="10">
        <f>'B) D RI'!R27</f>
        <v>3436828.5933333333</v>
      </c>
      <c r="G26" s="10">
        <f>'B) D RI'!U27</f>
        <v>52073.160505050502</v>
      </c>
      <c r="H26" s="41">
        <f>'B) D RI'!T27</f>
        <v>3189869.71</v>
      </c>
      <c r="I26" s="10">
        <f t="shared" si="3"/>
        <v>96662.71848484849</v>
      </c>
      <c r="J26" s="31">
        <f t="shared" si="4"/>
        <v>41507.719029292675</v>
      </c>
      <c r="K26" s="10">
        <f t="shared" si="5"/>
        <v>41507.719029292675</v>
      </c>
      <c r="L26" s="10">
        <f t="shared" si="6"/>
        <v>0</v>
      </c>
      <c r="M26" s="10">
        <f>'D) Ecrêtage'!C25</f>
        <v>52073.160505050502</v>
      </c>
      <c r="N26" s="10">
        <f t="shared" si="7"/>
        <v>62082.953826213605</v>
      </c>
      <c r="O26" s="57">
        <f t="shared" si="8"/>
        <v>103590.67285550627</v>
      </c>
    </row>
    <row r="27" spans="1:15" s="215" customFormat="1" x14ac:dyDescent="0.25">
      <c r="A27" s="303">
        <f>'A) Base RI'!A28</f>
        <v>5427</v>
      </c>
      <c r="B27" s="220" t="str">
        <f>'A) Base RI'!B28</f>
        <v>Féchy</v>
      </c>
      <c r="C27" s="490">
        <v>0</v>
      </c>
      <c r="D27" s="216">
        <f>'B) D RI'!AA28</f>
        <v>861</v>
      </c>
      <c r="E27" s="217">
        <f>'B) D RI'!S28</f>
        <v>64</v>
      </c>
      <c r="F27" s="10">
        <f>'B) D RI'!R28</f>
        <v>5551964.1692307694</v>
      </c>
      <c r="G27" s="10">
        <f>'B) D RI'!U28</f>
        <v>86749.440144230772</v>
      </c>
      <c r="H27" s="41">
        <f>'B) D RI'!T28</f>
        <v>5198796.45</v>
      </c>
      <c r="I27" s="10">
        <f t="shared" si="3"/>
        <v>162462.38906250001</v>
      </c>
      <c r="J27" s="31">
        <f t="shared" si="4"/>
        <v>75238.202282570521</v>
      </c>
      <c r="K27" s="10">
        <f t="shared" si="5"/>
        <v>75238.202282570521</v>
      </c>
      <c r="L27" s="10">
        <f t="shared" si="6"/>
        <v>0</v>
      </c>
      <c r="M27" s="10">
        <f>'D) Ecrêtage'!C26</f>
        <v>86749.440144230772</v>
      </c>
      <c r="N27" s="10">
        <f t="shared" si="7"/>
        <v>103424.90132516177</v>
      </c>
      <c r="O27" s="57">
        <f t="shared" si="8"/>
        <v>178663.10360773228</v>
      </c>
    </row>
    <row r="28" spans="1:15" s="215" customFormat="1" x14ac:dyDescent="0.25">
      <c r="A28" s="303">
        <f>'A) Base RI'!A29</f>
        <v>5428</v>
      </c>
      <c r="B28" s="220" t="str">
        <f>'A) Base RI'!B29</f>
        <v>Gimel</v>
      </c>
      <c r="C28" s="490">
        <v>0</v>
      </c>
      <c r="D28" s="216">
        <f>'B) D RI'!AA29</f>
        <v>2238</v>
      </c>
      <c r="E28" s="217">
        <f>'B) D RI'!S29</f>
        <v>74.5</v>
      </c>
      <c r="F28" s="10">
        <f>'B) D RI'!R29</f>
        <v>4929740.2350000013</v>
      </c>
      <c r="G28" s="10">
        <f>'B) D RI'!U29</f>
        <v>66171.009865771834</v>
      </c>
      <c r="H28" s="41">
        <f>'B) D RI'!T29</f>
        <v>4551361.2100000009</v>
      </c>
      <c r="I28" s="10">
        <f t="shared" si="3"/>
        <v>122184.19355704701</v>
      </c>
      <c r="J28" s="31">
        <f t="shared" si="4"/>
        <v>195566.89513169898</v>
      </c>
      <c r="K28" s="10">
        <f t="shared" si="5"/>
        <v>122184.19355704701</v>
      </c>
      <c r="L28" s="10">
        <f t="shared" si="6"/>
        <v>73382.701574651976</v>
      </c>
      <c r="M28" s="10">
        <f>'D) Ecrêtage'!C27</f>
        <v>66171.009865771834</v>
      </c>
      <c r="N28" s="10">
        <f t="shared" si="7"/>
        <v>78890.770413910242</v>
      </c>
      <c r="O28" s="57">
        <f t="shared" si="8"/>
        <v>201074.96397095727</v>
      </c>
    </row>
    <row r="29" spans="1:15" s="215" customFormat="1" x14ac:dyDescent="0.25">
      <c r="A29" s="303">
        <f>'A) Base RI'!A30</f>
        <v>5429</v>
      </c>
      <c r="B29" s="220" t="str">
        <f>'A) Base RI'!B30</f>
        <v>Longirod</v>
      </c>
      <c r="C29" s="490">
        <v>0</v>
      </c>
      <c r="D29" s="216">
        <f>'B) D RI'!AA30</f>
        <v>482</v>
      </c>
      <c r="E29" s="217">
        <f>'B) D RI'!S30</f>
        <v>81</v>
      </c>
      <c r="F29" s="10">
        <f>'B) D RI'!R30</f>
        <v>1240224.75</v>
      </c>
      <c r="G29" s="10">
        <f>'B) D RI'!U30</f>
        <v>15311.416666666666</v>
      </c>
      <c r="H29" s="41">
        <f>'B) D RI'!T30</f>
        <v>1139939.1499999999</v>
      </c>
      <c r="I29" s="10">
        <f t="shared" si="3"/>
        <v>28146.645679012345</v>
      </c>
      <c r="J29" s="31">
        <f t="shared" si="4"/>
        <v>42119.411730776992</v>
      </c>
      <c r="K29" s="10">
        <f t="shared" si="5"/>
        <v>28146.645679012345</v>
      </c>
      <c r="L29" s="10">
        <f t="shared" si="6"/>
        <v>13972.766051764647</v>
      </c>
      <c r="M29" s="10">
        <f>'D) Ecrêtage'!C28</f>
        <v>15311.416666666666</v>
      </c>
      <c r="N29" s="10">
        <f t="shared" si="7"/>
        <v>18254.662569182619</v>
      </c>
      <c r="O29" s="57">
        <f t="shared" si="8"/>
        <v>46401.308248194968</v>
      </c>
    </row>
    <row r="30" spans="1:15" s="215" customFormat="1" x14ac:dyDescent="0.25">
      <c r="A30" s="303">
        <f>'A) Base RI'!A31</f>
        <v>5430</v>
      </c>
      <c r="B30" s="220" t="str">
        <f>'A) Base RI'!B31</f>
        <v>Marchissy</v>
      </c>
      <c r="C30" s="490">
        <v>0</v>
      </c>
      <c r="D30" s="216">
        <f>'B) D RI'!AA31</f>
        <v>472</v>
      </c>
      <c r="E30" s="217">
        <f>'B) D RI'!S31</f>
        <v>79</v>
      </c>
      <c r="F30" s="10">
        <f>'B) D RI'!R31</f>
        <v>1171364.05</v>
      </c>
      <c r="G30" s="10">
        <f>'B) D RI'!U31</f>
        <v>14827.393037974683</v>
      </c>
      <c r="H30" s="41">
        <f>'B) D RI'!T31</f>
        <v>1084047.55</v>
      </c>
      <c r="I30" s="10">
        <f t="shared" si="3"/>
        <v>27444.241772151901</v>
      </c>
      <c r="J30" s="31">
        <f t="shared" si="4"/>
        <v>41245.565014370826</v>
      </c>
      <c r="K30" s="10">
        <f t="shared" si="5"/>
        <v>27444.241772151901</v>
      </c>
      <c r="L30" s="10">
        <f t="shared" si="6"/>
        <v>13801.323242218925</v>
      </c>
      <c r="M30" s="10">
        <f>'D) Ecrêtage'!C29</f>
        <v>14827.393037974683</v>
      </c>
      <c r="N30" s="10">
        <f t="shared" si="7"/>
        <v>17677.597219212814</v>
      </c>
      <c r="O30" s="57">
        <f t="shared" si="8"/>
        <v>45121.838991364712</v>
      </c>
    </row>
    <row r="31" spans="1:15" s="215" customFormat="1" x14ac:dyDescent="0.25">
      <c r="A31" s="303">
        <f>'A) Base RI'!A32</f>
        <v>5431</v>
      </c>
      <c r="B31" s="220" t="str">
        <f>'A) Base RI'!B32</f>
        <v>Mollens</v>
      </c>
      <c r="C31" s="490">
        <v>0</v>
      </c>
      <c r="D31" s="216">
        <f>'B) D RI'!AA32</f>
        <v>308</v>
      </c>
      <c r="E31" s="217">
        <f>'B) D RI'!S32</f>
        <v>74</v>
      </c>
      <c r="F31" s="10">
        <f>'B) D RI'!R32</f>
        <v>786379.9</v>
      </c>
      <c r="G31" s="10">
        <f>'B) D RI'!U32</f>
        <v>10626.755405405405</v>
      </c>
      <c r="H31" s="41">
        <f>'B) D RI'!T32</f>
        <v>734529.10000000009</v>
      </c>
      <c r="I31" s="10">
        <f t="shared" si="3"/>
        <v>19852.137837837839</v>
      </c>
      <c r="J31" s="31">
        <f t="shared" si="4"/>
        <v>26914.478865309778</v>
      </c>
      <c r="K31" s="10">
        <f t="shared" si="5"/>
        <v>19852.137837837839</v>
      </c>
      <c r="L31" s="10">
        <f t="shared" si="6"/>
        <v>7062.341027471939</v>
      </c>
      <c r="M31" s="10">
        <f>'D) Ecrêtage'!C30</f>
        <v>10626.755405405405</v>
      </c>
      <c r="N31" s="10">
        <f t="shared" si="7"/>
        <v>12669.489594207793</v>
      </c>
      <c r="O31" s="57">
        <f t="shared" si="8"/>
        <v>32521.627432045632</v>
      </c>
    </row>
    <row r="32" spans="1:15" s="215" customFormat="1" x14ac:dyDescent="0.25">
      <c r="A32" s="303">
        <f>'A) Base RI'!A33</f>
        <v>5432</v>
      </c>
      <c r="B32" s="220" t="str">
        <f>'A) Base RI'!B33</f>
        <v>Montherod</v>
      </c>
      <c r="C32" s="490">
        <v>0</v>
      </c>
      <c r="D32" s="216">
        <f>'B) D RI'!AA33</f>
        <v>541</v>
      </c>
      <c r="E32" s="217">
        <f>'B) D RI'!S33</f>
        <v>78</v>
      </c>
      <c r="F32" s="10">
        <f>'B) D RI'!R33</f>
        <v>1254085.1100000001</v>
      </c>
      <c r="G32" s="10">
        <f>'B) D RI'!U33</f>
        <v>16078.014230769231</v>
      </c>
      <c r="H32" s="41">
        <f>'B) D RI'!T33</f>
        <v>1154954.1100000001</v>
      </c>
      <c r="I32" s="10">
        <f t="shared" si="3"/>
        <v>29614.207948717951</v>
      </c>
      <c r="J32" s="31">
        <f t="shared" si="4"/>
        <v>47275.107357573346</v>
      </c>
      <c r="K32" s="10">
        <f t="shared" si="5"/>
        <v>29614.207948717951</v>
      </c>
      <c r="L32" s="10">
        <f t="shared" si="6"/>
        <v>17660.899408855395</v>
      </c>
      <c r="M32" s="10">
        <f>'D) Ecrêtage'!C31</f>
        <v>16078.014230769231</v>
      </c>
      <c r="N32" s="10">
        <f t="shared" si="7"/>
        <v>19168.619792325459</v>
      </c>
      <c r="O32" s="57">
        <f t="shared" si="8"/>
        <v>48782.827741043409</v>
      </c>
    </row>
    <row r="33" spans="1:15" s="215" customFormat="1" x14ac:dyDescent="0.25">
      <c r="A33" s="303">
        <f>'A) Base RI'!A34</f>
        <v>5434</v>
      </c>
      <c r="B33" s="220" t="str">
        <f>'A) Base RI'!B34</f>
        <v>Saint-George</v>
      </c>
      <c r="C33" s="490">
        <v>0</v>
      </c>
      <c r="D33" s="216">
        <f>'B) D RI'!AA34</f>
        <v>1063</v>
      </c>
      <c r="E33" s="217">
        <f>'B) D RI'!S34</f>
        <v>71</v>
      </c>
      <c r="F33" s="10">
        <f>'B) D RI'!R34</f>
        <v>2833323.2883333336</v>
      </c>
      <c r="G33" s="10">
        <f>'B) D RI'!U34</f>
        <v>39905.96180751174</v>
      </c>
      <c r="H33" s="41">
        <f>'B) D RI'!T34</f>
        <v>2599265.63</v>
      </c>
      <c r="I33" s="10">
        <f t="shared" si="3"/>
        <v>73218.750140845063</v>
      </c>
      <c r="J33" s="31">
        <f t="shared" si="4"/>
        <v>92889.905953974987</v>
      </c>
      <c r="K33" s="10">
        <f t="shared" si="5"/>
        <v>73218.750140845063</v>
      </c>
      <c r="L33" s="10">
        <f t="shared" si="6"/>
        <v>19671.155813129924</v>
      </c>
      <c r="M33" s="10">
        <f>'D) Ecrêtage'!C32</f>
        <v>39905.96180751174</v>
      </c>
      <c r="N33" s="10">
        <f t="shared" si="7"/>
        <v>47576.908339299043</v>
      </c>
      <c r="O33" s="57">
        <f t="shared" si="8"/>
        <v>120795.65848014411</v>
      </c>
    </row>
    <row r="34" spans="1:15" s="215" customFormat="1" x14ac:dyDescent="0.25">
      <c r="A34" s="303">
        <f>'A) Base RI'!A35</f>
        <v>5435</v>
      </c>
      <c r="B34" s="220" t="str">
        <f>'A) Base RI'!B35</f>
        <v>Saint-Livres</v>
      </c>
      <c r="C34" s="490">
        <v>0</v>
      </c>
      <c r="D34" s="216">
        <f>'B) D RI'!AA35</f>
        <v>691</v>
      </c>
      <c r="E34" s="217">
        <f>'B) D RI'!S35</f>
        <v>69</v>
      </c>
      <c r="F34" s="10">
        <f>'B) D RI'!R35</f>
        <v>1678888.4699999997</v>
      </c>
      <c r="G34" s="10">
        <f>'B) D RI'!U35</f>
        <v>24331.716956521734</v>
      </c>
      <c r="H34" s="41">
        <f>'B) D RI'!T35</f>
        <v>1555567.9699999997</v>
      </c>
      <c r="I34" s="10">
        <f t="shared" si="3"/>
        <v>45088.926666666659</v>
      </c>
      <c r="J34" s="31">
        <f t="shared" si="4"/>
        <v>60382.808103665768</v>
      </c>
      <c r="K34" s="10">
        <f t="shared" si="5"/>
        <v>45088.926666666659</v>
      </c>
      <c r="L34" s="10">
        <f t="shared" si="6"/>
        <v>15293.881436999109</v>
      </c>
      <c r="M34" s="10">
        <f>'D) Ecrêtage'!C33</f>
        <v>24331.716956521734</v>
      </c>
      <c r="N34" s="10">
        <f t="shared" si="7"/>
        <v>29008.895286425486</v>
      </c>
      <c r="O34" s="57">
        <f t="shared" si="8"/>
        <v>74097.821953092149</v>
      </c>
    </row>
    <row r="35" spans="1:15" s="215" customFormat="1" x14ac:dyDescent="0.25">
      <c r="A35" s="303">
        <f>'A) Base RI'!A36</f>
        <v>5436</v>
      </c>
      <c r="B35" s="220" t="str">
        <f>'A) Base RI'!B36</f>
        <v>Saint-Oyens</v>
      </c>
      <c r="C35" s="490">
        <v>0</v>
      </c>
      <c r="D35" s="216">
        <f>'B) D RI'!AA36</f>
        <v>447</v>
      </c>
      <c r="E35" s="217">
        <f>'B) D RI'!S36</f>
        <v>81</v>
      </c>
      <c r="F35" s="10">
        <f>'B) D RI'!R36</f>
        <v>1341752.0900000001</v>
      </c>
      <c r="G35" s="10">
        <f>'B) D RI'!U36</f>
        <v>16564.840617283953</v>
      </c>
      <c r="H35" s="41">
        <f>'B) D RI'!T36</f>
        <v>1260998.8400000001</v>
      </c>
      <c r="I35" s="10">
        <f t="shared" si="3"/>
        <v>31135.773827160498</v>
      </c>
      <c r="J35" s="31">
        <f t="shared" si="4"/>
        <v>39060.948223355423</v>
      </c>
      <c r="K35" s="10">
        <f t="shared" si="5"/>
        <v>31135.773827160498</v>
      </c>
      <c r="L35" s="10">
        <f t="shared" si="6"/>
        <v>7925.1743961949251</v>
      </c>
      <c r="M35" s="10">
        <f>'D) Ecrêtage'!C34</f>
        <v>16564.840617283953</v>
      </c>
      <c r="N35" s="10">
        <f t="shared" si="7"/>
        <v>19749.026661857501</v>
      </c>
      <c r="O35" s="57">
        <f t="shared" si="8"/>
        <v>50884.800489018002</v>
      </c>
    </row>
    <row r="36" spans="1:15" s="215" customFormat="1" x14ac:dyDescent="0.25">
      <c r="A36" s="303">
        <f>'A) Base RI'!A37</f>
        <v>5437</v>
      </c>
      <c r="B36" s="220" t="str">
        <f>'A) Base RI'!B37</f>
        <v>Saubraz</v>
      </c>
      <c r="C36" s="490">
        <v>0</v>
      </c>
      <c r="D36" s="216">
        <f>'B) D RI'!AA37</f>
        <v>423</v>
      </c>
      <c r="E36" s="217">
        <f>'B) D RI'!S37</f>
        <v>80</v>
      </c>
      <c r="F36" s="10">
        <f>'B) D RI'!R37</f>
        <v>1052462.8099999998</v>
      </c>
      <c r="G36" s="10">
        <f>'B) D RI'!U37</f>
        <v>13155.785124999999</v>
      </c>
      <c r="H36" s="41">
        <f>'B) D RI'!T37</f>
        <v>985170.30999999994</v>
      </c>
      <c r="I36" s="10">
        <f t="shared" si="3"/>
        <v>24629.257749999997</v>
      </c>
      <c r="J36" s="31">
        <f t="shared" si="4"/>
        <v>36963.716103980638</v>
      </c>
      <c r="K36" s="10">
        <f t="shared" si="5"/>
        <v>24629.257749999997</v>
      </c>
      <c r="L36" s="10">
        <f t="shared" si="6"/>
        <v>12334.458353980641</v>
      </c>
      <c r="M36" s="10">
        <f>'D) Ecrêtage'!C35</f>
        <v>13155.785124999999</v>
      </c>
      <c r="N36" s="10">
        <f t="shared" si="7"/>
        <v>15684.663510749406</v>
      </c>
      <c r="O36" s="57">
        <f t="shared" si="8"/>
        <v>40313.921260749405</v>
      </c>
    </row>
    <row r="37" spans="1:15" s="215" customFormat="1" x14ac:dyDescent="0.25">
      <c r="A37" s="303">
        <f>'A) Base RI'!A38</f>
        <v>5451</v>
      </c>
      <c r="B37" s="220" t="str">
        <f>'A) Base RI'!B38</f>
        <v>Avenches</v>
      </c>
      <c r="C37" s="490">
        <v>0</v>
      </c>
      <c r="D37" s="216">
        <f>'B) D RI'!AA38</f>
        <v>4305</v>
      </c>
      <c r="E37" s="217">
        <f>'B) D RI'!S38</f>
        <v>68</v>
      </c>
      <c r="F37" s="10">
        <f>'B) D RI'!R38</f>
        <v>8797717.4800000098</v>
      </c>
      <c r="G37" s="10">
        <f>'B) D RI'!U38</f>
        <v>129378.19823529426</v>
      </c>
      <c r="H37" s="41">
        <f>'B) D RI'!T38</f>
        <v>7811260.9800000098</v>
      </c>
      <c r="I37" s="10">
        <f t="shared" si="3"/>
        <v>229742.97000000029</v>
      </c>
      <c r="J37" s="31">
        <f t="shared" si="4"/>
        <v>376191.01141285256</v>
      </c>
      <c r="K37" s="10">
        <f t="shared" si="5"/>
        <v>229742.97000000029</v>
      </c>
      <c r="L37" s="10">
        <f t="shared" si="6"/>
        <v>146448.04141285227</v>
      </c>
      <c r="M37" s="10">
        <f>'D) Ecrêtage'!C36</f>
        <v>129378.19823529426</v>
      </c>
      <c r="N37" s="10">
        <f t="shared" si="7"/>
        <v>154247.99703450789</v>
      </c>
      <c r="O37" s="57">
        <f t="shared" si="8"/>
        <v>383990.96703450818</v>
      </c>
    </row>
    <row r="38" spans="1:15" s="215" customFormat="1" x14ac:dyDescent="0.25">
      <c r="A38" s="303">
        <f>'A) Base RI'!A39</f>
        <v>5456</v>
      </c>
      <c r="B38" s="220" t="str">
        <f>'A) Base RI'!B39</f>
        <v>Cudrefin</v>
      </c>
      <c r="C38" s="490">
        <v>0</v>
      </c>
      <c r="D38" s="216">
        <f>'B) D RI'!AA39</f>
        <v>1735</v>
      </c>
      <c r="E38" s="217">
        <f>'B) D RI'!S39</f>
        <v>59</v>
      </c>
      <c r="F38" s="10">
        <f>'B) D RI'!R39</f>
        <v>3407559.7966666664</v>
      </c>
      <c r="G38" s="10">
        <f>'B) D RI'!U39</f>
        <v>57755.250790960446</v>
      </c>
      <c r="H38" s="41">
        <f>'B) D RI'!T39</f>
        <v>3085562.38</v>
      </c>
      <c r="I38" s="10">
        <f t="shared" si="3"/>
        <v>104595.33491525424</v>
      </c>
      <c r="J38" s="31">
        <f t="shared" si="4"/>
        <v>151612.40529646905</v>
      </c>
      <c r="K38" s="10">
        <f t="shared" si="5"/>
        <v>104595.33491525424</v>
      </c>
      <c r="L38" s="10">
        <f t="shared" si="6"/>
        <v>47017.070381214813</v>
      </c>
      <c r="M38" s="10">
        <f>'D) Ecrêtage'!C37</f>
        <v>57755.250790960446</v>
      </c>
      <c r="N38" s="10">
        <f t="shared" si="7"/>
        <v>68857.287195556724</v>
      </c>
      <c r="O38" s="57">
        <f t="shared" si="8"/>
        <v>173452.62211081095</v>
      </c>
    </row>
    <row r="39" spans="1:15" s="215" customFormat="1" x14ac:dyDescent="0.25">
      <c r="A39" s="303">
        <f>'A) Base RI'!A40</f>
        <v>5458</v>
      </c>
      <c r="B39" s="220" t="str">
        <f>'A) Base RI'!B40</f>
        <v>Faoug</v>
      </c>
      <c r="C39" s="490">
        <v>0</v>
      </c>
      <c r="D39" s="216">
        <f>'B) D RI'!AA40</f>
        <v>884</v>
      </c>
      <c r="E39" s="217">
        <f>'B) D RI'!S40</f>
        <v>66</v>
      </c>
      <c r="F39" s="10">
        <f>'B) D RI'!R40</f>
        <v>2187477.9733333332</v>
      </c>
      <c r="G39" s="10">
        <f>'B) D RI'!U40</f>
        <v>33143.605656565654</v>
      </c>
      <c r="H39" s="41">
        <f>'B) D RI'!T40</f>
        <v>2004694.9899999998</v>
      </c>
      <c r="I39" s="10">
        <f t="shared" si="3"/>
        <v>60748.333030303023</v>
      </c>
      <c r="J39" s="31">
        <f t="shared" si="4"/>
        <v>77248.049730304687</v>
      </c>
      <c r="K39" s="10">
        <f t="shared" si="5"/>
        <v>60748.333030303023</v>
      </c>
      <c r="L39" s="10">
        <f t="shared" si="6"/>
        <v>16499.716700001663</v>
      </c>
      <c r="M39" s="10">
        <f>'D) Ecrêtage'!C38</f>
        <v>33143.605656565654</v>
      </c>
      <c r="N39" s="10">
        <f t="shared" si="7"/>
        <v>39514.654375764818</v>
      </c>
      <c r="O39" s="57">
        <f t="shared" si="8"/>
        <v>100262.98740606784</v>
      </c>
    </row>
    <row r="40" spans="1:15" s="215" customFormat="1" x14ac:dyDescent="0.25">
      <c r="A40" s="303">
        <f>'A) Base RI'!A41</f>
        <v>5464</v>
      </c>
      <c r="B40" s="220" t="str">
        <f>'A) Base RI'!B41</f>
        <v>Vully-les-Lacs</v>
      </c>
      <c r="C40" s="490">
        <v>0</v>
      </c>
      <c r="D40" s="216">
        <f>'B) D RI'!AA41</f>
        <v>3278</v>
      </c>
      <c r="E40" s="217">
        <f>'B) D RI'!S41</f>
        <v>67</v>
      </c>
      <c r="F40" s="10">
        <f>'B) D RI'!R41</f>
        <v>7553662.3033333328</v>
      </c>
      <c r="G40" s="10">
        <f>'B) D RI'!U41</f>
        <v>112741.2284079602</v>
      </c>
      <c r="H40" s="41">
        <f>'B) D RI'!T41</f>
        <v>6879054.5199999996</v>
      </c>
      <c r="I40" s="10">
        <f t="shared" si="3"/>
        <v>205344.91104477612</v>
      </c>
      <c r="J40" s="31">
        <f t="shared" si="4"/>
        <v>286446.95363793976</v>
      </c>
      <c r="K40" s="10">
        <f t="shared" si="5"/>
        <v>205344.91104477612</v>
      </c>
      <c r="L40" s="10">
        <f t="shared" si="6"/>
        <v>81102.042593163642</v>
      </c>
      <c r="M40" s="10">
        <f>'D) Ecrêtage'!C39</f>
        <v>112741.2284079602</v>
      </c>
      <c r="N40" s="10">
        <f t="shared" si="7"/>
        <v>134412.97608358419</v>
      </c>
      <c r="O40" s="57">
        <f t="shared" si="8"/>
        <v>339757.88712836034</v>
      </c>
    </row>
    <row r="41" spans="1:15" s="215" customFormat="1" x14ac:dyDescent="0.25">
      <c r="A41" s="303">
        <f>'A) Base RI'!A42</f>
        <v>5471</v>
      </c>
      <c r="B41" s="220" t="str">
        <f>'A) Base RI'!B42</f>
        <v>Bettens</v>
      </c>
      <c r="C41" s="490">
        <v>0</v>
      </c>
      <c r="D41" s="216">
        <f>'B) D RI'!AA42</f>
        <v>650</v>
      </c>
      <c r="E41" s="217">
        <f>'B) D RI'!S42</f>
        <v>70</v>
      </c>
      <c r="F41" s="10">
        <f>'B) D RI'!R42</f>
        <v>1519561.3988888888</v>
      </c>
      <c r="G41" s="10">
        <f>'B) D RI'!U42</f>
        <v>21708.019984126982</v>
      </c>
      <c r="H41" s="41">
        <f>'B) D RI'!T42</f>
        <v>1399258.7599999998</v>
      </c>
      <c r="I41" s="10">
        <f t="shared" si="3"/>
        <v>39978.82171428571</v>
      </c>
      <c r="J41" s="31">
        <f t="shared" si="4"/>
        <v>56800.036566400508</v>
      </c>
      <c r="K41" s="10">
        <f t="shared" si="5"/>
        <v>39978.82171428571</v>
      </c>
      <c r="L41" s="10">
        <f t="shared" si="6"/>
        <v>16821.214852114797</v>
      </c>
      <c r="M41" s="10">
        <f>'D) Ecrêtage'!C40</f>
        <v>21708.019984126982</v>
      </c>
      <c r="N41" s="10">
        <f t="shared" si="7"/>
        <v>25880.8566497969</v>
      </c>
      <c r="O41" s="57">
        <f t="shared" si="8"/>
        <v>65859.678364082618</v>
      </c>
    </row>
    <row r="42" spans="1:15" s="215" customFormat="1" x14ac:dyDescent="0.25">
      <c r="A42" s="303">
        <f>'A) Base RI'!A43</f>
        <v>5472</v>
      </c>
      <c r="B42" s="220" t="str">
        <f>'A) Base RI'!B43</f>
        <v>Bournens</v>
      </c>
      <c r="C42" s="490">
        <v>0</v>
      </c>
      <c r="D42" s="216">
        <f>'B) D RI'!AA43</f>
        <v>422</v>
      </c>
      <c r="E42" s="217">
        <f>'B) D RI'!S43</f>
        <v>76</v>
      </c>
      <c r="F42" s="10">
        <f>'B) D RI'!R43</f>
        <v>1144990.17</v>
      </c>
      <c r="G42" s="10">
        <f>'B) D RI'!U43</f>
        <v>15065.660131578947</v>
      </c>
      <c r="H42" s="41">
        <f>'B) D RI'!T43</f>
        <v>1053448.8199999998</v>
      </c>
      <c r="I42" s="10">
        <f t="shared" si="3"/>
        <v>27722.337368421049</v>
      </c>
      <c r="J42" s="31">
        <f t="shared" si="4"/>
        <v>36876.331432340019</v>
      </c>
      <c r="K42" s="10">
        <f t="shared" si="5"/>
        <v>27722.337368421049</v>
      </c>
      <c r="L42" s="10">
        <f t="shared" si="6"/>
        <v>9153.9940639189699</v>
      </c>
      <c r="M42" s="10">
        <f>'D) Ecrêtage'!C41</f>
        <v>15065.660131578947</v>
      </c>
      <c r="N42" s="10">
        <f t="shared" si="7"/>
        <v>17961.665342350931</v>
      </c>
      <c r="O42" s="57">
        <f t="shared" si="8"/>
        <v>45684.00271077198</v>
      </c>
    </row>
    <row r="43" spans="1:15" s="215" customFormat="1" x14ac:dyDescent="0.25">
      <c r="A43" s="303">
        <f>'A) Base RI'!A44</f>
        <v>5473</v>
      </c>
      <c r="B43" s="220" t="str">
        <f>'A) Base RI'!B44</f>
        <v>Boussens</v>
      </c>
      <c r="C43" s="490">
        <v>0</v>
      </c>
      <c r="D43" s="216">
        <f>'B) D RI'!AA44</f>
        <v>993</v>
      </c>
      <c r="E43" s="217">
        <f>'B) D RI'!S44</f>
        <v>69</v>
      </c>
      <c r="F43" s="10">
        <f>'B) D RI'!R44</f>
        <v>2370197.2300000004</v>
      </c>
      <c r="G43" s="10">
        <f>'B) D RI'!U44</f>
        <v>34350.684492753629</v>
      </c>
      <c r="H43" s="41">
        <f>'B) D RI'!T44</f>
        <v>2187545.33</v>
      </c>
      <c r="I43" s="10">
        <f t="shared" si="3"/>
        <v>63407.111014492759</v>
      </c>
      <c r="J43" s="31">
        <f t="shared" si="4"/>
        <v>86772.978939131848</v>
      </c>
      <c r="K43" s="10">
        <f t="shared" si="5"/>
        <v>63407.111014492759</v>
      </c>
      <c r="L43" s="10">
        <f t="shared" si="6"/>
        <v>23365.867924639089</v>
      </c>
      <c r="M43" s="10">
        <f>'D) Ecrêtage'!C42</f>
        <v>34350.684492753629</v>
      </c>
      <c r="N43" s="10">
        <f t="shared" si="7"/>
        <v>40953.764637650871</v>
      </c>
      <c r="O43" s="57">
        <f t="shared" si="8"/>
        <v>104360.87565214363</v>
      </c>
    </row>
    <row r="44" spans="1:15" s="215" customFormat="1" x14ac:dyDescent="0.25">
      <c r="A44" s="303">
        <f>'A) Base RI'!A45</f>
        <v>5474</v>
      </c>
      <c r="B44" s="220" t="str">
        <f>'A) Base RI'!B45</f>
        <v>La Chaux (Cossonay)</v>
      </c>
      <c r="C44" s="490">
        <v>0</v>
      </c>
      <c r="D44" s="216">
        <f>'B) D RI'!AA45</f>
        <v>395</v>
      </c>
      <c r="E44" s="217">
        <f>'B) D RI'!S45</f>
        <v>77</v>
      </c>
      <c r="F44" s="10">
        <f>'B) D RI'!R45</f>
        <v>1179903.5766666667</v>
      </c>
      <c r="G44" s="10">
        <f>'B) D RI'!U45</f>
        <v>15323.423073593074</v>
      </c>
      <c r="H44" s="41">
        <f>'B) D RI'!T45</f>
        <v>1109222.4099999999</v>
      </c>
      <c r="I44" s="10">
        <f t="shared" si="3"/>
        <v>28810.971688311685</v>
      </c>
      <c r="J44" s="31">
        <f t="shared" si="4"/>
        <v>34516.945298043385</v>
      </c>
      <c r="K44" s="10">
        <f t="shared" si="5"/>
        <v>28810.971688311685</v>
      </c>
      <c r="L44" s="10">
        <f t="shared" si="6"/>
        <v>5705.9736097317</v>
      </c>
      <c r="M44" s="10">
        <f>'D) Ecrêtage'!C43</f>
        <v>15323.423073593074</v>
      </c>
      <c r="N44" s="10">
        <f t="shared" si="7"/>
        <v>18268.976914607429</v>
      </c>
      <c r="O44" s="57">
        <f t="shared" si="8"/>
        <v>47079.948602919118</v>
      </c>
    </row>
    <row r="45" spans="1:15" s="215" customFormat="1" x14ac:dyDescent="0.25">
      <c r="A45" s="303">
        <f>'A) Base RI'!A46</f>
        <v>5475</v>
      </c>
      <c r="B45" s="220" t="str">
        <f>'A) Base RI'!B46</f>
        <v>Chavannes-le-Veyron</v>
      </c>
      <c r="C45" s="490">
        <v>0</v>
      </c>
      <c r="D45" s="216">
        <f>'B) D RI'!AA46</f>
        <v>152</v>
      </c>
      <c r="E45" s="217">
        <f>'B) D RI'!S46</f>
        <v>77</v>
      </c>
      <c r="F45" s="10">
        <f>'B) D RI'!R46</f>
        <v>234536.97</v>
      </c>
      <c r="G45" s="10">
        <f>'B) D RI'!U46</f>
        <v>3045.9346753246755</v>
      </c>
      <c r="H45" s="41">
        <f>'B) D RI'!T46</f>
        <v>211986.67</v>
      </c>
      <c r="I45" s="10">
        <f t="shared" si="3"/>
        <v>5506.147272727273</v>
      </c>
      <c r="J45" s="31">
        <f t="shared" si="4"/>
        <v>13282.470089373657</v>
      </c>
      <c r="K45" s="10">
        <f t="shared" si="5"/>
        <v>5506.147272727273</v>
      </c>
      <c r="L45" s="10">
        <f t="shared" si="6"/>
        <v>7776.3228166463841</v>
      </c>
      <c r="M45" s="10">
        <f>'D) Ecrêtage'!C44</f>
        <v>3045.9346753246755</v>
      </c>
      <c r="N45" s="10">
        <f t="shared" si="7"/>
        <v>3631.4412256099599</v>
      </c>
      <c r="O45" s="57">
        <f t="shared" si="8"/>
        <v>9137.5884983372325</v>
      </c>
    </row>
    <row r="46" spans="1:15" s="215" customFormat="1" x14ac:dyDescent="0.25">
      <c r="A46" s="303">
        <f>'A) Base RI'!A47</f>
        <v>5476</v>
      </c>
      <c r="B46" s="220" t="str">
        <f>'A) Base RI'!B47</f>
        <v>Chevilly</v>
      </c>
      <c r="C46" s="490">
        <v>0</v>
      </c>
      <c r="D46" s="216">
        <f>'B) D RI'!AA47</f>
        <v>317</v>
      </c>
      <c r="E46" s="217">
        <f>'B) D RI'!S47</f>
        <v>74</v>
      </c>
      <c r="F46" s="10">
        <f>'B) D RI'!R47</f>
        <v>934808.32999999973</v>
      </c>
      <c r="G46" s="10">
        <f>'B) D RI'!U47</f>
        <v>12632.544999999996</v>
      </c>
      <c r="H46" s="41">
        <f>'B) D RI'!T47</f>
        <v>875569.62999999977</v>
      </c>
      <c r="I46" s="10">
        <f t="shared" si="3"/>
        <v>23664.044054054048</v>
      </c>
      <c r="J46" s="31">
        <f t="shared" si="4"/>
        <v>27700.940910075322</v>
      </c>
      <c r="K46" s="10">
        <f t="shared" si="5"/>
        <v>23664.044054054048</v>
      </c>
      <c r="L46" s="10">
        <f t="shared" si="6"/>
        <v>4036.8968560212743</v>
      </c>
      <c r="M46" s="10">
        <f>'D) Ecrêtage'!C45</f>
        <v>12632.544999999996</v>
      </c>
      <c r="N46" s="10">
        <f t="shared" si="7"/>
        <v>15060.843250843214</v>
      </c>
      <c r="O46" s="57">
        <f t="shared" si="8"/>
        <v>38724.88730489726</v>
      </c>
    </row>
    <row r="47" spans="1:15" s="215" customFormat="1" x14ac:dyDescent="0.25">
      <c r="A47" s="303">
        <f>'A) Base RI'!A48</f>
        <v>5477</v>
      </c>
      <c r="B47" s="220" t="str">
        <f>'A) Base RI'!B48</f>
        <v>Cossonay</v>
      </c>
      <c r="C47" s="490">
        <v>0</v>
      </c>
      <c r="D47" s="216">
        <f>'B) D RI'!AA48</f>
        <v>4045</v>
      </c>
      <c r="E47" s="217">
        <f>'B) D RI'!S48</f>
        <v>71</v>
      </c>
      <c r="F47" s="10">
        <f>'B) D RI'!R48</f>
        <v>10251637.100000001</v>
      </c>
      <c r="G47" s="10">
        <f>'B) D RI'!U48</f>
        <v>144389.2549295775</v>
      </c>
      <c r="H47" s="41">
        <f>'B) D RI'!T48</f>
        <v>9570465.3000000007</v>
      </c>
      <c r="I47" s="10">
        <f t="shared" si="3"/>
        <v>269590.57183098595</v>
      </c>
      <c r="J47" s="31">
        <f t="shared" si="4"/>
        <v>353470.99678629235</v>
      </c>
      <c r="K47" s="10">
        <f t="shared" si="5"/>
        <v>269590.57183098595</v>
      </c>
      <c r="L47" s="10">
        <f t="shared" si="6"/>
        <v>83880.4249553064</v>
      </c>
      <c r="M47" s="10">
        <f>'D) Ecrêtage'!C46</f>
        <v>144389.2549295775</v>
      </c>
      <c r="N47" s="10">
        <f t="shared" si="7"/>
        <v>172144.56276232607</v>
      </c>
      <c r="O47" s="57">
        <f t="shared" si="8"/>
        <v>441735.13459331205</v>
      </c>
    </row>
    <row r="48" spans="1:15" s="215" customFormat="1" x14ac:dyDescent="0.25">
      <c r="A48" s="303">
        <f>'A) Base RI'!A49</f>
        <v>5478</v>
      </c>
      <c r="B48" s="220" t="str">
        <f>'A) Base RI'!B49</f>
        <v>Cottens</v>
      </c>
      <c r="C48" s="490">
        <v>0</v>
      </c>
      <c r="D48" s="216">
        <f>'B) D RI'!AA49</f>
        <v>487</v>
      </c>
      <c r="E48" s="217">
        <f>'B) D RI'!S49</f>
        <v>74</v>
      </c>
      <c r="F48" s="10">
        <f>'B) D RI'!R49</f>
        <v>1299909.5999999999</v>
      </c>
      <c r="G48" s="10">
        <f>'B) D RI'!U49</f>
        <v>17566.345945945945</v>
      </c>
      <c r="H48" s="41">
        <f>'B) D RI'!T49</f>
        <v>1219600.3499999999</v>
      </c>
      <c r="I48" s="10">
        <f t="shared" si="3"/>
        <v>32962.171621621615</v>
      </c>
      <c r="J48" s="31">
        <f t="shared" si="4"/>
        <v>42556.335088980071</v>
      </c>
      <c r="K48" s="10">
        <f t="shared" si="5"/>
        <v>32962.171621621615</v>
      </c>
      <c r="L48" s="10">
        <f t="shared" si="6"/>
        <v>9594.1634673584558</v>
      </c>
      <c r="M48" s="10">
        <f>'D) Ecrêtage'!C47</f>
        <v>17566.345945945945</v>
      </c>
      <c r="N48" s="10">
        <f t="shared" si="7"/>
        <v>20943.046930129844</v>
      </c>
      <c r="O48" s="57">
        <f t="shared" si="8"/>
        <v>53905.218551751459</v>
      </c>
    </row>
    <row r="49" spans="1:15" s="215" customFormat="1" x14ac:dyDescent="0.25">
      <c r="A49" s="303">
        <f>'A) Base RI'!A50</f>
        <v>5479</v>
      </c>
      <c r="B49" s="220" t="str">
        <f>'A) Base RI'!B50</f>
        <v>Cuarnens</v>
      </c>
      <c r="C49" s="490">
        <v>0</v>
      </c>
      <c r="D49" s="216">
        <f>'B) D RI'!AA50</f>
        <v>486</v>
      </c>
      <c r="E49" s="217">
        <f>'B) D RI'!S50</f>
        <v>77</v>
      </c>
      <c r="F49" s="10">
        <f>'B) D RI'!R50</f>
        <v>1330330.82</v>
      </c>
      <c r="G49" s="10">
        <f>'B) D RI'!U50</f>
        <v>17277.023636363636</v>
      </c>
      <c r="H49" s="41">
        <f>'B) D RI'!T50</f>
        <v>1246570.1700000002</v>
      </c>
      <c r="I49" s="10">
        <f t="shared" si="3"/>
        <v>32378.445974025977</v>
      </c>
      <c r="J49" s="31">
        <f t="shared" si="4"/>
        <v>42468.950417339453</v>
      </c>
      <c r="K49" s="10">
        <f t="shared" si="5"/>
        <v>32378.445974025977</v>
      </c>
      <c r="L49" s="10">
        <f t="shared" si="6"/>
        <v>10090.504443313475</v>
      </c>
      <c r="M49" s="10">
        <f>'D) Ecrêtage'!C48</f>
        <v>17277.023636363636</v>
      </c>
      <c r="N49" s="10">
        <f t="shared" si="7"/>
        <v>20598.109472666514</v>
      </c>
      <c r="O49" s="57">
        <f t="shared" si="8"/>
        <v>52976.555446692495</v>
      </c>
    </row>
    <row r="50" spans="1:15" s="215" customFormat="1" x14ac:dyDescent="0.25">
      <c r="A50" s="303">
        <f>'A) Base RI'!A51</f>
        <v>5480</v>
      </c>
      <c r="B50" s="220" t="str">
        <f>'A) Base RI'!B51</f>
        <v>Daillens</v>
      </c>
      <c r="C50" s="490">
        <v>0</v>
      </c>
      <c r="D50" s="216">
        <f>'B) D RI'!AA51</f>
        <v>1034</v>
      </c>
      <c r="E50" s="217">
        <f>'B) D RI'!S51</f>
        <v>66</v>
      </c>
      <c r="F50" s="10">
        <f>'B) D RI'!R51</f>
        <v>2677541.0866666669</v>
      </c>
      <c r="G50" s="10">
        <f>'B) D RI'!U51</f>
        <v>40568.804343434349</v>
      </c>
      <c r="H50" s="41">
        <f>'B) D RI'!T51</f>
        <v>2399985.0200000005</v>
      </c>
      <c r="I50" s="10">
        <f t="shared" si="3"/>
        <v>72726.818787878801</v>
      </c>
      <c r="J50" s="31">
        <f t="shared" si="4"/>
        <v>90355.750476397108</v>
      </c>
      <c r="K50" s="10">
        <f t="shared" si="5"/>
        <v>72726.818787878801</v>
      </c>
      <c r="L50" s="10">
        <f t="shared" si="6"/>
        <v>17628.931688518307</v>
      </c>
      <c r="M50" s="10">
        <f>'D) Ecrêtage'!C49</f>
        <v>40568.804343434349</v>
      </c>
      <c r="N50" s="10">
        <f t="shared" si="7"/>
        <v>48367.166164109629</v>
      </c>
      <c r="O50" s="57">
        <f t="shared" si="8"/>
        <v>121093.98495198843</v>
      </c>
    </row>
    <row r="51" spans="1:15" s="215" customFormat="1" x14ac:dyDescent="0.25">
      <c r="A51" s="303">
        <f>'A) Base RI'!A52</f>
        <v>5481</v>
      </c>
      <c r="B51" s="220" t="str">
        <f>'A) Base RI'!B52</f>
        <v>Dizy</v>
      </c>
      <c r="C51" s="490">
        <v>0</v>
      </c>
      <c r="D51" s="216">
        <f>'B) D RI'!AA52</f>
        <v>234</v>
      </c>
      <c r="E51" s="217">
        <f>'B) D RI'!S52</f>
        <v>79</v>
      </c>
      <c r="F51" s="10">
        <f>'B) D RI'!R52</f>
        <v>763047.31000000017</v>
      </c>
      <c r="G51" s="10">
        <f>'B) D RI'!U52</f>
        <v>9658.8267088607608</v>
      </c>
      <c r="H51" s="41">
        <f>'B) D RI'!T52</f>
        <v>726697.66000000015</v>
      </c>
      <c r="I51" s="10">
        <f t="shared" si="3"/>
        <v>18397.409113924055</v>
      </c>
      <c r="J51" s="31">
        <f t="shared" si="4"/>
        <v>20448.013163904183</v>
      </c>
      <c r="K51" s="10">
        <f t="shared" si="5"/>
        <v>18397.409113924055</v>
      </c>
      <c r="L51" s="10">
        <f t="shared" si="6"/>
        <v>2050.6040499801275</v>
      </c>
      <c r="M51" s="10">
        <f>'D) Ecrêtage'!C50</f>
        <v>9658.8267088607608</v>
      </c>
      <c r="N51" s="10">
        <f t="shared" si="7"/>
        <v>11515.500245533249</v>
      </c>
      <c r="O51" s="57">
        <f t="shared" si="8"/>
        <v>29912.909359457306</v>
      </c>
    </row>
    <row r="52" spans="1:15" s="215" customFormat="1" x14ac:dyDescent="0.25">
      <c r="A52" s="303">
        <f>'A) Base RI'!A53</f>
        <v>5482</v>
      </c>
      <c r="B52" s="220" t="str">
        <f>'A) Base RI'!B53</f>
        <v>Eclépens</v>
      </c>
      <c r="C52" s="490">
        <v>0</v>
      </c>
      <c r="D52" s="216">
        <f>'B) D RI'!AA53</f>
        <v>1222</v>
      </c>
      <c r="E52" s="217">
        <f>'B) D RI'!S53</f>
        <v>46</v>
      </c>
      <c r="F52" s="10">
        <f>'B) D RI'!R53</f>
        <v>2765367.9800000004</v>
      </c>
      <c r="G52" s="10">
        <f>'B) D RI'!U53</f>
        <v>60116.695217391316</v>
      </c>
      <c r="H52" s="41">
        <f>'B) D RI'!T53</f>
        <v>2295736.1300000004</v>
      </c>
      <c r="I52" s="10">
        <f t="shared" si="3"/>
        <v>99814.614347826107</v>
      </c>
      <c r="J52" s="31">
        <f t="shared" si="4"/>
        <v>106784.06874483296</v>
      </c>
      <c r="K52" s="10">
        <f t="shared" si="5"/>
        <v>99814.614347826107</v>
      </c>
      <c r="L52" s="10">
        <f t="shared" si="6"/>
        <v>6969.454397006848</v>
      </c>
      <c r="M52" s="10">
        <f>'D) Ecrêtage'!C51</f>
        <v>60116.695217391316</v>
      </c>
      <c r="N52" s="10">
        <f t="shared" si="7"/>
        <v>71672.661639269587</v>
      </c>
      <c r="O52" s="57">
        <f t="shared" si="8"/>
        <v>171487.27598709569</v>
      </c>
    </row>
    <row r="53" spans="1:15" s="215" customFormat="1" x14ac:dyDescent="0.25">
      <c r="A53" s="303">
        <f>'A) Base RI'!A54</f>
        <v>5483</v>
      </c>
      <c r="B53" s="220" t="str">
        <f>'A) Base RI'!B54</f>
        <v>Ferreyres</v>
      </c>
      <c r="C53" s="490">
        <v>0</v>
      </c>
      <c r="D53" s="216">
        <f>'B) D RI'!AA54</f>
        <v>320</v>
      </c>
      <c r="E53" s="217">
        <f>'B) D RI'!S54</f>
        <v>76</v>
      </c>
      <c r="F53" s="10">
        <f>'B) D RI'!R54</f>
        <v>848766.51</v>
      </c>
      <c r="G53" s="10">
        <f>'B) D RI'!U54</f>
        <v>11167.980394736842</v>
      </c>
      <c r="H53" s="41">
        <f>'B) D RI'!T54</f>
        <v>794827.36</v>
      </c>
      <c r="I53" s="10">
        <f t="shared" si="3"/>
        <v>20916.509473684211</v>
      </c>
      <c r="J53" s="31">
        <f t="shared" si="4"/>
        <v>27963.094924997171</v>
      </c>
      <c r="K53" s="10">
        <f t="shared" si="5"/>
        <v>20916.509473684211</v>
      </c>
      <c r="L53" s="10">
        <f t="shared" si="6"/>
        <v>7046.5854513129598</v>
      </c>
      <c r="M53" s="10">
        <f>'D) Ecrêtage'!C52</f>
        <v>11167.980394736842</v>
      </c>
      <c r="N53" s="10">
        <f t="shared" si="7"/>
        <v>13314.751869367712</v>
      </c>
      <c r="O53" s="57">
        <f t="shared" si="8"/>
        <v>34231.261343051927</v>
      </c>
    </row>
    <row r="54" spans="1:15" s="215" customFormat="1" x14ac:dyDescent="0.25">
      <c r="A54" s="303">
        <f>'A) Base RI'!A55</f>
        <v>5484</v>
      </c>
      <c r="B54" s="220" t="str">
        <f>'A) Base RI'!B55</f>
        <v>Gollion</v>
      </c>
      <c r="C54" s="490">
        <v>0</v>
      </c>
      <c r="D54" s="216">
        <f>'B) D RI'!AA55</f>
        <v>939</v>
      </c>
      <c r="E54" s="217">
        <f>'B) D RI'!S55</f>
        <v>74</v>
      </c>
      <c r="F54" s="10">
        <f>'B) D RI'!R55</f>
        <v>2515670.2400000002</v>
      </c>
      <c r="G54" s="10">
        <f>'B) D RI'!U55</f>
        <v>33995.543783783789</v>
      </c>
      <c r="H54" s="41">
        <f>'B) D RI'!T55</f>
        <v>2332591.7900000005</v>
      </c>
      <c r="I54" s="10">
        <f t="shared" si="3"/>
        <v>63043.021351351366</v>
      </c>
      <c r="J54" s="31">
        <f t="shared" si="4"/>
        <v>82054.206670538581</v>
      </c>
      <c r="K54" s="10">
        <f t="shared" si="5"/>
        <v>63043.021351351366</v>
      </c>
      <c r="L54" s="10">
        <f t="shared" si="6"/>
        <v>19011.185319187214</v>
      </c>
      <c r="M54" s="10">
        <f>'D) Ecrêtage'!C53</f>
        <v>33995.543783783789</v>
      </c>
      <c r="N54" s="10">
        <f t="shared" si="7"/>
        <v>40530.356801004484</v>
      </c>
      <c r="O54" s="57">
        <f t="shared" si="8"/>
        <v>103573.37815235584</v>
      </c>
    </row>
    <row r="55" spans="1:15" s="215" customFormat="1" x14ac:dyDescent="0.25">
      <c r="A55" s="303">
        <f>'A) Base RI'!A56</f>
        <v>5485</v>
      </c>
      <c r="B55" s="220" t="str">
        <f>'A) Base RI'!B56</f>
        <v>Grancy</v>
      </c>
      <c r="C55" s="490">
        <v>0</v>
      </c>
      <c r="D55" s="216">
        <f>'B) D RI'!AA56</f>
        <v>397</v>
      </c>
      <c r="E55" s="217">
        <f>'B) D RI'!S56</f>
        <v>70</v>
      </c>
      <c r="F55" s="10">
        <f>'B) D RI'!R56</f>
        <v>1186993.42</v>
      </c>
      <c r="G55" s="10">
        <f>'B) D RI'!U56</f>
        <v>16957.048857142858</v>
      </c>
      <c r="H55" s="41">
        <f>'B) D RI'!T56</f>
        <v>1113530.5699999998</v>
      </c>
      <c r="I55" s="10">
        <f t="shared" si="3"/>
        <v>31815.159142857137</v>
      </c>
      <c r="J55" s="31">
        <f t="shared" si="4"/>
        <v>34691.714641324616</v>
      </c>
      <c r="K55" s="10">
        <f t="shared" si="5"/>
        <v>31815.159142857137</v>
      </c>
      <c r="L55" s="10">
        <f t="shared" si="6"/>
        <v>2876.5554984674782</v>
      </c>
      <c r="M55" s="10">
        <f>'D) Ecrêtage'!C54</f>
        <v>16957.048857142858</v>
      </c>
      <c r="N55" s="10">
        <f t="shared" si="7"/>
        <v>20216.627356903831</v>
      </c>
      <c r="O55" s="57">
        <f t="shared" si="8"/>
        <v>52031.786499760972</v>
      </c>
    </row>
    <row r="56" spans="1:15" s="215" customFormat="1" x14ac:dyDescent="0.25">
      <c r="A56" s="303">
        <f>'A) Base RI'!A57</f>
        <v>5486</v>
      </c>
      <c r="B56" s="220" t="str">
        <f>'A) Base RI'!B57</f>
        <v>L'Isle</v>
      </c>
      <c r="C56" s="490">
        <v>0</v>
      </c>
      <c r="D56" s="216">
        <f>'B) D RI'!AA57</f>
        <v>1011</v>
      </c>
      <c r="E56" s="217">
        <f>'B) D RI'!S57</f>
        <v>76</v>
      </c>
      <c r="F56" s="10">
        <f>'B) D RI'!R57</f>
        <v>2710741.2500000005</v>
      </c>
      <c r="G56" s="10">
        <f>'B) D RI'!U57</f>
        <v>35667.648026315794</v>
      </c>
      <c r="H56" s="41">
        <f>'B) D RI'!T57</f>
        <v>2520281.7000000007</v>
      </c>
      <c r="I56" s="10">
        <f t="shared" si="3"/>
        <v>66323.20263157897</v>
      </c>
      <c r="J56" s="31">
        <f t="shared" si="4"/>
        <v>88345.903028662942</v>
      </c>
      <c r="K56" s="10">
        <f t="shared" si="5"/>
        <v>66323.20263157897</v>
      </c>
      <c r="L56" s="10">
        <f t="shared" si="6"/>
        <v>22022.700397083972</v>
      </c>
      <c r="M56" s="10">
        <f>'D) Ecrêtage'!C55</f>
        <v>35667.648026315794</v>
      </c>
      <c r="N56" s="10">
        <f t="shared" si="7"/>
        <v>42523.882246260728</v>
      </c>
      <c r="O56" s="57">
        <f t="shared" si="8"/>
        <v>108847.08487783969</v>
      </c>
    </row>
    <row r="57" spans="1:15" s="215" customFormat="1" x14ac:dyDescent="0.25">
      <c r="A57" s="303">
        <f>'A) Base RI'!A58</f>
        <v>5487</v>
      </c>
      <c r="B57" s="220" t="str">
        <f>'A) Base RI'!B58</f>
        <v>Lussery-Villars</v>
      </c>
      <c r="C57" s="490">
        <v>0</v>
      </c>
      <c r="D57" s="216">
        <f>'B) D RI'!AA58</f>
        <v>459</v>
      </c>
      <c r="E57" s="217">
        <f>'B) D RI'!S58</f>
        <v>75</v>
      </c>
      <c r="F57" s="10">
        <f>'B) D RI'!R58</f>
        <v>1162807.1299999999</v>
      </c>
      <c r="G57" s="10">
        <f>'B) D RI'!U58</f>
        <v>15504.095066666665</v>
      </c>
      <c r="H57" s="41">
        <f>'B) D RI'!T58</f>
        <v>1085376.8299999998</v>
      </c>
      <c r="I57" s="10">
        <f t="shared" si="3"/>
        <v>28943.382133333329</v>
      </c>
      <c r="J57" s="31">
        <f t="shared" si="4"/>
        <v>40109.564283042819</v>
      </c>
      <c r="K57" s="10">
        <f t="shared" si="5"/>
        <v>28943.382133333329</v>
      </c>
      <c r="L57" s="10">
        <f t="shared" si="6"/>
        <v>11166.18214970949</v>
      </c>
      <c r="M57" s="10">
        <f>'D) Ecrêtage'!C56</f>
        <v>15504.095066666665</v>
      </c>
      <c r="N57" s="10">
        <f t="shared" si="7"/>
        <v>18484.378685786458</v>
      </c>
      <c r="O57" s="57">
        <f t="shared" si="8"/>
        <v>47427.760819119787</v>
      </c>
    </row>
    <row r="58" spans="1:15" s="215" customFormat="1" x14ac:dyDescent="0.25">
      <c r="A58" s="303">
        <f>'A) Base RI'!A59</f>
        <v>5488</v>
      </c>
      <c r="B58" s="220" t="str">
        <f>'A) Base RI'!B59</f>
        <v>Mauraz</v>
      </c>
      <c r="C58" s="490">
        <v>0</v>
      </c>
      <c r="D58" s="216">
        <f>'B) D RI'!AA59</f>
        <v>57</v>
      </c>
      <c r="E58" s="217">
        <f>'B) D RI'!S59</f>
        <v>78</v>
      </c>
      <c r="F58" s="10">
        <f>'B) D RI'!R59</f>
        <v>136645.25</v>
      </c>
      <c r="G58" s="10">
        <f>'B) D RI'!U59</f>
        <v>1751.8621794871794</v>
      </c>
      <c r="H58" s="41">
        <f>'B) D RI'!T59</f>
        <v>128219.25000000001</v>
      </c>
      <c r="I58" s="10">
        <f t="shared" si="3"/>
        <v>3287.6730769230771</v>
      </c>
      <c r="J58" s="31">
        <f t="shared" si="4"/>
        <v>4980.9262835151212</v>
      </c>
      <c r="K58" s="10">
        <f t="shared" si="5"/>
        <v>3287.6730769230771</v>
      </c>
      <c r="L58" s="10">
        <f t="shared" si="6"/>
        <v>1693.2532065920441</v>
      </c>
      <c r="M58" s="10">
        <f>'D) Ecrêtage'!C57</f>
        <v>1751.8621794871794</v>
      </c>
      <c r="N58" s="10">
        <f t="shared" si="7"/>
        <v>2088.6148976581503</v>
      </c>
      <c r="O58" s="57">
        <f t="shared" si="8"/>
        <v>5376.2879745812279</v>
      </c>
    </row>
    <row r="59" spans="1:15" s="215" customFormat="1" x14ac:dyDescent="0.25">
      <c r="A59" s="303">
        <f>'A) Base RI'!A60</f>
        <v>5489</v>
      </c>
      <c r="B59" s="220" t="str">
        <f>'A) Base RI'!B60</f>
        <v>Mex</v>
      </c>
      <c r="C59" s="490">
        <v>0</v>
      </c>
      <c r="D59" s="216">
        <f>'B) D RI'!AA60</f>
        <v>718</v>
      </c>
      <c r="E59" s="217">
        <f>'B) D RI'!S60</f>
        <v>61</v>
      </c>
      <c r="F59" s="10">
        <f>'B) D RI'!R60</f>
        <v>3840149.3600000003</v>
      </c>
      <c r="G59" s="10">
        <f>'B) D RI'!U60</f>
        <v>62953.268196721314</v>
      </c>
      <c r="H59" s="41">
        <f>'B) D RI'!T60</f>
        <v>3548249.1100000003</v>
      </c>
      <c r="I59" s="10">
        <f t="shared" si="3"/>
        <v>116336.03639344263</v>
      </c>
      <c r="J59" s="31">
        <f t="shared" si="4"/>
        <v>62742.194237962402</v>
      </c>
      <c r="K59" s="10">
        <f t="shared" si="5"/>
        <v>62742.194237962402</v>
      </c>
      <c r="L59" s="10">
        <f t="shared" si="6"/>
        <v>0</v>
      </c>
      <c r="M59" s="10">
        <f>'D) Ecrêtage'!C58</f>
        <v>62953.268196721314</v>
      </c>
      <c r="N59" s="10">
        <f t="shared" si="7"/>
        <v>75054.496496083186</v>
      </c>
      <c r="O59" s="57">
        <f t="shared" si="8"/>
        <v>137796.69073404558</v>
      </c>
    </row>
    <row r="60" spans="1:15" s="215" customFormat="1" x14ac:dyDescent="0.25">
      <c r="A60" s="303">
        <f>'A) Base RI'!A61</f>
        <v>5490</v>
      </c>
      <c r="B60" s="220" t="str">
        <f>'A) Base RI'!B61</f>
        <v>Moiry</v>
      </c>
      <c r="C60" s="490">
        <v>0</v>
      </c>
      <c r="D60" s="216">
        <f>'B) D RI'!AA61</f>
        <v>310</v>
      </c>
      <c r="E60" s="217">
        <f>'B) D RI'!S61</f>
        <v>78.5</v>
      </c>
      <c r="F60" s="10">
        <f>'B) D RI'!R61</f>
        <v>655186.43000000005</v>
      </c>
      <c r="G60" s="10">
        <f>'B) D RI'!U61</f>
        <v>8346.3239490445867</v>
      </c>
      <c r="H60" s="41">
        <f>'B) D RI'!T61</f>
        <v>610119.18000000005</v>
      </c>
      <c r="I60" s="10">
        <f t="shared" si="3"/>
        <v>15544.437707006371</v>
      </c>
      <c r="J60" s="31">
        <f t="shared" si="4"/>
        <v>27089.248208591009</v>
      </c>
      <c r="K60" s="10">
        <f t="shared" si="5"/>
        <v>15544.437707006371</v>
      </c>
      <c r="L60" s="10">
        <f t="shared" si="6"/>
        <v>11544.810501584638</v>
      </c>
      <c r="M60" s="10">
        <f>'D) Ecrêtage'!C59</f>
        <v>8346.3239490445867</v>
      </c>
      <c r="N60" s="10">
        <f t="shared" si="7"/>
        <v>9950.7008854763062</v>
      </c>
      <c r="O60" s="57">
        <f t="shared" si="8"/>
        <v>25495.138592482675</v>
      </c>
    </row>
    <row r="61" spans="1:15" s="215" customFormat="1" x14ac:dyDescent="0.25">
      <c r="A61" s="303">
        <f>'A) Base RI'!A62</f>
        <v>5491</v>
      </c>
      <c r="B61" s="220" t="str">
        <f>'A) Base RI'!B62</f>
        <v>Mont-la-Ville</v>
      </c>
      <c r="C61" s="490">
        <v>0</v>
      </c>
      <c r="D61" s="216">
        <f>'B) D RI'!AA62</f>
        <v>478</v>
      </c>
      <c r="E61" s="217">
        <f>'B) D RI'!S62</f>
        <v>76</v>
      </c>
      <c r="F61" s="10">
        <f>'B) D RI'!R62</f>
        <v>1072025.6499999999</v>
      </c>
      <c r="G61" s="10">
        <f>'B) D RI'!U62</f>
        <v>14105.600657894736</v>
      </c>
      <c r="H61" s="41">
        <f>'B) D RI'!T62</f>
        <v>989631.04999999981</v>
      </c>
      <c r="I61" s="10">
        <f t="shared" si="3"/>
        <v>26042.922368421048</v>
      </c>
      <c r="J61" s="31">
        <f t="shared" si="4"/>
        <v>41769.873044214524</v>
      </c>
      <c r="K61" s="10">
        <f t="shared" si="5"/>
        <v>26042.922368421048</v>
      </c>
      <c r="L61" s="10">
        <f t="shared" si="6"/>
        <v>15726.950675793476</v>
      </c>
      <c r="M61" s="10">
        <f>'D) Ecrêtage'!C60</f>
        <v>14105.600657894736</v>
      </c>
      <c r="N61" s="10">
        <f t="shared" si="7"/>
        <v>16817.057882441233</v>
      </c>
      <c r="O61" s="57">
        <f t="shared" si="8"/>
        <v>42859.980250862282</v>
      </c>
    </row>
    <row r="62" spans="1:15" s="215" customFormat="1" x14ac:dyDescent="0.25">
      <c r="A62" s="303">
        <f>'A) Base RI'!A63</f>
        <v>5492</v>
      </c>
      <c r="B62" s="220" t="str">
        <f>'A) Base RI'!B63</f>
        <v>Montricher</v>
      </c>
      <c r="C62" s="490">
        <v>0</v>
      </c>
      <c r="D62" s="216">
        <f>'B) D RI'!AA63</f>
        <v>964</v>
      </c>
      <c r="E62" s="217">
        <f>'B) D RI'!S63</f>
        <v>64</v>
      </c>
      <c r="F62" s="10">
        <f>'B) D RI'!R63</f>
        <v>12165942.823333334</v>
      </c>
      <c r="G62" s="10">
        <f>'B) D RI'!U63</f>
        <v>190092.85661458335</v>
      </c>
      <c r="H62" s="41">
        <f>'B) D RI'!T63</f>
        <v>11921475.040000001</v>
      </c>
      <c r="I62" s="10">
        <f t="shared" si="3"/>
        <v>372546.09500000003</v>
      </c>
      <c r="J62" s="31">
        <f t="shared" si="4"/>
        <v>84238.823461553984</v>
      </c>
      <c r="K62" s="10">
        <f t="shared" si="5"/>
        <v>84238.823461553984</v>
      </c>
      <c r="L62" s="10">
        <f t="shared" si="6"/>
        <v>0</v>
      </c>
      <c r="M62" s="10">
        <f>'D) Ecrêtage'!C61</f>
        <v>190092.85661458335</v>
      </c>
      <c r="N62" s="10">
        <f t="shared" si="7"/>
        <v>226633.56564945981</v>
      </c>
      <c r="O62" s="57">
        <f t="shared" si="8"/>
        <v>310872.38911101379</v>
      </c>
    </row>
    <row r="63" spans="1:15" s="215" customFormat="1" x14ac:dyDescent="0.25">
      <c r="A63" s="303">
        <f>'A) Base RI'!A64</f>
        <v>5493</v>
      </c>
      <c r="B63" s="220" t="str">
        <f>'A) Base RI'!B64</f>
        <v>Orny</v>
      </c>
      <c r="C63" s="490">
        <v>0</v>
      </c>
      <c r="D63" s="216">
        <f>'B) D RI'!AA64</f>
        <v>416</v>
      </c>
      <c r="E63" s="217">
        <f>'B) D RI'!S64</f>
        <v>73</v>
      </c>
      <c r="F63" s="10">
        <f>'B) D RI'!R64</f>
        <v>778870.40769230784</v>
      </c>
      <c r="G63" s="10">
        <f>'B) D RI'!U64</f>
        <v>10669.457639620656</v>
      </c>
      <c r="H63" s="41">
        <f>'B) D RI'!T64</f>
        <v>724006.25000000012</v>
      </c>
      <c r="I63" s="10">
        <f t="shared" si="3"/>
        <v>19835.78767123288</v>
      </c>
      <c r="J63" s="31">
        <f t="shared" si="4"/>
        <v>36352.023402496321</v>
      </c>
      <c r="K63" s="10">
        <f t="shared" si="5"/>
        <v>19835.78767123288</v>
      </c>
      <c r="L63" s="10">
        <f t="shared" si="6"/>
        <v>16516.235731263441</v>
      </c>
      <c r="M63" s="10">
        <f>'D) Ecrêtage'!C62</f>
        <v>10669.457639620656</v>
      </c>
      <c r="N63" s="10">
        <f t="shared" si="7"/>
        <v>12720.40029003169</v>
      </c>
      <c r="O63" s="57">
        <f t="shared" si="8"/>
        <v>32556.187961264572</v>
      </c>
    </row>
    <row r="64" spans="1:15" s="215" customFormat="1" x14ac:dyDescent="0.25">
      <c r="A64" s="303">
        <f>'A) Base RI'!A65</f>
        <v>5494</v>
      </c>
      <c r="B64" s="220" t="str">
        <f>'A) Base RI'!B65</f>
        <v>Pampigny</v>
      </c>
      <c r="C64" s="490">
        <v>0</v>
      </c>
      <c r="D64" s="216">
        <f>'B) D RI'!AA65</f>
        <v>1103</v>
      </c>
      <c r="E64" s="217">
        <f>'B) D RI'!S65</f>
        <v>75</v>
      </c>
      <c r="F64" s="10">
        <f>'B) D RI'!R65</f>
        <v>2775670.7452380946</v>
      </c>
      <c r="G64" s="10">
        <f>'B) D RI'!U65</f>
        <v>37008.943269841264</v>
      </c>
      <c r="H64" s="41">
        <f>'B) D RI'!T65</f>
        <v>2561150.0999999996</v>
      </c>
      <c r="I64" s="10">
        <f t="shared" si="3"/>
        <v>68297.335999999996</v>
      </c>
      <c r="J64" s="31">
        <f t="shared" si="4"/>
        <v>96385.292819599621</v>
      </c>
      <c r="K64" s="10">
        <f t="shared" si="5"/>
        <v>68297.335999999996</v>
      </c>
      <c r="L64" s="10">
        <f t="shared" si="6"/>
        <v>28087.956819599625</v>
      </c>
      <c r="M64" s="10">
        <f>'D) Ecrêtage'!C63</f>
        <v>37008.943269841264</v>
      </c>
      <c r="N64" s="10">
        <f t="shared" si="7"/>
        <v>44123.008741819511</v>
      </c>
      <c r="O64" s="57">
        <f t="shared" si="8"/>
        <v>112420.34474181951</v>
      </c>
    </row>
    <row r="65" spans="1:15" s="215" customFormat="1" x14ac:dyDescent="0.25">
      <c r="A65" s="303">
        <f>'A) Base RI'!A66</f>
        <v>5495</v>
      </c>
      <c r="B65" s="220" t="str">
        <f>'A) Base RI'!B66</f>
        <v>Penthalaz</v>
      </c>
      <c r="C65" s="490">
        <v>0</v>
      </c>
      <c r="D65" s="216">
        <f>'B) D RI'!AA66</f>
        <v>3257</v>
      </c>
      <c r="E65" s="217">
        <f>'B) D RI'!S66</f>
        <v>74</v>
      </c>
      <c r="F65" s="10">
        <f>'B) D RI'!R66</f>
        <v>7054737.79</v>
      </c>
      <c r="G65" s="10">
        <f>'B) D RI'!U66</f>
        <v>95334.294459459459</v>
      </c>
      <c r="H65" s="41">
        <f>'B) D RI'!T66</f>
        <v>6500091.8899999997</v>
      </c>
      <c r="I65" s="10">
        <f t="shared" si="3"/>
        <v>175678.15918918917</v>
      </c>
      <c r="J65" s="31">
        <f t="shared" si="4"/>
        <v>284611.87553348683</v>
      </c>
      <c r="K65" s="10">
        <f t="shared" si="5"/>
        <v>175678.15918918917</v>
      </c>
      <c r="L65" s="10">
        <f t="shared" si="6"/>
        <v>108933.71634429766</v>
      </c>
      <c r="M65" s="10">
        <f>'D) Ecrêtage'!C64</f>
        <v>95334.294459459459</v>
      </c>
      <c r="N65" s="10">
        <f t="shared" si="7"/>
        <v>113659.9842140796</v>
      </c>
      <c r="O65" s="57">
        <f t="shared" si="8"/>
        <v>289338.14340326877</v>
      </c>
    </row>
    <row r="66" spans="1:15" s="215" customFormat="1" x14ac:dyDescent="0.25">
      <c r="A66" s="303">
        <f>'A) Base RI'!A67</f>
        <v>5496</v>
      </c>
      <c r="B66" s="220" t="str">
        <f>'A) Base RI'!B67</f>
        <v>Penthaz</v>
      </c>
      <c r="C66" s="490">
        <v>0</v>
      </c>
      <c r="D66" s="216">
        <f>'B) D RI'!AA67</f>
        <v>1760</v>
      </c>
      <c r="E66" s="217">
        <f>'B) D RI'!S67</f>
        <v>71</v>
      </c>
      <c r="F66" s="10">
        <f>'B) D RI'!R67</f>
        <v>4222423.95</v>
      </c>
      <c r="G66" s="10">
        <f>'B) D RI'!U67</f>
        <v>59470.759859154932</v>
      </c>
      <c r="H66" s="41">
        <f>'B) D RI'!T67</f>
        <v>3885300.4499999997</v>
      </c>
      <c r="I66" s="10">
        <f t="shared" si="3"/>
        <v>109445.08309859154</v>
      </c>
      <c r="J66" s="31">
        <f t="shared" si="4"/>
        <v>153797.02208748445</v>
      </c>
      <c r="K66" s="10">
        <f t="shared" si="5"/>
        <v>109445.08309859154</v>
      </c>
      <c r="L66" s="10">
        <f t="shared" si="6"/>
        <v>44351.938988892914</v>
      </c>
      <c r="M66" s="10">
        <f>'D) Ecrêtage'!C65</f>
        <v>59470.759859154932</v>
      </c>
      <c r="N66" s="10">
        <f t="shared" si="7"/>
        <v>70902.560984130381</v>
      </c>
      <c r="O66" s="57">
        <f t="shared" si="8"/>
        <v>180347.6440827219</v>
      </c>
    </row>
    <row r="67" spans="1:15" s="215" customFormat="1" x14ac:dyDescent="0.25">
      <c r="A67" s="303">
        <f>'A) Base RI'!A68</f>
        <v>5497</v>
      </c>
      <c r="B67" s="220" t="str">
        <f>'A) Base RI'!B68</f>
        <v>Pompaples</v>
      </c>
      <c r="C67" s="490">
        <v>0</v>
      </c>
      <c r="D67" s="216">
        <f>'B) D RI'!AA68</f>
        <v>851</v>
      </c>
      <c r="E67" s="217">
        <f>'B) D RI'!S68</f>
        <v>66</v>
      </c>
      <c r="F67" s="10">
        <f>'B) D RI'!R68</f>
        <v>1471856.6600000001</v>
      </c>
      <c r="G67" s="10">
        <f>'B) D RI'!U68</f>
        <v>22300.858484848486</v>
      </c>
      <c r="H67" s="41">
        <f>'B) D RI'!T68</f>
        <v>1363204.06</v>
      </c>
      <c r="I67" s="10">
        <f t="shared" si="3"/>
        <v>41309.213939393943</v>
      </c>
      <c r="J67" s="31">
        <f t="shared" si="4"/>
        <v>74364.355566164348</v>
      </c>
      <c r="K67" s="10">
        <f t="shared" si="5"/>
        <v>41309.213939393943</v>
      </c>
      <c r="L67" s="10">
        <f t="shared" si="6"/>
        <v>33055.141626770404</v>
      </c>
      <c r="M67" s="10">
        <f>'D) Ecrêtage'!C66</f>
        <v>22300.858484848486</v>
      </c>
      <c r="N67" s="10">
        <f t="shared" si="7"/>
        <v>26587.653873351734</v>
      </c>
      <c r="O67" s="57">
        <f t="shared" si="8"/>
        <v>67896.867812745681</v>
      </c>
    </row>
    <row r="68" spans="1:15" s="215" customFormat="1" x14ac:dyDescent="0.25">
      <c r="A68" s="303">
        <f>'A) Base RI'!A69</f>
        <v>5498</v>
      </c>
      <c r="B68" s="220" t="str">
        <f>'A) Base RI'!B69</f>
        <v>La Sarraz</v>
      </c>
      <c r="C68" s="490">
        <v>0</v>
      </c>
      <c r="D68" s="216">
        <f>'B) D RI'!AA69</f>
        <v>2651</v>
      </c>
      <c r="E68" s="217">
        <f>'B) D RI'!S69</f>
        <v>66</v>
      </c>
      <c r="F68" s="10">
        <f>'B) D RI'!R69</f>
        <v>5124860.290000001</v>
      </c>
      <c r="G68" s="10">
        <f>'B) D RI'!U69</f>
        <v>77649.398333333345</v>
      </c>
      <c r="H68" s="41">
        <f>'B) D RI'!T69</f>
        <v>4717082.790000001</v>
      </c>
      <c r="I68" s="10">
        <f t="shared" si="3"/>
        <v>142941.90272727277</v>
      </c>
      <c r="J68" s="31">
        <f t="shared" si="4"/>
        <v>231656.76451927345</v>
      </c>
      <c r="K68" s="10">
        <f t="shared" si="5"/>
        <v>142941.90272727277</v>
      </c>
      <c r="L68" s="10">
        <f t="shared" si="6"/>
        <v>88714.86179200068</v>
      </c>
      <c r="M68" s="10">
        <f>'D) Ecrêtage'!C67</f>
        <v>77649.398333333345</v>
      </c>
      <c r="N68" s="10">
        <f t="shared" si="7"/>
        <v>92575.59872698813</v>
      </c>
      <c r="O68" s="57">
        <f t="shared" si="8"/>
        <v>235517.5014542609</v>
      </c>
    </row>
    <row r="69" spans="1:15" s="215" customFormat="1" x14ac:dyDescent="0.25">
      <c r="A69" s="303">
        <f>'A) Base RI'!A70</f>
        <v>5499</v>
      </c>
      <c r="B69" s="220" t="str">
        <f>'A) Base RI'!B70</f>
        <v>Senarclens</v>
      </c>
      <c r="C69" s="490">
        <v>0</v>
      </c>
      <c r="D69" s="216">
        <f>'B) D RI'!AA70</f>
        <v>477</v>
      </c>
      <c r="E69" s="217">
        <f>'B) D RI'!S70</f>
        <v>68.5</v>
      </c>
      <c r="F69" s="10">
        <f>'B) D RI'!R70</f>
        <v>1336940.08</v>
      </c>
      <c r="G69" s="10">
        <f>'B) D RI'!U70</f>
        <v>19517.373430656935</v>
      </c>
      <c r="H69" s="41">
        <f>'B) D RI'!T70</f>
        <v>1242426.48</v>
      </c>
      <c r="I69" s="10">
        <f t="shared" si="3"/>
        <v>36275.225693430657</v>
      </c>
      <c r="J69" s="31">
        <f t="shared" si="4"/>
        <v>41682.488372573913</v>
      </c>
      <c r="K69" s="10">
        <f t="shared" si="5"/>
        <v>36275.225693430657</v>
      </c>
      <c r="L69" s="10">
        <f t="shared" si="6"/>
        <v>5407.2626791432558</v>
      </c>
      <c r="M69" s="10">
        <f>'D) Ecrêtage'!C68</f>
        <v>19517.373430656935</v>
      </c>
      <c r="N69" s="10">
        <f t="shared" si="7"/>
        <v>23269.111798714846</v>
      </c>
      <c r="O69" s="57">
        <f t="shared" si="8"/>
        <v>59544.337492145503</v>
      </c>
    </row>
    <row r="70" spans="1:15" s="215" customFormat="1" x14ac:dyDescent="0.25">
      <c r="A70" s="303">
        <f>'A) Base RI'!A71</f>
        <v>5500</v>
      </c>
      <c r="B70" s="220" t="str">
        <f>'A) Base RI'!B71</f>
        <v>Sévery</v>
      </c>
      <c r="C70" s="490">
        <v>0</v>
      </c>
      <c r="D70" s="216">
        <f>'B) D RI'!AA71</f>
        <v>227</v>
      </c>
      <c r="E70" s="217">
        <f>'B) D RI'!S71</f>
        <v>75</v>
      </c>
      <c r="F70" s="10">
        <f>'B) D RI'!R71</f>
        <v>524926.8666666667</v>
      </c>
      <c r="G70" s="10">
        <f>'B) D RI'!U71</f>
        <v>6999.0248888888891</v>
      </c>
      <c r="H70" s="41">
        <f>'B) D RI'!T71</f>
        <v>482514.5</v>
      </c>
      <c r="I70" s="10">
        <f t="shared" si="3"/>
        <v>12867.053333333333</v>
      </c>
      <c r="J70" s="31">
        <f t="shared" si="4"/>
        <v>19836.32046241987</v>
      </c>
      <c r="K70" s="10">
        <f t="shared" si="5"/>
        <v>12867.053333333333</v>
      </c>
      <c r="L70" s="10">
        <f t="shared" si="6"/>
        <v>6969.2671290865364</v>
      </c>
      <c r="M70" s="10">
        <f>'D) Ecrêtage'!C69</f>
        <v>6999.0248888888891</v>
      </c>
      <c r="N70" s="10">
        <f t="shared" si="7"/>
        <v>8344.4164861717054</v>
      </c>
      <c r="O70" s="57">
        <f t="shared" si="8"/>
        <v>21211.469819505037</v>
      </c>
    </row>
    <row r="71" spans="1:15" s="215" customFormat="1" x14ac:dyDescent="0.25">
      <c r="A71" s="303">
        <f>'A) Base RI'!A72</f>
        <v>5501</v>
      </c>
      <c r="B71" s="220" t="str">
        <f>'A) Base RI'!B72</f>
        <v>Sullens</v>
      </c>
      <c r="C71" s="490">
        <v>0</v>
      </c>
      <c r="D71" s="216">
        <f>'B) D RI'!AA72</f>
        <v>1035</v>
      </c>
      <c r="E71" s="217">
        <f>'B) D RI'!S72</f>
        <v>70</v>
      </c>
      <c r="F71" s="10">
        <f>'B) D RI'!R72</f>
        <v>2833160.3</v>
      </c>
      <c r="G71" s="10">
        <f>'B) D RI'!U72</f>
        <v>40473.718571428566</v>
      </c>
      <c r="H71" s="41">
        <f>'B) D RI'!T72</f>
        <v>2611362.5499999998</v>
      </c>
      <c r="I71" s="10">
        <f t="shared" ref="I71:I134" si="9">+H71/E71*$I$5</f>
        <v>74610.358571428573</v>
      </c>
      <c r="J71" s="31">
        <f t="shared" ref="J71:J134" si="10">+$I$315/$D$315*D71</f>
        <v>90443.135148037734</v>
      </c>
      <c r="K71" s="10">
        <f t="shared" ref="K71:K134" si="11">IF(C71=1,0,IF(J71&gt;I71,I71,J71))</f>
        <v>74610.358571428573</v>
      </c>
      <c r="L71" s="10">
        <f t="shared" ref="L71:L134" si="12">+J71-K71</f>
        <v>15832.776576609162</v>
      </c>
      <c r="M71" s="10">
        <f>'D) Ecrêtage'!C70</f>
        <v>40473.718571428566</v>
      </c>
      <c r="N71" s="10">
        <f t="shared" ref="N71:N134" si="13">+$N$5*M71</f>
        <v>48253.802474721269</v>
      </c>
      <c r="O71" s="57">
        <f t="shared" ref="O71:O134" si="14">+N71+K71</f>
        <v>122864.16104614985</v>
      </c>
    </row>
    <row r="72" spans="1:15" s="215" customFormat="1" x14ac:dyDescent="0.25">
      <c r="A72" s="303">
        <f>'A) Base RI'!A73</f>
        <v>5503</v>
      </c>
      <c r="B72" s="220" t="str">
        <f>'A) Base RI'!B73</f>
        <v>Vufflens-la-Ville</v>
      </c>
      <c r="C72" s="490">
        <v>0</v>
      </c>
      <c r="D72" s="216">
        <f>'B) D RI'!AA73</f>
        <v>1295</v>
      </c>
      <c r="E72" s="217">
        <f>'B) D RI'!S73</f>
        <v>67</v>
      </c>
      <c r="F72" s="10">
        <f>'B) D RI'!R73</f>
        <v>5891069.9000000004</v>
      </c>
      <c r="G72" s="10">
        <f>'B) D RI'!U73</f>
        <v>87926.416417910455</v>
      </c>
      <c r="H72" s="41">
        <f>'B) D RI'!T73</f>
        <v>5506853.1000000006</v>
      </c>
      <c r="I72" s="10">
        <f t="shared" si="9"/>
        <v>164383.67462686569</v>
      </c>
      <c r="J72" s="31">
        <f t="shared" si="10"/>
        <v>113163.14977459793</v>
      </c>
      <c r="K72" s="10">
        <f t="shared" si="11"/>
        <v>113163.14977459793</v>
      </c>
      <c r="L72" s="10">
        <f t="shared" si="12"/>
        <v>0</v>
      </c>
      <c r="M72" s="10">
        <f>'D) Ecrêtage'!C71</f>
        <v>87926.416417910455</v>
      </c>
      <c r="N72" s="10">
        <f t="shared" si="13"/>
        <v>104828.12254209402</v>
      </c>
      <c r="O72" s="57">
        <f t="shared" si="14"/>
        <v>217991.27231669193</v>
      </c>
    </row>
    <row r="73" spans="1:15" s="215" customFormat="1" x14ac:dyDescent="0.25">
      <c r="A73" s="303">
        <f>'A) Base RI'!A74</f>
        <v>5511</v>
      </c>
      <c r="B73" s="220" t="str">
        <f>'A) Base RI'!B74</f>
        <v>Assens</v>
      </c>
      <c r="C73" s="490">
        <v>0</v>
      </c>
      <c r="D73" s="216">
        <f>'B) D RI'!AA74</f>
        <v>1074</v>
      </c>
      <c r="E73" s="217">
        <f>'B) D RI'!S74</f>
        <v>70</v>
      </c>
      <c r="F73" s="10">
        <f>'B) D RI'!R74</f>
        <v>3504753.3099999996</v>
      </c>
      <c r="G73" s="10">
        <f>'B) D RI'!U74</f>
        <v>50067.904428571426</v>
      </c>
      <c r="H73" s="41">
        <f>'B) D RI'!T74</f>
        <v>3265018.26</v>
      </c>
      <c r="I73" s="10">
        <f t="shared" si="9"/>
        <v>93286.23599999999</v>
      </c>
      <c r="J73" s="31">
        <f t="shared" si="10"/>
        <v>93851.137342021757</v>
      </c>
      <c r="K73" s="10">
        <f t="shared" si="11"/>
        <v>93286.23599999999</v>
      </c>
      <c r="L73" s="10">
        <f t="shared" si="12"/>
        <v>564.90134202176705</v>
      </c>
      <c r="M73" s="10">
        <f>'D) Ecrêtage'!C72</f>
        <v>50067.904428571426</v>
      </c>
      <c r="N73" s="10">
        <f t="shared" si="13"/>
        <v>59692.236243521264</v>
      </c>
      <c r="O73" s="57">
        <f t="shared" si="14"/>
        <v>152978.47224352125</v>
      </c>
    </row>
    <row r="74" spans="1:15" s="215" customFormat="1" x14ac:dyDescent="0.25">
      <c r="A74" s="303">
        <f>'A) Base RI'!A75</f>
        <v>5512</v>
      </c>
      <c r="B74" s="220" t="str">
        <f>'A) Base RI'!B75</f>
        <v>Bercher</v>
      </c>
      <c r="C74" s="490">
        <v>0</v>
      </c>
      <c r="D74" s="216">
        <f>'B) D RI'!AA75</f>
        <v>1280</v>
      </c>
      <c r="E74" s="217">
        <f>'B) D RI'!S75</f>
        <v>79</v>
      </c>
      <c r="F74" s="10">
        <f>'B) D RI'!R75</f>
        <v>3160442.29</v>
      </c>
      <c r="G74" s="10">
        <f>'B) D RI'!U75</f>
        <v>40005.59860759494</v>
      </c>
      <c r="H74" s="41">
        <f>'B) D RI'!T75</f>
        <v>2902824.59</v>
      </c>
      <c r="I74" s="10">
        <f t="shared" si="9"/>
        <v>73489.230126582275</v>
      </c>
      <c r="J74" s="31">
        <f t="shared" si="10"/>
        <v>111852.37969998868</v>
      </c>
      <c r="K74" s="10">
        <f t="shared" si="11"/>
        <v>73489.230126582275</v>
      </c>
      <c r="L74" s="10">
        <f t="shared" si="12"/>
        <v>38363.149573406408</v>
      </c>
      <c r="M74" s="10">
        <f>'D) Ecrêtage'!C73</f>
        <v>40005.59860759494</v>
      </c>
      <c r="N74" s="10">
        <f t="shared" si="13"/>
        <v>47695.697880762673</v>
      </c>
      <c r="O74" s="57">
        <f t="shared" si="14"/>
        <v>121184.92800734495</v>
      </c>
    </row>
    <row r="75" spans="1:15" s="215" customFormat="1" x14ac:dyDescent="0.25">
      <c r="A75" s="303">
        <f>'A) Base RI'!A76</f>
        <v>5513</v>
      </c>
      <c r="B75" s="220" t="str">
        <f>'A) Base RI'!B76</f>
        <v>Bioley-Orjulaz</v>
      </c>
      <c r="C75" s="490">
        <v>0</v>
      </c>
      <c r="D75" s="216">
        <f>'B) D RI'!AA76</f>
        <v>521</v>
      </c>
      <c r="E75" s="217">
        <f>'B) D RI'!S76</f>
        <v>68</v>
      </c>
      <c r="F75" s="10">
        <f>'B) D RI'!R76</f>
        <v>1498525.9400000002</v>
      </c>
      <c r="G75" s="10">
        <f>'B) D RI'!U76</f>
        <v>22037.146176470589</v>
      </c>
      <c r="H75" s="41">
        <f>'B) D RI'!T76</f>
        <v>1373287.59</v>
      </c>
      <c r="I75" s="10">
        <f t="shared" si="9"/>
        <v>40390.81147058824</v>
      </c>
      <c r="J75" s="31">
        <f t="shared" si="10"/>
        <v>45527.413924761022</v>
      </c>
      <c r="K75" s="10">
        <f t="shared" si="11"/>
        <v>40390.81147058824</v>
      </c>
      <c r="L75" s="10">
        <f t="shared" si="12"/>
        <v>5136.602454172782</v>
      </c>
      <c r="M75" s="10">
        <f>'D) Ecrêtage'!C74</f>
        <v>22037.146176470589</v>
      </c>
      <c r="N75" s="10">
        <f t="shared" si="13"/>
        <v>26273.249314349763</v>
      </c>
      <c r="O75" s="57">
        <f t="shared" si="14"/>
        <v>66664.060784938003</v>
      </c>
    </row>
    <row r="76" spans="1:15" s="215" customFormat="1" x14ac:dyDescent="0.25">
      <c r="A76" s="303">
        <f>'A) Base RI'!A77</f>
        <v>5514</v>
      </c>
      <c r="B76" s="220" t="str">
        <f>'A) Base RI'!B77</f>
        <v>Bottens</v>
      </c>
      <c r="C76" s="490">
        <v>0</v>
      </c>
      <c r="D76" s="216">
        <f>'B) D RI'!AA77</f>
        <v>1299</v>
      </c>
      <c r="E76" s="217">
        <f>'B) D RI'!S77</f>
        <v>74</v>
      </c>
      <c r="F76" s="10">
        <f>'B) D RI'!R77</f>
        <v>3018027.59</v>
      </c>
      <c r="G76" s="10">
        <f>'B) D RI'!U77</f>
        <v>40784.156621621616</v>
      </c>
      <c r="H76" s="41">
        <f>'B) D RI'!T77</f>
        <v>2777792.29</v>
      </c>
      <c r="I76" s="10">
        <f t="shared" si="9"/>
        <v>75075.467297297291</v>
      </c>
      <c r="J76" s="31">
        <f t="shared" si="10"/>
        <v>113512.68846116039</v>
      </c>
      <c r="K76" s="10">
        <f t="shared" si="11"/>
        <v>75075.467297297291</v>
      </c>
      <c r="L76" s="10">
        <f t="shared" si="12"/>
        <v>38437.221163863098</v>
      </c>
      <c r="M76" s="10">
        <f>'D) Ecrêtage'!C75</f>
        <v>40784.156621621616</v>
      </c>
      <c r="N76" s="10">
        <f t="shared" si="13"/>
        <v>48623.914658216745</v>
      </c>
      <c r="O76" s="57">
        <f t="shared" si="14"/>
        <v>123699.38195551404</v>
      </c>
    </row>
    <row r="77" spans="1:15" s="215" customFormat="1" x14ac:dyDescent="0.25">
      <c r="A77" s="303">
        <f>'A) Base RI'!A78</f>
        <v>5515</v>
      </c>
      <c r="B77" s="220" t="str">
        <f>'A) Base RI'!B78</f>
        <v>Bretigny-sur-Morrens</v>
      </c>
      <c r="C77" s="490">
        <v>0</v>
      </c>
      <c r="D77" s="216">
        <f>'B) D RI'!AA78</f>
        <v>861</v>
      </c>
      <c r="E77" s="217">
        <f>'B) D RI'!S78</f>
        <v>81</v>
      </c>
      <c r="F77" s="10">
        <f>'B) D RI'!R78</f>
        <v>2334893.5900000003</v>
      </c>
      <c r="G77" s="10">
        <f>'B) D RI'!U78</f>
        <v>28825.846790123462</v>
      </c>
      <c r="H77" s="41">
        <f>'B) D RI'!T78</f>
        <v>2168223.5900000003</v>
      </c>
      <c r="I77" s="10">
        <f t="shared" si="9"/>
        <v>53536.384938271614</v>
      </c>
      <c r="J77" s="31">
        <f t="shared" si="10"/>
        <v>75238.202282570521</v>
      </c>
      <c r="K77" s="10">
        <f t="shared" si="11"/>
        <v>53536.384938271614</v>
      </c>
      <c r="L77" s="10">
        <f t="shared" si="12"/>
        <v>21701.817344298906</v>
      </c>
      <c r="M77" s="10">
        <f>'D) Ecrêtage'!C76</f>
        <v>28825.846790123462</v>
      </c>
      <c r="N77" s="10">
        <f t="shared" si="13"/>
        <v>34366.911820133755</v>
      </c>
      <c r="O77" s="57">
        <f t="shared" si="14"/>
        <v>87903.296758405369</v>
      </c>
    </row>
    <row r="78" spans="1:15" s="215" customFormat="1" x14ac:dyDescent="0.25">
      <c r="A78" s="303">
        <f>'A) Base RI'!A79</f>
        <v>5516</v>
      </c>
      <c r="B78" s="220" t="str">
        <f>'A) Base RI'!B79</f>
        <v>Cugy</v>
      </c>
      <c r="C78" s="490">
        <v>0</v>
      </c>
      <c r="D78" s="216">
        <f>'B) D RI'!AA79</f>
        <v>2768</v>
      </c>
      <c r="E78" s="217">
        <f>'B) D RI'!S79</f>
        <v>78</v>
      </c>
      <c r="F78" s="10">
        <f>'B) D RI'!R79</f>
        <v>8670720.2783333343</v>
      </c>
      <c r="G78" s="10">
        <f>'B) D RI'!U79</f>
        <v>111163.080491453</v>
      </c>
      <c r="H78" s="41">
        <f>'B) D RI'!T79</f>
        <v>8067888.3700000001</v>
      </c>
      <c r="I78" s="10">
        <f t="shared" si="9"/>
        <v>206868.93256410258</v>
      </c>
      <c r="J78" s="31">
        <f t="shared" si="10"/>
        <v>241880.77110122555</v>
      </c>
      <c r="K78" s="10">
        <f t="shared" si="11"/>
        <v>206868.93256410258</v>
      </c>
      <c r="L78" s="10">
        <f t="shared" si="12"/>
        <v>35011.838537122967</v>
      </c>
      <c r="M78" s="10">
        <f>'D) Ecrêtage'!C77</f>
        <v>111163.080491453</v>
      </c>
      <c r="N78" s="10">
        <f t="shared" si="13"/>
        <v>132531.46777333002</v>
      </c>
      <c r="O78" s="57">
        <f t="shared" si="14"/>
        <v>339400.40033743263</v>
      </c>
    </row>
    <row r="79" spans="1:15" s="215" customFormat="1" x14ac:dyDescent="0.25">
      <c r="A79" s="303">
        <f>'A) Base RI'!A80</f>
        <v>5518</v>
      </c>
      <c r="B79" s="220" t="str">
        <f>'A) Base RI'!B80</f>
        <v>Echallens</v>
      </c>
      <c r="C79" s="490">
        <v>0</v>
      </c>
      <c r="D79" s="216">
        <f>'B) D RI'!AA80</f>
        <v>5725</v>
      </c>
      <c r="E79" s="217">
        <f>'B) D RI'!S80</f>
        <v>74</v>
      </c>
      <c r="F79" s="10">
        <f>'B) D RI'!R80</f>
        <v>13898414.709999999</v>
      </c>
      <c r="G79" s="10">
        <f>'B) D RI'!U80</f>
        <v>187816.41499999998</v>
      </c>
      <c r="H79" s="41">
        <f>'B) D RI'!T80</f>
        <v>12795076.459999999</v>
      </c>
      <c r="I79" s="10">
        <f t="shared" si="9"/>
        <v>345812.87729729729</v>
      </c>
      <c r="J79" s="31">
        <f t="shared" si="10"/>
        <v>500277.24514252751</v>
      </c>
      <c r="K79" s="10">
        <f t="shared" si="11"/>
        <v>345812.87729729729</v>
      </c>
      <c r="L79" s="10">
        <f t="shared" si="12"/>
        <v>154464.36784523021</v>
      </c>
      <c r="M79" s="10">
        <f>'D) Ecrêtage'!C78</f>
        <v>187816.41499999998</v>
      </c>
      <c r="N79" s="10">
        <f t="shared" si="13"/>
        <v>223919.53373214335</v>
      </c>
      <c r="O79" s="57">
        <f t="shared" si="14"/>
        <v>569732.41102944058</v>
      </c>
    </row>
    <row r="80" spans="1:15" s="215" customFormat="1" x14ac:dyDescent="0.25">
      <c r="A80" s="303">
        <f>'A) Base RI'!A81</f>
        <v>5520</v>
      </c>
      <c r="B80" s="220" t="str">
        <f>'A) Base RI'!B81</f>
        <v>Essertines-sur-Yverdon</v>
      </c>
      <c r="C80" s="490">
        <v>0</v>
      </c>
      <c r="D80" s="216">
        <f>'B) D RI'!AA81</f>
        <v>1030</v>
      </c>
      <c r="E80" s="217">
        <f>'B) D RI'!S81</f>
        <v>73</v>
      </c>
      <c r="F80" s="10">
        <f>'B) D RI'!R81</f>
        <v>2179658.8500000006</v>
      </c>
      <c r="G80" s="10">
        <f>'B) D RI'!U81</f>
        <v>29858.34041095891</v>
      </c>
      <c r="H80" s="41">
        <f>'B) D RI'!T81</f>
        <v>1994326.4500000004</v>
      </c>
      <c r="I80" s="10">
        <f t="shared" si="9"/>
        <v>54639.080821917822</v>
      </c>
      <c r="J80" s="31">
        <f t="shared" si="10"/>
        <v>90006.211789834648</v>
      </c>
      <c r="K80" s="10">
        <f t="shared" si="11"/>
        <v>54639.080821917822</v>
      </c>
      <c r="L80" s="10">
        <f t="shared" si="12"/>
        <v>35367.130967916826</v>
      </c>
      <c r="M80" s="10">
        <f>'D) Ecrêtage'!C79</f>
        <v>29858.34041095891</v>
      </c>
      <c r="N80" s="10">
        <f t="shared" si="13"/>
        <v>35597.877122920981</v>
      </c>
      <c r="O80" s="57">
        <f t="shared" si="14"/>
        <v>90236.957944838796</v>
      </c>
    </row>
    <row r="81" spans="1:15" s="215" customFormat="1" x14ac:dyDescent="0.25">
      <c r="A81" s="303">
        <f>'A) Base RI'!A82</f>
        <v>5521</v>
      </c>
      <c r="B81" s="220" t="str">
        <f>'A) Base RI'!B82</f>
        <v>Etagnières</v>
      </c>
      <c r="C81" s="490">
        <v>0</v>
      </c>
      <c r="D81" s="216">
        <f>'B) D RI'!AA82</f>
        <v>1143</v>
      </c>
      <c r="E81" s="217">
        <f>'B) D RI'!S82</f>
        <v>73</v>
      </c>
      <c r="F81" s="10">
        <f>'B) D RI'!R82</f>
        <v>3524346.79</v>
      </c>
      <c r="G81" s="10">
        <f>'B) D RI'!U82</f>
        <v>48278.723150684935</v>
      </c>
      <c r="H81" s="41">
        <f>'B) D RI'!T82</f>
        <v>3259901.84</v>
      </c>
      <c r="I81" s="10">
        <f t="shared" si="9"/>
        <v>89312.379178082192</v>
      </c>
      <c r="J81" s="31">
        <f t="shared" si="10"/>
        <v>99880.67968522427</v>
      </c>
      <c r="K81" s="10">
        <f t="shared" si="11"/>
        <v>89312.379178082192</v>
      </c>
      <c r="L81" s="10">
        <f t="shared" si="12"/>
        <v>10568.300507142078</v>
      </c>
      <c r="M81" s="10">
        <f>'D) Ecrêtage'!C80</f>
        <v>48278.723150684935</v>
      </c>
      <c r="N81" s="10">
        <f t="shared" si="13"/>
        <v>57559.128562243117</v>
      </c>
      <c r="O81" s="57">
        <f t="shared" si="14"/>
        <v>146871.50774032529</v>
      </c>
    </row>
    <row r="82" spans="1:15" s="215" customFormat="1" x14ac:dyDescent="0.25">
      <c r="A82" s="303">
        <f>'A) Base RI'!A83</f>
        <v>5522</v>
      </c>
      <c r="B82" s="220" t="str">
        <f>'A) Base RI'!B83</f>
        <v>Fey</v>
      </c>
      <c r="C82" s="490">
        <v>0</v>
      </c>
      <c r="D82" s="216">
        <f>'B) D RI'!AA83</f>
        <v>751</v>
      </c>
      <c r="E82" s="217">
        <f>'B) D RI'!S83</f>
        <v>75</v>
      </c>
      <c r="F82" s="10">
        <f>'B) D RI'!R83</f>
        <v>1704565.43</v>
      </c>
      <c r="G82" s="10">
        <f>'B) D RI'!U83</f>
        <v>22727.539066666664</v>
      </c>
      <c r="H82" s="41">
        <f>'B) D RI'!T83</f>
        <v>1569701.88</v>
      </c>
      <c r="I82" s="10">
        <f t="shared" si="9"/>
        <v>41858.716799999995</v>
      </c>
      <c r="J82" s="31">
        <f t="shared" si="10"/>
        <v>65625.888402102733</v>
      </c>
      <c r="K82" s="10">
        <f t="shared" si="11"/>
        <v>41858.716799999995</v>
      </c>
      <c r="L82" s="10">
        <f t="shared" si="12"/>
        <v>23767.171602102739</v>
      </c>
      <c r="M82" s="10">
        <f>'D) Ecrêtage'!C81</f>
        <v>22727.539066666664</v>
      </c>
      <c r="N82" s="10">
        <f t="shared" si="13"/>
        <v>27096.353376178926</v>
      </c>
      <c r="O82" s="57">
        <f t="shared" si="14"/>
        <v>68955.070176178924</v>
      </c>
    </row>
    <row r="83" spans="1:15" s="215" customFormat="1" x14ac:dyDescent="0.25">
      <c r="A83" s="303">
        <f>'A) Base RI'!A84</f>
        <v>5523</v>
      </c>
      <c r="B83" s="220" t="str">
        <f>'A) Base RI'!B84</f>
        <v>Froideville</v>
      </c>
      <c r="C83" s="490">
        <v>0</v>
      </c>
      <c r="D83" s="216">
        <f>'B) D RI'!AA84</f>
        <v>2638</v>
      </c>
      <c r="E83" s="217">
        <f>'B) D RI'!S84</f>
        <v>76</v>
      </c>
      <c r="F83" s="10">
        <f>'B) D RI'!R84</f>
        <v>6781611.2699999986</v>
      </c>
      <c r="G83" s="10">
        <f>'B) D RI'!U84</f>
        <v>89231.727236842082</v>
      </c>
      <c r="H83" s="41">
        <f>'B) D RI'!T84</f>
        <v>6247139.7699999986</v>
      </c>
      <c r="I83" s="10">
        <f t="shared" si="9"/>
        <v>164398.41499999995</v>
      </c>
      <c r="J83" s="31">
        <f t="shared" si="10"/>
        <v>230520.76378794544</v>
      </c>
      <c r="K83" s="10">
        <f t="shared" si="11"/>
        <v>164398.41499999995</v>
      </c>
      <c r="L83" s="10">
        <f t="shared" si="12"/>
        <v>66122.348787945491</v>
      </c>
      <c r="M83" s="10">
        <f>'D) Ecrêtage'!C82</f>
        <v>89231.727236842082</v>
      </c>
      <c r="N83" s="10">
        <f t="shared" si="13"/>
        <v>106384.34748628056</v>
      </c>
      <c r="O83" s="57">
        <f t="shared" si="14"/>
        <v>270782.76248628052</v>
      </c>
    </row>
    <row r="84" spans="1:15" s="215" customFormat="1" x14ac:dyDescent="0.25">
      <c r="A84" s="303">
        <f>'A) Base RI'!A85</f>
        <v>5527</v>
      </c>
      <c r="B84" s="220" t="str">
        <f>'A) Base RI'!B85</f>
        <v>Morrens</v>
      </c>
      <c r="C84" s="490">
        <v>0</v>
      </c>
      <c r="D84" s="216">
        <f>'B) D RI'!AA85</f>
        <v>1126</v>
      </c>
      <c r="E84" s="217">
        <f>'B) D RI'!S85</f>
        <v>74</v>
      </c>
      <c r="F84" s="10">
        <f>'B) D RI'!R85</f>
        <v>2970149.9100000006</v>
      </c>
      <c r="G84" s="10">
        <f>'B) D RI'!U85</f>
        <v>40137.160945945958</v>
      </c>
      <c r="H84" s="41">
        <f>'B) D RI'!T85</f>
        <v>2738871.3600000003</v>
      </c>
      <c r="I84" s="10">
        <f t="shared" si="9"/>
        <v>74023.55027027028</v>
      </c>
      <c r="J84" s="31">
        <f t="shared" si="10"/>
        <v>98395.140267333802</v>
      </c>
      <c r="K84" s="10">
        <f t="shared" si="11"/>
        <v>74023.55027027028</v>
      </c>
      <c r="L84" s="10">
        <f t="shared" si="12"/>
        <v>24371.589997063522</v>
      </c>
      <c r="M84" s="10">
        <f>'D) Ecrêtage'!C83</f>
        <v>40137.160945945958</v>
      </c>
      <c r="N84" s="10">
        <f t="shared" si="13"/>
        <v>47852.549865506771</v>
      </c>
      <c r="O84" s="57">
        <f t="shared" si="14"/>
        <v>121876.10013577706</v>
      </c>
    </row>
    <row r="85" spans="1:15" s="215" customFormat="1" x14ac:dyDescent="0.25">
      <c r="A85" s="303">
        <f>'A) Base RI'!A86</f>
        <v>5529</v>
      </c>
      <c r="B85" s="220" t="str">
        <f>'A) Base RI'!B86</f>
        <v>Oulens-sous-Echallens</v>
      </c>
      <c r="C85" s="490">
        <v>0</v>
      </c>
      <c r="D85" s="216">
        <f>'B) D RI'!AA86</f>
        <v>615</v>
      </c>
      <c r="E85" s="217">
        <f>'B) D RI'!S86</f>
        <v>71</v>
      </c>
      <c r="F85" s="10">
        <f>'B) D RI'!R86</f>
        <v>1533785.2700000003</v>
      </c>
      <c r="G85" s="10">
        <f>'B) D RI'!U86</f>
        <v>21602.609436619721</v>
      </c>
      <c r="H85" s="41">
        <f>'B) D RI'!T86</f>
        <v>1411049.4200000002</v>
      </c>
      <c r="I85" s="10">
        <f t="shared" si="9"/>
        <v>39747.870985915499</v>
      </c>
      <c r="J85" s="31">
        <f t="shared" si="10"/>
        <v>53741.573058978938</v>
      </c>
      <c r="K85" s="10">
        <f t="shared" si="11"/>
        <v>39747.870985915499</v>
      </c>
      <c r="L85" s="10">
        <f t="shared" si="12"/>
        <v>13993.702073063439</v>
      </c>
      <c r="M85" s="10">
        <f>'D) Ecrêtage'!C84</f>
        <v>21602.609436619721</v>
      </c>
      <c r="N85" s="10">
        <f t="shared" si="13"/>
        <v>25755.183498979513</v>
      </c>
      <c r="O85" s="57">
        <f t="shared" si="14"/>
        <v>65503.054484895008</v>
      </c>
    </row>
    <row r="86" spans="1:15" s="215" customFormat="1" x14ac:dyDescent="0.25">
      <c r="A86" s="303">
        <f>'A) Base RI'!A87</f>
        <v>5530</v>
      </c>
      <c r="B86" s="220" t="str">
        <f>'A) Base RI'!B87</f>
        <v>Pailly</v>
      </c>
      <c r="C86" s="490">
        <v>0</v>
      </c>
      <c r="D86" s="216">
        <f>'B) D RI'!AA87</f>
        <v>563</v>
      </c>
      <c r="E86" s="217">
        <f>'B) D RI'!S87</f>
        <v>77.5</v>
      </c>
      <c r="F86" s="10">
        <f>'B) D RI'!R87</f>
        <v>1365941.5416666665</v>
      </c>
      <c r="G86" s="10">
        <f>'B) D RI'!U87</f>
        <v>17625.052150537631</v>
      </c>
      <c r="H86" s="41">
        <f>'B) D RI'!T87</f>
        <v>1263240.9999999998</v>
      </c>
      <c r="I86" s="10">
        <f t="shared" si="9"/>
        <v>32599.767741935477</v>
      </c>
      <c r="J86" s="31">
        <f t="shared" si="10"/>
        <v>49197.570133666901</v>
      </c>
      <c r="K86" s="10">
        <f t="shared" si="11"/>
        <v>32599.767741935477</v>
      </c>
      <c r="L86" s="10">
        <f t="shared" si="12"/>
        <v>16597.802391731424</v>
      </c>
      <c r="M86" s="10">
        <f>'D) Ecrêtage'!C85</f>
        <v>17625.052150537631</v>
      </c>
      <c r="N86" s="10">
        <f t="shared" si="13"/>
        <v>21013.037968769117</v>
      </c>
      <c r="O86" s="57">
        <f t="shared" si="14"/>
        <v>53612.80571070459</v>
      </c>
    </row>
    <row r="87" spans="1:15" s="215" customFormat="1" x14ac:dyDescent="0.25">
      <c r="A87" s="303">
        <f>'A) Base RI'!A88</f>
        <v>5531</v>
      </c>
      <c r="B87" s="220" t="str">
        <f>'A) Base RI'!B88</f>
        <v>Penthéréaz</v>
      </c>
      <c r="C87" s="490">
        <v>0</v>
      </c>
      <c r="D87" s="216">
        <f>'B) D RI'!AA88</f>
        <v>421</v>
      </c>
      <c r="E87" s="217">
        <f>'B) D RI'!S88</f>
        <v>78</v>
      </c>
      <c r="F87" s="10">
        <f>'B) D RI'!R88</f>
        <v>1142995.0300000003</v>
      </c>
      <c r="G87" s="10">
        <f>'B) D RI'!U88</f>
        <v>14653.782435897439</v>
      </c>
      <c r="H87" s="41">
        <f>'B) D RI'!T88</f>
        <v>1065432.5300000003</v>
      </c>
      <c r="I87" s="10">
        <f t="shared" si="9"/>
        <v>27318.782820512828</v>
      </c>
      <c r="J87" s="31">
        <f t="shared" si="10"/>
        <v>36788.946760699408</v>
      </c>
      <c r="K87" s="10">
        <f t="shared" si="11"/>
        <v>27318.782820512828</v>
      </c>
      <c r="L87" s="10">
        <f t="shared" si="12"/>
        <v>9470.1639401865796</v>
      </c>
      <c r="M87" s="10">
        <f>'D) Ecrêtage'!C86</f>
        <v>14653.782435897439</v>
      </c>
      <c r="N87" s="10">
        <f t="shared" si="13"/>
        <v>17470.614218988401</v>
      </c>
      <c r="O87" s="57">
        <f t="shared" si="14"/>
        <v>44789.397039501229</v>
      </c>
    </row>
    <row r="88" spans="1:15" s="215" customFormat="1" x14ac:dyDescent="0.25">
      <c r="A88" s="303">
        <f>'A) Base RI'!A89</f>
        <v>5533</v>
      </c>
      <c r="B88" s="220" t="str">
        <f>'A) Base RI'!B89</f>
        <v>Poliez-Pittet</v>
      </c>
      <c r="C88" s="490">
        <v>0</v>
      </c>
      <c r="D88" s="216">
        <f>'B) D RI'!AA89</f>
        <v>829</v>
      </c>
      <c r="E88" s="217">
        <f>'B) D RI'!S89</f>
        <v>73</v>
      </c>
      <c r="F88" s="10">
        <f>'B) D RI'!R89</f>
        <v>1667037.45</v>
      </c>
      <c r="G88" s="10">
        <f>'B) D RI'!U89</f>
        <v>22836.129452054793</v>
      </c>
      <c r="H88" s="41">
        <f>'B) D RI'!T89</f>
        <v>1527832.5</v>
      </c>
      <c r="I88" s="10">
        <f t="shared" si="9"/>
        <v>41858.424657534248</v>
      </c>
      <c r="J88" s="31">
        <f t="shared" si="10"/>
        <v>72441.892790070793</v>
      </c>
      <c r="K88" s="10">
        <f t="shared" si="11"/>
        <v>41858.424657534248</v>
      </c>
      <c r="L88" s="10">
        <f t="shared" si="12"/>
        <v>30583.468132536545</v>
      </c>
      <c r="M88" s="10">
        <f>'D) Ecrêtage'!C87</f>
        <v>22836.129452054793</v>
      </c>
      <c r="N88" s="10">
        <f t="shared" si="13"/>
        <v>27225.817611048406</v>
      </c>
      <c r="O88" s="57">
        <f t="shared" si="14"/>
        <v>69084.24226858266</v>
      </c>
    </row>
    <row r="89" spans="1:15" s="215" customFormat="1" x14ac:dyDescent="0.25">
      <c r="A89" s="303">
        <f>'A) Base RI'!A90</f>
        <v>5534</v>
      </c>
      <c r="B89" s="220" t="str">
        <f>'A) Base RI'!B90</f>
        <v>Rueyres</v>
      </c>
      <c r="C89" s="490">
        <v>0</v>
      </c>
      <c r="D89" s="216">
        <f>'B) D RI'!AA90</f>
        <v>265</v>
      </c>
      <c r="E89" s="217">
        <f>'B) D RI'!S90</f>
        <v>73</v>
      </c>
      <c r="F89" s="10">
        <f>'B) D RI'!R90</f>
        <v>763868.53</v>
      </c>
      <c r="G89" s="10">
        <f>'B) D RI'!U90</f>
        <v>10463.952465753426</v>
      </c>
      <c r="H89" s="41">
        <f>'B) D RI'!T90</f>
        <v>684207.93</v>
      </c>
      <c r="I89" s="10">
        <f t="shared" si="9"/>
        <v>18745.422739726029</v>
      </c>
      <c r="J89" s="31">
        <f t="shared" si="10"/>
        <v>23156.937984763284</v>
      </c>
      <c r="K89" s="10">
        <f t="shared" si="11"/>
        <v>18745.422739726029</v>
      </c>
      <c r="L89" s="10">
        <f t="shared" si="12"/>
        <v>4411.5152450372552</v>
      </c>
      <c r="M89" s="10">
        <f>'D) Ecrêtage'!C88</f>
        <v>10463.952465753426</v>
      </c>
      <c r="N89" s="10">
        <f t="shared" si="13"/>
        <v>12475.391765553713</v>
      </c>
      <c r="O89" s="57">
        <f t="shared" si="14"/>
        <v>31220.814505279741</v>
      </c>
    </row>
    <row r="90" spans="1:15" s="215" customFormat="1" x14ac:dyDescent="0.25">
      <c r="A90" s="303">
        <f>'A) Base RI'!A91</f>
        <v>5535</v>
      </c>
      <c r="B90" s="220" t="str">
        <f>'A) Base RI'!B91</f>
        <v>Saint-Barthélemy</v>
      </c>
      <c r="C90" s="490">
        <v>0</v>
      </c>
      <c r="D90" s="216">
        <f>'B) D RI'!AA91</f>
        <v>791</v>
      </c>
      <c r="E90" s="217">
        <f>'B) D RI'!S91</f>
        <v>77</v>
      </c>
      <c r="F90" s="10">
        <f>'B) D RI'!R91</f>
        <v>1730878.8100000003</v>
      </c>
      <c r="G90" s="10">
        <f>'B) D RI'!U91</f>
        <v>22478.945584415589</v>
      </c>
      <c r="H90" s="41">
        <f>'B) D RI'!T91</f>
        <v>1582606.4100000001</v>
      </c>
      <c r="I90" s="10">
        <f t="shared" si="9"/>
        <v>41106.660000000003</v>
      </c>
      <c r="J90" s="31">
        <f t="shared" si="10"/>
        <v>69121.275267727382</v>
      </c>
      <c r="K90" s="10">
        <f t="shared" si="11"/>
        <v>41106.660000000003</v>
      </c>
      <c r="L90" s="10">
        <f t="shared" si="12"/>
        <v>28014.615267727379</v>
      </c>
      <c r="M90" s="10">
        <f>'D) Ecrêtage'!C89</f>
        <v>22478.945584415589</v>
      </c>
      <c r="N90" s="10">
        <f t="shared" si="13"/>
        <v>26799.97386837866</v>
      </c>
      <c r="O90" s="57">
        <f t="shared" si="14"/>
        <v>67906.63386837866</v>
      </c>
    </row>
    <row r="91" spans="1:15" s="215" customFormat="1" x14ac:dyDescent="0.25">
      <c r="A91" s="303">
        <f>'A) Base RI'!A92</f>
        <v>5537</v>
      </c>
      <c r="B91" s="220" t="str">
        <f>'A) Base RI'!B92</f>
        <v>Villars-le-Terroir</v>
      </c>
      <c r="C91" s="490">
        <v>0</v>
      </c>
      <c r="D91" s="216">
        <f>'B) D RI'!AA92</f>
        <v>1228</v>
      </c>
      <c r="E91" s="217">
        <f>'B) D RI'!S92</f>
        <v>73</v>
      </c>
      <c r="F91" s="10">
        <f>'B) D RI'!R92</f>
        <v>2647615.3825000003</v>
      </c>
      <c r="G91" s="10">
        <f>'B) D RI'!U92</f>
        <v>36268.70386986302</v>
      </c>
      <c r="H91" s="41">
        <f>'B) D RI'!T92</f>
        <v>2414916.3200000003</v>
      </c>
      <c r="I91" s="10">
        <f t="shared" si="9"/>
        <v>66162.090958904111</v>
      </c>
      <c r="J91" s="31">
        <f t="shared" si="10"/>
        <v>107308.37677467665</v>
      </c>
      <c r="K91" s="10">
        <f t="shared" si="11"/>
        <v>66162.090958904111</v>
      </c>
      <c r="L91" s="10">
        <f t="shared" si="12"/>
        <v>41146.285815772542</v>
      </c>
      <c r="M91" s="10">
        <f>'D) Ecrêtage'!C90</f>
        <v>36268.70386986302</v>
      </c>
      <c r="N91" s="10">
        <f t="shared" si="13"/>
        <v>43240.476396106867</v>
      </c>
      <c r="O91" s="57">
        <f t="shared" si="14"/>
        <v>109402.56735501098</v>
      </c>
    </row>
    <row r="92" spans="1:15" s="215" customFormat="1" x14ac:dyDescent="0.25">
      <c r="A92" s="303">
        <f>'A) Base RI'!A93</f>
        <v>5539</v>
      </c>
      <c r="B92" s="220" t="str">
        <f>'A) Base RI'!B93</f>
        <v>Vuarrens</v>
      </c>
      <c r="C92" s="490">
        <v>0</v>
      </c>
      <c r="D92" s="216">
        <f>'B) D RI'!AA93</f>
        <v>1054</v>
      </c>
      <c r="E92" s="217">
        <f>'B) D RI'!S93</f>
        <v>75</v>
      </c>
      <c r="F92" s="10">
        <f>'B) D RI'!R93</f>
        <v>2250045.5549999997</v>
      </c>
      <c r="G92" s="10">
        <f>'B) D RI'!U93</f>
        <v>30000.607399999997</v>
      </c>
      <c r="H92" s="41">
        <f>'B) D RI'!T93</f>
        <v>2066704.53</v>
      </c>
      <c r="I92" s="10">
        <f t="shared" si="9"/>
        <v>55112.120800000004</v>
      </c>
      <c r="J92" s="31">
        <f t="shared" si="10"/>
        <v>92103.44390920944</v>
      </c>
      <c r="K92" s="10">
        <f t="shared" si="11"/>
        <v>55112.120800000004</v>
      </c>
      <c r="L92" s="10">
        <f t="shared" si="12"/>
        <v>36991.323109209436</v>
      </c>
      <c r="M92" s="10">
        <f>'D) Ecrêtage'!C91</f>
        <v>30000.607399999997</v>
      </c>
      <c r="N92" s="10">
        <f t="shared" si="13"/>
        <v>35767.491466009982</v>
      </c>
      <c r="O92" s="57">
        <f t="shared" si="14"/>
        <v>90879.612266009994</v>
      </c>
    </row>
    <row r="93" spans="1:15" s="215" customFormat="1" x14ac:dyDescent="0.25">
      <c r="A93" s="303">
        <f>'A) Base RI'!A94</f>
        <v>5540</v>
      </c>
      <c r="B93" s="220" t="str">
        <f>'A) Base RI'!B94</f>
        <v>Montilliez</v>
      </c>
      <c r="C93" s="490">
        <v>0</v>
      </c>
      <c r="D93" s="216">
        <f>'B) D RI'!AA94</f>
        <v>1819</v>
      </c>
      <c r="E93" s="217">
        <f>'B) D RI'!S94</f>
        <v>74</v>
      </c>
      <c r="F93" s="10">
        <f>'B) D RI'!R94</f>
        <v>4792371.96</v>
      </c>
      <c r="G93" s="10">
        <f>'B) D RI'!U94</f>
        <v>64761.783243243241</v>
      </c>
      <c r="H93" s="41">
        <f>'B) D RI'!T94</f>
        <v>4450312.8600000003</v>
      </c>
      <c r="I93" s="10">
        <f t="shared" si="9"/>
        <v>120278.72594594596</v>
      </c>
      <c r="J93" s="31">
        <f t="shared" si="10"/>
        <v>158952.71771428079</v>
      </c>
      <c r="K93" s="10">
        <f t="shared" si="11"/>
        <v>120278.72594594596</v>
      </c>
      <c r="L93" s="10">
        <f t="shared" si="12"/>
        <v>38673.991768334832</v>
      </c>
      <c r="M93" s="10">
        <f>'D) Ecrêtage'!C92</f>
        <v>64761.783243243241</v>
      </c>
      <c r="N93" s="10">
        <f t="shared" si="13"/>
        <v>77210.654390827141</v>
      </c>
      <c r="O93" s="57">
        <f t="shared" si="14"/>
        <v>197489.38033677312</v>
      </c>
    </row>
    <row r="94" spans="1:15" s="215" customFormat="1" x14ac:dyDescent="0.25">
      <c r="A94" s="303">
        <f>'A) Base RI'!A95</f>
        <v>5541</v>
      </c>
      <c r="B94" s="220" t="str">
        <f>'A) Base RI'!B95</f>
        <v>Goumoëns</v>
      </c>
      <c r="C94" s="490">
        <v>0</v>
      </c>
      <c r="D94" s="216">
        <f>'B) D RI'!AA95</f>
        <v>1140</v>
      </c>
      <c r="E94" s="217">
        <f>'B) D RI'!S95</f>
        <v>77</v>
      </c>
      <c r="F94" s="10">
        <f>'B) D RI'!R95</f>
        <v>2878984.03</v>
      </c>
      <c r="G94" s="10">
        <f>'B) D RI'!U95</f>
        <v>37389.402987012982</v>
      </c>
      <c r="H94" s="41">
        <f>'B) D RI'!T95</f>
        <v>2670115.5299999998</v>
      </c>
      <c r="I94" s="10">
        <f t="shared" si="9"/>
        <v>69353.650129870119</v>
      </c>
      <c r="J94" s="31">
        <f t="shared" si="10"/>
        <v>99618.525670302421</v>
      </c>
      <c r="K94" s="10">
        <f t="shared" si="11"/>
        <v>69353.650129870119</v>
      </c>
      <c r="L94" s="10">
        <f t="shared" si="12"/>
        <v>30264.875540432302</v>
      </c>
      <c r="M94" s="10">
        <f>'D) Ecrêtage'!C93</f>
        <v>37389.402987012982</v>
      </c>
      <c r="N94" s="10">
        <f t="shared" si="13"/>
        <v>44576.602547626921</v>
      </c>
      <c r="O94" s="57">
        <f t="shared" si="14"/>
        <v>113930.25267749705</v>
      </c>
    </row>
    <row r="95" spans="1:15" s="215" customFormat="1" x14ac:dyDescent="0.25">
      <c r="A95" s="303">
        <f>'A) Base RI'!A96</f>
        <v>5551</v>
      </c>
      <c r="B95" s="220" t="str">
        <f>'A) Base RI'!B96</f>
        <v>Bonvillars</v>
      </c>
      <c r="C95" s="490">
        <v>0</v>
      </c>
      <c r="D95" s="216">
        <f>'B) D RI'!AA96</f>
        <v>490</v>
      </c>
      <c r="E95" s="217">
        <f>'B) D RI'!S96</f>
        <v>55</v>
      </c>
      <c r="F95" s="10">
        <f>'B) D RI'!R96</f>
        <v>1005521.3200000001</v>
      </c>
      <c r="G95" s="10">
        <f>'B) D RI'!U96</f>
        <v>18282.205818181821</v>
      </c>
      <c r="H95" s="41">
        <f>'B) D RI'!T96</f>
        <v>885819.32000000007</v>
      </c>
      <c r="I95" s="10">
        <f t="shared" si="9"/>
        <v>32211.611636363639</v>
      </c>
      <c r="J95" s="31">
        <f t="shared" si="10"/>
        <v>42818.48910390192</v>
      </c>
      <c r="K95" s="10">
        <f t="shared" si="11"/>
        <v>32211.611636363639</v>
      </c>
      <c r="L95" s="10">
        <f t="shared" si="12"/>
        <v>10606.877467538281</v>
      </c>
      <c r="M95" s="10">
        <f>'D) Ecrêtage'!C94</f>
        <v>18282.205818181821</v>
      </c>
      <c r="N95" s="10">
        <f t="shared" si="13"/>
        <v>21796.513379314329</v>
      </c>
      <c r="O95" s="57">
        <f t="shared" si="14"/>
        <v>54008.125015677972</v>
      </c>
    </row>
    <row r="96" spans="1:15" s="215" customFormat="1" x14ac:dyDescent="0.25">
      <c r="A96" s="303">
        <f>'A) Base RI'!A97</f>
        <v>5552</v>
      </c>
      <c r="B96" s="220" t="str">
        <f>'A) Base RI'!B97</f>
        <v>Bullet</v>
      </c>
      <c r="C96" s="490">
        <v>0</v>
      </c>
      <c r="D96" s="216">
        <f>'B) D RI'!AA97</f>
        <v>657</v>
      </c>
      <c r="E96" s="217">
        <f>'B) D RI'!S97</f>
        <v>73</v>
      </c>
      <c r="F96" s="10">
        <f>'B) D RI'!R97</f>
        <v>1341190.6700000002</v>
      </c>
      <c r="G96" s="10">
        <f>'B) D RI'!U97</f>
        <v>18372.474931506851</v>
      </c>
      <c r="H96" s="41">
        <f>'B) D RI'!T97</f>
        <v>1220659.3700000001</v>
      </c>
      <c r="I96" s="10">
        <f t="shared" si="9"/>
        <v>33442.722465753424</v>
      </c>
      <c r="J96" s="31">
        <f t="shared" si="10"/>
        <v>57411.729267884817</v>
      </c>
      <c r="K96" s="10">
        <f t="shared" si="11"/>
        <v>33442.722465753424</v>
      </c>
      <c r="L96" s="10">
        <f t="shared" si="12"/>
        <v>23969.006802131393</v>
      </c>
      <c r="M96" s="10">
        <f>'D) Ecrêtage'!C95</f>
        <v>18372.474931506851</v>
      </c>
      <c r="N96" s="10">
        <f t="shared" si="13"/>
        <v>21904.134525028108</v>
      </c>
      <c r="O96" s="57">
        <f t="shared" si="14"/>
        <v>55346.856990781533</v>
      </c>
    </row>
    <row r="97" spans="1:15" s="215" customFormat="1" x14ac:dyDescent="0.25">
      <c r="A97" s="303">
        <f>'A) Base RI'!A98</f>
        <v>5553</v>
      </c>
      <c r="B97" s="220" t="str">
        <f>'A) Base RI'!B98</f>
        <v>Champagne</v>
      </c>
      <c r="C97" s="490">
        <v>0</v>
      </c>
      <c r="D97" s="216">
        <f>'B) D RI'!AA98</f>
        <v>1059</v>
      </c>
      <c r="E97" s="217">
        <f>'B) D RI'!S98</f>
        <v>65</v>
      </c>
      <c r="F97" s="10">
        <f>'B) D RI'!R98</f>
        <v>2450181.54</v>
      </c>
      <c r="G97" s="10">
        <f>'B) D RI'!U98</f>
        <v>37695.100615384617</v>
      </c>
      <c r="H97" s="41">
        <f>'B) D RI'!T98</f>
        <v>2193541.29</v>
      </c>
      <c r="I97" s="10">
        <f t="shared" si="9"/>
        <v>67493.57815384616</v>
      </c>
      <c r="J97" s="31">
        <f t="shared" si="10"/>
        <v>92540.367267412512</v>
      </c>
      <c r="K97" s="10">
        <f t="shared" si="11"/>
        <v>67493.57815384616</v>
      </c>
      <c r="L97" s="10">
        <f t="shared" si="12"/>
        <v>25046.789113566352</v>
      </c>
      <c r="M97" s="10">
        <f>'D) Ecrêtage'!C96</f>
        <v>37695.100615384617</v>
      </c>
      <c r="N97" s="10">
        <f t="shared" si="13"/>
        <v>44941.063078981431</v>
      </c>
      <c r="O97" s="57">
        <f t="shared" si="14"/>
        <v>112434.64123282759</v>
      </c>
    </row>
    <row r="98" spans="1:15" s="215" customFormat="1" x14ac:dyDescent="0.25">
      <c r="A98" s="303">
        <f>'A) Base RI'!A99</f>
        <v>5554</v>
      </c>
      <c r="B98" s="220" t="str">
        <f>'A) Base RI'!B99</f>
        <v>Concise</v>
      </c>
      <c r="C98" s="490">
        <v>0</v>
      </c>
      <c r="D98" s="216">
        <f>'B) D RI'!AA99</f>
        <v>1025</v>
      </c>
      <c r="E98" s="217">
        <f>'B) D RI'!S99</f>
        <v>75</v>
      </c>
      <c r="F98" s="10">
        <f>'B) D RI'!R99</f>
        <v>2496586.9500000007</v>
      </c>
      <c r="G98" s="10">
        <f>'B) D RI'!U99</f>
        <v>33287.826000000008</v>
      </c>
      <c r="H98" s="41">
        <f>'B) D RI'!T99</f>
        <v>2321214.4000000004</v>
      </c>
      <c r="I98" s="10">
        <f t="shared" si="9"/>
        <v>61899.050666666677</v>
      </c>
      <c r="J98" s="31">
        <f t="shared" si="10"/>
        <v>89569.288431631561</v>
      </c>
      <c r="K98" s="10">
        <f t="shared" si="11"/>
        <v>61899.050666666677</v>
      </c>
      <c r="L98" s="10">
        <f t="shared" si="12"/>
        <v>27670.237764964884</v>
      </c>
      <c r="M98" s="10">
        <f>'D) Ecrêtage'!C97</f>
        <v>33287.826000000008</v>
      </c>
      <c r="N98" s="10">
        <f t="shared" si="13"/>
        <v>39686.597557922301</v>
      </c>
      <c r="O98" s="57">
        <f t="shared" si="14"/>
        <v>101585.64822458898</v>
      </c>
    </row>
    <row r="99" spans="1:15" s="215" customFormat="1" x14ac:dyDescent="0.25">
      <c r="A99" s="303">
        <f>'A) Base RI'!A100</f>
        <v>5555</v>
      </c>
      <c r="B99" s="220" t="str">
        <f>'A) Base RI'!B100</f>
        <v>Corcelles-près-Concise</v>
      </c>
      <c r="C99" s="490">
        <v>0</v>
      </c>
      <c r="D99" s="216">
        <f>'B) D RI'!AA100</f>
        <v>401</v>
      </c>
      <c r="E99" s="217">
        <f>'B) D RI'!S100</f>
        <v>71</v>
      </c>
      <c r="F99" s="10">
        <f>'B) D RI'!R100</f>
        <v>961268.46000000008</v>
      </c>
      <c r="G99" s="10">
        <f>'B) D RI'!U100</f>
        <v>13538.992394366198</v>
      </c>
      <c r="H99" s="41">
        <f>'B) D RI'!T100</f>
        <v>868538.71000000008</v>
      </c>
      <c r="I99" s="10">
        <f t="shared" si="9"/>
        <v>24465.879154929578</v>
      </c>
      <c r="J99" s="31">
        <f t="shared" si="10"/>
        <v>35041.253327887083</v>
      </c>
      <c r="K99" s="10">
        <f t="shared" si="11"/>
        <v>24465.879154929578</v>
      </c>
      <c r="L99" s="10">
        <f t="shared" si="12"/>
        <v>10575.374172957505</v>
      </c>
      <c r="M99" s="10">
        <f>'D) Ecrêtage'!C98</f>
        <v>13538.992394366198</v>
      </c>
      <c r="N99" s="10">
        <f t="shared" si="13"/>
        <v>16141.533018557055</v>
      </c>
      <c r="O99" s="57">
        <f t="shared" si="14"/>
        <v>40607.412173486635</v>
      </c>
    </row>
    <row r="100" spans="1:15" s="215" customFormat="1" x14ac:dyDescent="0.25">
      <c r="A100" s="303">
        <f>'A) Base RI'!A101</f>
        <v>5556</v>
      </c>
      <c r="B100" s="220" t="str">
        <f>'A) Base RI'!B101</f>
        <v>Fiez</v>
      </c>
      <c r="C100" s="490">
        <v>0</v>
      </c>
      <c r="D100" s="216">
        <f>'B) D RI'!AA101</f>
        <v>445</v>
      </c>
      <c r="E100" s="217">
        <f>'B) D RI'!S101</f>
        <v>69</v>
      </c>
      <c r="F100" s="10">
        <f>'B) D RI'!R101</f>
        <v>900422.50333333341</v>
      </c>
      <c r="G100" s="10">
        <f>'B) D RI'!U101</f>
        <v>13049.601497584543</v>
      </c>
      <c r="H100" s="41">
        <f>'B) D RI'!T101</f>
        <v>827099.62</v>
      </c>
      <c r="I100" s="10">
        <f t="shared" si="9"/>
        <v>23973.902028985507</v>
      </c>
      <c r="J100" s="31">
        <f t="shared" si="10"/>
        <v>38886.178880074192</v>
      </c>
      <c r="K100" s="10">
        <f t="shared" si="11"/>
        <v>23973.902028985507</v>
      </c>
      <c r="L100" s="10">
        <f t="shared" si="12"/>
        <v>14912.276851088685</v>
      </c>
      <c r="M100" s="10">
        <f>'D) Ecrêtage'!C99</f>
        <v>13049.601497584543</v>
      </c>
      <c r="N100" s="10">
        <f t="shared" si="13"/>
        <v>15558.06867429245</v>
      </c>
      <c r="O100" s="57">
        <f t="shared" si="14"/>
        <v>39531.970703277955</v>
      </c>
    </row>
    <row r="101" spans="1:15" s="215" customFormat="1" x14ac:dyDescent="0.25">
      <c r="A101" s="303">
        <f>'A) Base RI'!A102</f>
        <v>5557</v>
      </c>
      <c r="B101" s="220" t="str">
        <f>'A) Base RI'!B102</f>
        <v>Fontaines-sur-Grandson</v>
      </c>
      <c r="C101" s="490">
        <v>0</v>
      </c>
      <c r="D101" s="216">
        <f>'B) D RI'!AA102</f>
        <v>215</v>
      </c>
      <c r="E101" s="217">
        <f>'B) D RI'!S102</f>
        <v>69</v>
      </c>
      <c r="F101" s="10">
        <f>'B) D RI'!R102</f>
        <v>451689.18</v>
      </c>
      <c r="G101" s="10">
        <f>'B) D RI'!U102</f>
        <v>6546.22</v>
      </c>
      <c r="H101" s="41">
        <f>'B) D RI'!T102</f>
        <v>413497.23</v>
      </c>
      <c r="I101" s="10">
        <f t="shared" si="9"/>
        <v>11985.426956521738</v>
      </c>
      <c r="J101" s="31">
        <f t="shared" si="10"/>
        <v>18787.704402732474</v>
      </c>
      <c r="K101" s="10">
        <f t="shared" si="11"/>
        <v>11985.426956521738</v>
      </c>
      <c r="L101" s="10">
        <f t="shared" si="12"/>
        <v>6802.2774462107354</v>
      </c>
      <c r="M101" s="10">
        <f>'D) Ecrêtage'!C100</f>
        <v>6546.22</v>
      </c>
      <c r="N101" s="10">
        <f t="shared" si="13"/>
        <v>7804.570916274979</v>
      </c>
      <c r="O101" s="57">
        <f t="shared" si="14"/>
        <v>19789.997872796717</v>
      </c>
    </row>
    <row r="102" spans="1:15" s="215" customFormat="1" x14ac:dyDescent="0.25">
      <c r="A102" s="303">
        <f>'A) Base RI'!A103</f>
        <v>5559</v>
      </c>
      <c r="B102" s="220" t="str">
        <f>'A) Base RI'!B103</f>
        <v>Giez</v>
      </c>
      <c r="C102" s="490">
        <v>0</v>
      </c>
      <c r="D102" s="216">
        <f>'B) D RI'!AA103</f>
        <v>414</v>
      </c>
      <c r="E102" s="217">
        <f>'B) D RI'!S103</f>
        <v>66</v>
      </c>
      <c r="F102" s="10">
        <f>'B) D RI'!R103</f>
        <v>1374283.62</v>
      </c>
      <c r="G102" s="10">
        <f>'B) D RI'!U103</f>
        <v>20822.479090909092</v>
      </c>
      <c r="H102" s="41">
        <f>'B) D RI'!T103</f>
        <v>1281501.02</v>
      </c>
      <c r="I102" s="10">
        <f t="shared" si="9"/>
        <v>38833.364242424243</v>
      </c>
      <c r="J102" s="31">
        <f t="shared" si="10"/>
        <v>36177.254059215091</v>
      </c>
      <c r="K102" s="10">
        <f t="shared" si="11"/>
        <v>36177.254059215091</v>
      </c>
      <c r="L102" s="10">
        <f t="shared" si="12"/>
        <v>0</v>
      </c>
      <c r="M102" s="10">
        <f>'D) Ecrêtage'!C101</f>
        <v>20822.479090909092</v>
      </c>
      <c r="N102" s="10">
        <f t="shared" si="13"/>
        <v>24825.0921474764</v>
      </c>
      <c r="O102" s="57">
        <f t="shared" si="14"/>
        <v>61002.346206691494</v>
      </c>
    </row>
    <row r="103" spans="1:15" s="215" customFormat="1" x14ac:dyDescent="0.25">
      <c r="A103" s="303">
        <f>'A) Base RI'!A104</f>
        <v>5560</v>
      </c>
      <c r="B103" s="220" t="str">
        <f>'A) Base RI'!B104</f>
        <v>Grandevent</v>
      </c>
      <c r="C103" s="490">
        <v>0</v>
      </c>
      <c r="D103" s="216">
        <f>'B) D RI'!AA104</f>
        <v>222</v>
      </c>
      <c r="E103" s="217">
        <f>'B) D RI'!S104</f>
        <v>68</v>
      </c>
      <c r="F103" s="10">
        <f>'B) D RI'!R104</f>
        <v>503617.59</v>
      </c>
      <c r="G103" s="10">
        <f>'B) D RI'!U104</f>
        <v>7406.141029411765</v>
      </c>
      <c r="H103" s="41">
        <f>'B) D RI'!T104</f>
        <v>461352.14</v>
      </c>
      <c r="I103" s="10">
        <f t="shared" si="9"/>
        <v>13569.180588235295</v>
      </c>
      <c r="J103" s="31">
        <f t="shared" si="10"/>
        <v>19399.397104216787</v>
      </c>
      <c r="K103" s="10">
        <f t="shared" si="11"/>
        <v>13569.180588235295</v>
      </c>
      <c r="L103" s="10">
        <f t="shared" si="12"/>
        <v>5830.2165159814922</v>
      </c>
      <c r="M103" s="10">
        <f>'D) Ecrêtage'!C102</f>
        <v>7406.141029411765</v>
      </c>
      <c r="N103" s="10">
        <f t="shared" si="13"/>
        <v>8829.7907616881021</v>
      </c>
      <c r="O103" s="57">
        <f t="shared" si="14"/>
        <v>22398.971349923399</v>
      </c>
    </row>
    <row r="104" spans="1:15" s="215" customFormat="1" x14ac:dyDescent="0.25">
      <c r="A104" s="303">
        <f>'A) Base RI'!A105</f>
        <v>5561</v>
      </c>
      <c r="B104" s="220" t="str">
        <f>'A) Base RI'!B105</f>
        <v>Grandson</v>
      </c>
      <c r="C104" s="490">
        <v>0</v>
      </c>
      <c r="D104" s="216">
        <f>'B) D RI'!AA105</f>
        <v>3340</v>
      </c>
      <c r="E104" s="217">
        <f>'B) D RI'!S105</f>
        <v>69</v>
      </c>
      <c r="F104" s="10">
        <f>'B) D RI'!R105</f>
        <v>7834437.8099999996</v>
      </c>
      <c r="G104" s="10">
        <f>'B) D RI'!U105</f>
        <v>113542.57695652173</v>
      </c>
      <c r="H104" s="41">
        <f>'B) D RI'!T105</f>
        <v>7213009.709999999</v>
      </c>
      <c r="I104" s="10">
        <f t="shared" si="9"/>
        <v>209072.74521739129</v>
      </c>
      <c r="J104" s="31">
        <f t="shared" si="10"/>
        <v>291864.80327965796</v>
      </c>
      <c r="K104" s="10">
        <f t="shared" si="11"/>
        <v>209072.74521739129</v>
      </c>
      <c r="L104" s="10">
        <f t="shared" si="12"/>
        <v>82792.058062266675</v>
      </c>
      <c r="M104" s="10">
        <f>'D) Ecrêtage'!C103</f>
        <v>113542.57695652173</v>
      </c>
      <c r="N104" s="10">
        <f t="shared" si="13"/>
        <v>135368.36431922286</v>
      </c>
      <c r="O104" s="57">
        <f t="shared" si="14"/>
        <v>344441.10953661415</v>
      </c>
    </row>
    <row r="105" spans="1:15" s="215" customFormat="1" x14ac:dyDescent="0.25">
      <c r="A105" s="303">
        <f>'A) Base RI'!A106</f>
        <v>5562</v>
      </c>
      <c r="B105" s="220" t="str">
        <f>'A) Base RI'!B106</f>
        <v>Mauborget</v>
      </c>
      <c r="C105" s="490">
        <v>0</v>
      </c>
      <c r="D105" s="216">
        <f>'B) D RI'!AA106</f>
        <v>120</v>
      </c>
      <c r="E105" s="217">
        <f>'B) D RI'!S106</f>
        <v>70</v>
      </c>
      <c r="F105" s="10">
        <f>'B) D RI'!R106</f>
        <v>384109.98499999999</v>
      </c>
      <c r="G105" s="10">
        <f>'B) D RI'!U106</f>
        <v>5487.2855</v>
      </c>
      <c r="H105" s="41">
        <f>'B) D RI'!T106</f>
        <v>352099.11</v>
      </c>
      <c r="I105" s="10">
        <f t="shared" si="9"/>
        <v>10059.974571428571</v>
      </c>
      <c r="J105" s="31">
        <f t="shared" si="10"/>
        <v>10486.160596873939</v>
      </c>
      <c r="K105" s="10">
        <f t="shared" si="11"/>
        <v>10059.974571428571</v>
      </c>
      <c r="L105" s="10">
        <f t="shared" si="12"/>
        <v>426.1860254453677</v>
      </c>
      <c r="M105" s="10">
        <f>'D) Ecrêtage'!C104</f>
        <v>5487.2855</v>
      </c>
      <c r="N105" s="10">
        <f t="shared" si="13"/>
        <v>6542.0821210710001</v>
      </c>
      <c r="O105" s="57">
        <f t="shared" si="14"/>
        <v>16602.056692499573</v>
      </c>
    </row>
    <row r="106" spans="1:15" s="215" customFormat="1" x14ac:dyDescent="0.25">
      <c r="A106" s="303">
        <f>'A) Base RI'!A107</f>
        <v>5563</v>
      </c>
      <c r="B106" s="220" t="str">
        <f>'A) Base RI'!B107</f>
        <v>Mutrux</v>
      </c>
      <c r="C106" s="490">
        <v>0</v>
      </c>
      <c r="D106" s="216">
        <f>'B) D RI'!AA107</f>
        <v>153</v>
      </c>
      <c r="E106" s="217">
        <f>'B) D RI'!S107</f>
        <v>80</v>
      </c>
      <c r="F106" s="10">
        <f>'B) D RI'!R107</f>
        <v>321836.97999999992</v>
      </c>
      <c r="G106" s="10">
        <f>'B) D RI'!U107</f>
        <v>4022.9622499999991</v>
      </c>
      <c r="H106" s="41">
        <f>'B) D RI'!T107</f>
        <v>299510.62999999995</v>
      </c>
      <c r="I106" s="10">
        <f t="shared" si="9"/>
        <v>7487.7657499999987</v>
      </c>
      <c r="J106" s="31">
        <f t="shared" si="10"/>
        <v>13369.854761014272</v>
      </c>
      <c r="K106" s="10">
        <f t="shared" si="11"/>
        <v>7487.7657499999987</v>
      </c>
      <c r="L106" s="10">
        <f t="shared" si="12"/>
        <v>5882.0890110142736</v>
      </c>
      <c r="M106" s="10">
        <f>'D) Ecrêtage'!C105</f>
        <v>4022.9622499999991</v>
      </c>
      <c r="N106" s="10">
        <f t="shared" si="13"/>
        <v>4796.2784895133591</v>
      </c>
      <c r="O106" s="57">
        <f t="shared" si="14"/>
        <v>12284.044239513358</v>
      </c>
    </row>
    <row r="107" spans="1:15" s="215" customFormat="1" x14ac:dyDescent="0.25">
      <c r="A107" s="303">
        <f>'A) Base RI'!A108</f>
        <v>5564</v>
      </c>
      <c r="B107" s="220" t="str">
        <f>'A) Base RI'!B108</f>
        <v>Novalles</v>
      </c>
      <c r="C107" s="490">
        <v>0</v>
      </c>
      <c r="D107" s="216">
        <f>'B) D RI'!AA108</f>
        <v>100</v>
      </c>
      <c r="E107" s="217">
        <f>'B) D RI'!S108</f>
        <v>76</v>
      </c>
      <c r="F107" s="10">
        <f>'B) D RI'!R108</f>
        <v>172009.095</v>
      </c>
      <c r="G107" s="10">
        <f>'B) D RI'!U108</f>
        <v>2263.2775657894736</v>
      </c>
      <c r="H107" s="41">
        <f>'B) D RI'!T108</f>
        <v>158385.72</v>
      </c>
      <c r="I107" s="10">
        <f t="shared" si="9"/>
        <v>4168.0452631578946</v>
      </c>
      <c r="J107" s="31">
        <f t="shared" si="10"/>
        <v>8738.4671640616161</v>
      </c>
      <c r="K107" s="10">
        <f t="shared" si="11"/>
        <v>4168.0452631578946</v>
      </c>
      <c r="L107" s="10">
        <f t="shared" si="12"/>
        <v>4570.4219009037215</v>
      </c>
      <c r="M107" s="10">
        <f>'D) Ecrêtage'!C106</f>
        <v>2263.2775657894736</v>
      </c>
      <c r="N107" s="10">
        <f t="shared" si="13"/>
        <v>2698.3374016483031</v>
      </c>
      <c r="O107" s="57">
        <f t="shared" si="14"/>
        <v>6866.3826648061977</v>
      </c>
    </row>
    <row r="108" spans="1:15" s="215" customFormat="1" x14ac:dyDescent="0.25">
      <c r="A108" s="303">
        <f>'A) Base RI'!A109</f>
        <v>5565</v>
      </c>
      <c r="B108" s="220" t="str">
        <f>'A) Base RI'!B109</f>
        <v>Onnens</v>
      </c>
      <c r="C108" s="490">
        <v>0</v>
      </c>
      <c r="D108" s="216">
        <f>'B) D RI'!AA109</f>
        <v>497</v>
      </c>
      <c r="E108" s="217">
        <f>'B) D RI'!S109</f>
        <v>65</v>
      </c>
      <c r="F108" s="10">
        <f>'B) D RI'!R109</f>
        <v>1201642.0199999998</v>
      </c>
      <c r="G108" s="10">
        <f>'B) D RI'!U109</f>
        <v>18486.800307692305</v>
      </c>
      <c r="H108" s="41">
        <f>'B) D RI'!T109</f>
        <v>1050106.9699999997</v>
      </c>
      <c r="I108" s="10">
        <f t="shared" si="9"/>
        <v>32310.983692307684</v>
      </c>
      <c r="J108" s="31">
        <f t="shared" si="10"/>
        <v>43430.18180538623</v>
      </c>
      <c r="K108" s="10">
        <f t="shared" si="11"/>
        <v>32310.983692307684</v>
      </c>
      <c r="L108" s="10">
        <f t="shared" si="12"/>
        <v>11119.198113078546</v>
      </c>
      <c r="M108" s="10">
        <f>'D) Ecrêtage'!C107</f>
        <v>18486.800307692305</v>
      </c>
      <c r="N108" s="10">
        <f t="shared" si="13"/>
        <v>22040.436162609672</v>
      </c>
      <c r="O108" s="57">
        <f t="shared" si="14"/>
        <v>54351.41985491736</v>
      </c>
    </row>
    <row r="109" spans="1:15" s="215" customFormat="1" x14ac:dyDescent="0.25">
      <c r="A109" s="303">
        <f>'A) Base RI'!A110</f>
        <v>5566</v>
      </c>
      <c r="B109" s="220" t="str">
        <f>'A) Base RI'!B110</f>
        <v>Provence</v>
      </c>
      <c r="C109" s="490">
        <v>0</v>
      </c>
      <c r="D109" s="216">
        <f>'B) D RI'!AA110</f>
        <v>379</v>
      </c>
      <c r="E109" s="217">
        <f>'B) D RI'!S110</f>
        <v>81</v>
      </c>
      <c r="F109" s="10">
        <f>'B) D RI'!R110</f>
        <v>687552.39999999991</v>
      </c>
      <c r="G109" s="10">
        <f>'B) D RI'!U110</f>
        <v>8488.3012345678999</v>
      </c>
      <c r="H109" s="41">
        <f>'B) D RI'!T110</f>
        <v>630941.49999999988</v>
      </c>
      <c r="I109" s="10">
        <f t="shared" si="9"/>
        <v>15578.8024691358</v>
      </c>
      <c r="J109" s="31">
        <f t="shared" si="10"/>
        <v>33118.790551793529</v>
      </c>
      <c r="K109" s="10">
        <f t="shared" si="11"/>
        <v>15578.8024691358</v>
      </c>
      <c r="L109" s="10">
        <f t="shared" si="12"/>
        <v>17539.988082657728</v>
      </c>
      <c r="M109" s="10">
        <f>'D) Ecrêtage'!C108</f>
        <v>8488.3012345678999</v>
      </c>
      <c r="N109" s="10">
        <f t="shared" si="13"/>
        <v>10119.969836621687</v>
      </c>
      <c r="O109" s="57">
        <f t="shared" si="14"/>
        <v>25698.772305757488</v>
      </c>
    </row>
    <row r="110" spans="1:15" s="215" customFormat="1" x14ac:dyDescent="0.25">
      <c r="A110" s="303">
        <f>'A) Base RI'!A111</f>
        <v>5568</v>
      </c>
      <c r="B110" s="220" t="str">
        <f>'A) Base RI'!B111</f>
        <v>Sainte-Croix</v>
      </c>
      <c r="C110" s="490">
        <v>0</v>
      </c>
      <c r="D110" s="216">
        <f>'B) D RI'!AA111</f>
        <v>4888</v>
      </c>
      <c r="E110" s="217">
        <f>'B) D RI'!S111</f>
        <v>70</v>
      </c>
      <c r="F110" s="10">
        <f>'B) D RI'!R111</f>
        <v>7651030.2899999991</v>
      </c>
      <c r="G110" s="10">
        <f>'B) D RI'!U111</f>
        <v>109300.43271428571</v>
      </c>
      <c r="H110" s="41">
        <f>'B) D RI'!T111</f>
        <v>6999499.7899999991</v>
      </c>
      <c r="I110" s="10">
        <f t="shared" si="9"/>
        <v>199985.70828571427</v>
      </c>
      <c r="J110" s="31">
        <f t="shared" si="10"/>
        <v>427136.27497933182</v>
      </c>
      <c r="K110" s="10">
        <f t="shared" si="11"/>
        <v>199985.70828571427</v>
      </c>
      <c r="L110" s="10">
        <f t="shared" si="12"/>
        <v>227150.56669361755</v>
      </c>
      <c r="M110" s="10">
        <f>'D) Ecrêtage'!C109</f>
        <v>109300.43271428571</v>
      </c>
      <c r="N110" s="10">
        <f t="shared" si="13"/>
        <v>130310.77145256108</v>
      </c>
      <c r="O110" s="57">
        <f t="shared" si="14"/>
        <v>330296.47973827535</v>
      </c>
    </row>
    <row r="111" spans="1:15" s="215" customFormat="1" x14ac:dyDescent="0.25">
      <c r="A111" s="303">
        <f>'A) Base RI'!A112</f>
        <v>5571</v>
      </c>
      <c r="B111" s="220" t="str">
        <f>'A) Base RI'!B112</f>
        <v>Tévenon</v>
      </c>
      <c r="C111" s="490">
        <v>0</v>
      </c>
      <c r="D111" s="216">
        <f>'B) D RI'!AA112</f>
        <v>896</v>
      </c>
      <c r="E111" s="217">
        <f>'B) D RI'!S112</f>
        <v>73</v>
      </c>
      <c r="F111" s="10">
        <f>'B) D RI'!R112</f>
        <v>1811565.0983333332</v>
      </c>
      <c r="G111" s="10">
        <f>'B) D RI'!U112</f>
        <v>24815.960251141551</v>
      </c>
      <c r="H111" s="41">
        <f>'B) D RI'!T112</f>
        <v>1639452.94</v>
      </c>
      <c r="I111" s="10">
        <f t="shared" si="9"/>
        <v>44916.518904109587</v>
      </c>
      <c r="J111" s="31">
        <f t="shared" si="10"/>
        <v>78296.665789992083</v>
      </c>
      <c r="K111" s="10">
        <f t="shared" si="11"/>
        <v>44916.518904109587</v>
      </c>
      <c r="L111" s="10">
        <f t="shared" si="12"/>
        <v>33380.146885882496</v>
      </c>
      <c r="M111" s="10">
        <f>'D) Ecrêtage'!C110</f>
        <v>24815.960251141551</v>
      </c>
      <c r="N111" s="10">
        <f t="shared" si="13"/>
        <v>29586.222527732836</v>
      </c>
      <c r="O111" s="57">
        <f t="shared" si="14"/>
        <v>74502.741431842427</v>
      </c>
    </row>
    <row r="112" spans="1:15" s="215" customFormat="1" x14ac:dyDescent="0.25">
      <c r="A112" s="303">
        <f>'A) Base RI'!A113</f>
        <v>5581</v>
      </c>
      <c r="B112" s="220" t="str">
        <f>'A) Base RI'!B113</f>
        <v>Belmont-sur-Lausanne</v>
      </c>
      <c r="C112" s="490">
        <v>1</v>
      </c>
      <c r="D112" s="216">
        <f>'B) D RI'!AA113</f>
        <v>3773</v>
      </c>
      <c r="E112" s="217">
        <f>'B) D RI'!S113</f>
        <v>72</v>
      </c>
      <c r="F112" s="10">
        <f>'B) D RI'!R113</f>
        <v>13519777.386666665</v>
      </c>
      <c r="G112" s="10">
        <f>'B) D RI'!U113</f>
        <v>187774.68592592591</v>
      </c>
      <c r="H112" s="41">
        <f>'B) D RI'!T113</f>
        <v>12592490.77</v>
      </c>
      <c r="I112" s="10">
        <f t="shared" si="9"/>
        <v>349791.41027777776</v>
      </c>
      <c r="J112" s="31">
        <f t="shared" si="10"/>
        <v>329702.3661000448</v>
      </c>
      <c r="K112" s="10">
        <f t="shared" si="11"/>
        <v>0</v>
      </c>
      <c r="L112" s="10">
        <f t="shared" si="12"/>
        <v>329702.3661000448</v>
      </c>
      <c r="M112" s="10">
        <f>'D) Ecrêtage'!C111</f>
        <v>187774.68592592591</v>
      </c>
      <c r="N112" s="10">
        <f t="shared" si="13"/>
        <v>223869.78326273023</v>
      </c>
      <c r="O112" s="57">
        <f t="shared" si="14"/>
        <v>223869.78326273023</v>
      </c>
    </row>
    <row r="113" spans="1:15" s="215" customFormat="1" x14ac:dyDescent="0.25">
      <c r="A113" s="303">
        <f>'A) Base RI'!A114</f>
        <v>5582</v>
      </c>
      <c r="B113" s="220" t="str">
        <f>'A) Base RI'!B114</f>
        <v>Cheseaux-sur-Lausanne</v>
      </c>
      <c r="C113" s="490">
        <v>0</v>
      </c>
      <c r="D113" s="216">
        <f>'B) D RI'!AA114</f>
        <v>4339</v>
      </c>
      <c r="E113" s="217">
        <f>'B) D RI'!S114</f>
        <v>74.5</v>
      </c>
      <c r="F113" s="10">
        <f>'B) D RI'!R114</f>
        <v>12456073.49</v>
      </c>
      <c r="G113" s="10">
        <f>'B) D RI'!U114</f>
        <v>167195.61731543625</v>
      </c>
      <c r="H113" s="41">
        <f>'B) D RI'!T114</f>
        <v>11519135.940000001</v>
      </c>
      <c r="I113" s="10">
        <f t="shared" si="9"/>
        <v>309238.54872483225</v>
      </c>
      <c r="J113" s="31">
        <f t="shared" si="10"/>
        <v>379162.09024863353</v>
      </c>
      <c r="K113" s="10">
        <f t="shared" si="11"/>
        <v>309238.54872483225</v>
      </c>
      <c r="L113" s="10">
        <f t="shared" si="12"/>
        <v>69923.541523801279</v>
      </c>
      <c r="M113" s="10">
        <f>'D) Ecrêtage'!C112</f>
        <v>167195.61731543625</v>
      </c>
      <c r="N113" s="10">
        <f t="shared" si="13"/>
        <v>199334.89131570508</v>
      </c>
      <c r="O113" s="57">
        <f t="shared" si="14"/>
        <v>508573.44004053733</v>
      </c>
    </row>
    <row r="114" spans="1:15" s="215" customFormat="1" x14ac:dyDescent="0.25">
      <c r="A114" s="303">
        <f>'A) Base RI'!A115</f>
        <v>5583</v>
      </c>
      <c r="B114" s="220" t="str">
        <f>'A) Base RI'!B115</f>
        <v>Crissier</v>
      </c>
      <c r="C114" s="490">
        <v>1</v>
      </c>
      <c r="D114" s="216">
        <f>'B) D RI'!AA115</f>
        <v>7944</v>
      </c>
      <c r="E114" s="217">
        <f>'B) D RI'!S115</f>
        <v>65</v>
      </c>
      <c r="F114" s="10">
        <f>'B) D RI'!R115</f>
        <v>20367740.560000002</v>
      </c>
      <c r="G114" s="10">
        <f>'B) D RI'!U115</f>
        <v>313349.85476923082</v>
      </c>
      <c r="H114" s="41">
        <f>'B) D RI'!T115</f>
        <v>17687115.010000002</v>
      </c>
      <c r="I114" s="10">
        <f t="shared" si="9"/>
        <v>544218.92338461545</v>
      </c>
      <c r="J114" s="31">
        <f t="shared" si="10"/>
        <v>694183.83151305479</v>
      </c>
      <c r="K114" s="10">
        <f t="shared" si="11"/>
        <v>0</v>
      </c>
      <c r="L114" s="10">
        <f t="shared" si="12"/>
        <v>694183.83151305479</v>
      </c>
      <c r="M114" s="10">
        <f>'D) Ecrêtage'!C113</f>
        <v>313349.85476923082</v>
      </c>
      <c r="N114" s="10">
        <f t="shared" si="13"/>
        <v>373583.71138625452</v>
      </c>
      <c r="O114" s="57">
        <f t="shared" si="14"/>
        <v>373583.71138625452</v>
      </c>
    </row>
    <row r="115" spans="1:15" s="215" customFormat="1" x14ac:dyDescent="0.25">
      <c r="A115" s="303">
        <f>'A) Base RI'!A116</f>
        <v>5584</v>
      </c>
      <c r="B115" s="220" t="str">
        <f>'A) Base RI'!B116</f>
        <v>Epalinges</v>
      </c>
      <c r="C115" s="490">
        <v>0</v>
      </c>
      <c r="D115" s="216">
        <f>'B) D RI'!AA116</f>
        <v>9701</v>
      </c>
      <c r="E115" s="217">
        <f>'B) D RI'!S116</f>
        <v>66</v>
      </c>
      <c r="F115" s="10">
        <f>'B) D RI'!R116</f>
        <v>31356031.360000003</v>
      </c>
      <c r="G115" s="10">
        <f>'B) D RI'!U116</f>
        <v>475091.38424242428</v>
      </c>
      <c r="H115" s="41">
        <f>'B) D RI'!T116</f>
        <v>28891685.310000002</v>
      </c>
      <c r="I115" s="10">
        <f t="shared" si="9"/>
        <v>875505.61545454548</v>
      </c>
      <c r="J115" s="31">
        <f t="shared" si="10"/>
        <v>847718.6995856174</v>
      </c>
      <c r="K115" s="10">
        <f t="shared" si="11"/>
        <v>847718.6995856174</v>
      </c>
      <c r="L115" s="10">
        <f t="shared" si="12"/>
        <v>0</v>
      </c>
      <c r="M115" s="10">
        <f>'D) Ecrêtage'!C114</f>
        <v>475091.38424242428</v>
      </c>
      <c r="N115" s="10">
        <f t="shared" si="13"/>
        <v>566416.0996775612</v>
      </c>
      <c r="O115" s="57">
        <f t="shared" si="14"/>
        <v>1414134.7992631786</v>
      </c>
    </row>
    <row r="116" spans="1:15" s="215" customFormat="1" x14ac:dyDescent="0.25">
      <c r="A116" s="303">
        <f>'A) Base RI'!A117</f>
        <v>5585</v>
      </c>
      <c r="B116" s="220" t="str">
        <f>'A) Base RI'!B117</f>
        <v>Jouxtens-Mézery</v>
      </c>
      <c r="C116" s="490">
        <v>0</v>
      </c>
      <c r="D116" s="216">
        <f>'B) D RI'!AA117</f>
        <v>1423</v>
      </c>
      <c r="E116" s="217">
        <f>'B) D RI'!S117</f>
        <v>59</v>
      </c>
      <c r="F116" s="10">
        <f>'B) D RI'!R117</f>
        <v>13552009.110000001</v>
      </c>
      <c r="G116" s="10">
        <f>'B) D RI'!U117</f>
        <v>229695.06966101698</v>
      </c>
      <c r="H116" s="41">
        <f>'B) D RI'!T117</f>
        <v>13013582.260000002</v>
      </c>
      <c r="I116" s="10">
        <f t="shared" si="9"/>
        <v>441138.3816949153</v>
      </c>
      <c r="J116" s="31">
        <f t="shared" si="10"/>
        <v>124348.3877445968</v>
      </c>
      <c r="K116" s="10">
        <f t="shared" si="11"/>
        <v>124348.3877445968</v>
      </c>
      <c r="L116" s="10">
        <f t="shared" si="12"/>
        <v>0</v>
      </c>
      <c r="M116" s="10">
        <f>'D) Ecrêtage'!C115</f>
        <v>229695.06966101698</v>
      </c>
      <c r="N116" s="10">
        <f t="shared" si="13"/>
        <v>273848.33694683778</v>
      </c>
      <c r="O116" s="57">
        <f t="shared" si="14"/>
        <v>398196.72469143459</v>
      </c>
    </row>
    <row r="117" spans="1:15" s="215" customFormat="1" x14ac:dyDescent="0.25">
      <c r="A117" s="303">
        <f>'A) Base RI'!A118</f>
        <v>5586</v>
      </c>
      <c r="B117" s="220" t="str">
        <f>'A) Base RI'!B118</f>
        <v>Lausanne</v>
      </c>
      <c r="C117" s="490">
        <v>1</v>
      </c>
      <c r="D117" s="216">
        <f>'B) D RI'!AA118</f>
        <v>139726</v>
      </c>
      <c r="E117" s="217">
        <f>'B) D RI'!S118</f>
        <v>79</v>
      </c>
      <c r="F117" s="10">
        <f>'B) D RI'!R118</f>
        <v>477023723.5066666</v>
      </c>
      <c r="G117" s="10">
        <f>'B) D RI'!U118</f>
        <v>6038274.9810970454</v>
      </c>
      <c r="H117" s="41">
        <f>'B) D RI'!T118</f>
        <v>446491409.83999997</v>
      </c>
      <c r="I117" s="10">
        <f t="shared" si="9"/>
        <v>11303579.995949367</v>
      </c>
      <c r="J117" s="31">
        <f t="shared" si="10"/>
        <v>12209910.629656734</v>
      </c>
      <c r="K117" s="10">
        <f t="shared" si="11"/>
        <v>0</v>
      </c>
      <c r="L117" s="10">
        <f t="shared" si="12"/>
        <v>12209910.629656734</v>
      </c>
      <c r="M117" s="10">
        <f>'D) Ecrêtage'!C116</f>
        <v>6038274.9810970454</v>
      </c>
      <c r="N117" s="10">
        <f t="shared" si="13"/>
        <v>7198985.8730596965</v>
      </c>
      <c r="O117" s="57">
        <f t="shared" si="14"/>
        <v>7198985.8730596965</v>
      </c>
    </row>
    <row r="118" spans="1:15" s="215" customFormat="1" x14ac:dyDescent="0.25">
      <c r="A118" s="303">
        <f>'A) Base RI'!A119</f>
        <v>5587</v>
      </c>
      <c r="B118" s="220" t="str">
        <f>'A) Base RI'!B119</f>
        <v>Le Mont-sur-Lausanne</v>
      </c>
      <c r="C118" s="490">
        <v>0</v>
      </c>
      <c r="D118" s="216">
        <f>'B) D RI'!AA119</f>
        <v>8991</v>
      </c>
      <c r="E118" s="217">
        <f>'B) D RI'!S119</f>
        <v>75</v>
      </c>
      <c r="F118" s="10">
        <f>'B) D RI'!R119</f>
        <v>32806974.056666665</v>
      </c>
      <c r="G118" s="10">
        <f>'B) D RI'!U119</f>
        <v>437426.32075555553</v>
      </c>
      <c r="H118" s="41">
        <f>'B) D RI'!T119</f>
        <v>30251539.089999996</v>
      </c>
      <c r="I118" s="10">
        <f t="shared" si="9"/>
        <v>806707.70906666655</v>
      </c>
      <c r="J118" s="31">
        <f t="shared" si="10"/>
        <v>785675.58272077993</v>
      </c>
      <c r="K118" s="10">
        <f t="shared" si="11"/>
        <v>785675.58272077993</v>
      </c>
      <c r="L118" s="10">
        <f t="shared" si="12"/>
        <v>0</v>
      </c>
      <c r="M118" s="10">
        <f>'D) Ecrêtage'!C117</f>
        <v>437426.32075555553</v>
      </c>
      <c r="N118" s="10">
        <f t="shared" si="13"/>
        <v>521510.84763145429</v>
      </c>
      <c r="O118" s="57">
        <f t="shared" si="14"/>
        <v>1307186.4303522343</v>
      </c>
    </row>
    <row r="119" spans="1:15" s="215" customFormat="1" x14ac:dyDescent="0.25">
      <c r="A119" s="303">
        <f>'A) Base RI'!A120</f>
        <v>5588</v>
      </c>
      <c r="B119" s="220" t="str">
        <f>'A) Base RI'!B120</f>
        <v>Paudex</v>
      </c>
      <c r="C119" s="490">
        <v>1</v>
      </c>
      <c r="D119" s="216">
        <f>'B) D RI'!AA120</f>
        <v>1532</v>
      </c>
      <c r="E119" s="217">
        <f>'B) D RI'!S120</f>
        <v>68</v>
      </c>
      <c r="F119" s="10">
        <f>'B) D RI'!R120</f>
        <v>9151990.3000000007</v>
      </c>
      <c r="G119" s="10">
        <f>'B) D RI'!U120</f>
        <v>134588.09264705883</v>
      </c>
      <c r="H119" s="41">
        <f>'B) D RI'!T120</f>
        <v>8619176.25</v>
      </c>
      <c r="I119" s="10">
        <f t="shared" si="9"/>
        <v>253505.1838235294</v>
      </c>
      <c r="J119" s="31">
        <f t="shared" si="10"/>
        <v>133873.31695342396</v>
      </c>
      <c r="K119" s="10">
        <f t="shared" si="11"/>
        <v>0</v>
      </c>
      <c r="L119" s="10">
        <f t="shared" si="12"/>
        <v>133873.31695342396</v>
      </c>
      <c r="M119" s="10">
        <f>'D) Ecrêtage'!C118</f>
        <v>134588.09264705883</v>
      </c>
      <c r="N119" s="10">
        <f t="shared" si="13"/>
        <v>160459.36640536945</v>
      </c>
      <c r="O119" s="57">
        <f t="shared" si="14"/>
        <v>160459.36640536945</v>
      </c>
    </row>
    <row r="120" spans="1:15" s="215" customFormat="1" x14ac:dyDescent="0.25">
      <c r="A120" s="303">
        <f>'A) Base RI'!A121</f>
        <v>5589</v>
      </c>
      <c r="B120" s="220" t="str">
        <f>'A) Base RI'!B121</f>
        <v>Prilly</v>
      </c>
      <c r="C120" s="490">
        <v>1</v>
      </c>
      <c r="D120" s="216">
        <f>'B) D RI'!AA121</f>
        <v>12423</v>
      </c>
      <c r="E120" s="217">
        <f>'B) D RI'!S121</f>
        <v>73.5</v>
      </c>
      <c r="F120" s="10">
        <f>'B) D RI'!R121</f>
        <v>30731368.97461538</v>
      </c>
      <c r="G120" s="10">
        <f>'B) D RI'!U121</f>
        <v>418113.86360020924</v>
      </c>
      <c r="H120" s="41">
        <f>'B) D RI'!T121</f>
        <v>28228276.839999996</v>
      </c>
      <c r="I120" s="10">
        <f t="shared" si="9"/>
        <v>768116.3765986393</v>
      </c>
      <c r="J120" s="31">
        <f t="shared" si="10"/>
        <v>1085579.7757913745</v>
      </c>
      <c r="K120" s="10">
        <f t="shared" si="11"/>
        <v>0</v>
      </c>
      <c r="L120" s="10">
        <f t="shared" si="12"/>
        <v>1085579.7757913745</v>
      </c>
      <c r="M120" s="10">
        <f>'D) Ecrêtage'!C119</f>
        <v>418113.86360020924</v>
      </c>
      <c r="N120" s="10">
        <f t="shared" si="13"/>
        <v>498486.04225729604</v>
      </c>
      <c r="O120" s="57">
        <f t="shared" si="14"/>
        <v>498486.04225729604</v>
      </c>
    </row>
    <row r="121" spans="1:15" s="215" customFormat="1" x14ac:dyDescent="0.25">
      <c r="A121" s="303">
        <f>'A) Base RI'!A122</f>
        <v>5590</v>
      </c>
      <c r="B121" s="220" t="str">
        <f>'A) Base RI'!B122</f>
        <v>Pully</v>
      </c>
      <c r="C121" s="490">
        <v>1</v>
      </c>
      <c r="D121" s="216">
        <f>'B) D RI'!AA122</f>
        <v>18495</v>
      </c>
      <c r="E121" s="217">
        <f>'B) D RI'!S122</f>
        <v>61</v>
      </c>
      <c r="F121" s="10">
        <f>'B) D RI'!R122</f>
        <v>93518780.998571455</v>
      </c>
      <c r="G121" s="10">
        <f>'B) D RI'!U122</f>
        <v>1533094.7704683845</v>
      </c>
      <c r="H121" s="41">
        <f>'B) D RI'!T122</f>
        <v>88148833.62000002</v>
      </c>
      <c r="I121" s="10">
        <f t="shared" si="9"/>
        <v>2890125.692459017</v>
      </c>
      <c r="J121" s="31">
        <f t="shared" si="10"/>
        <v>1616179.5019931959</v>
      </c>
      <c r="K121" s="10">
        <f t="shared" si="11"/>
        <v>0</v>
      </c>
      <c r="L121" s="10">
        <f t="shared" si="12"/>
        <v>1616179.5019931959</v>
      </c>
      <c r="M121" s="10">
        <f>'D) Ecrêtage'!C120</f>
        <v>1533094.7704683845</v>
      </c>
      <c r="N121" s="10">
        <f t="shared" si="13"/>
        <v>1827794.7972250883</v>
      </c>
      <c r="O121" s="57">
        <f t="shared" si="14"/>
        <v>1827794.7972250883</v>
      </c>
    </row>
    <row r="122" spans="1:15" s="215" customFormat="1" x14ac:dyDescent="0.25">
      <c r="A122" s="303">
        <f>'A) Base RI'!A123</f>
        <v>5591</v>
      </c>
      <c r="B122" s="220" t="str">
        <f>'A) Base RI'!B123</f>
        <v>Renens</v>
      </c>
      <c r="C122" s="490">
        <v>1</v>
      </c>
      <c r="D122" s="216">
        <f>'B) D RI'!AA123</f>
        <v>20928</v>
      </c>
      <c r="E122" s="217">
        <f>'B) D RI'!S123</f>
        <v>78.5</v>
      </c>
      <c r="F122" s="10">
        <f>'B) D RI'!R123</f>
        <v>44205571.79857143</v>
      </c>
      <c r="G122" s="10">
        <f>'B) D RI'!U123</f>
        <v>563128.30316651508</v>
      </c>
      <c r="H122" s="41">
        <f>'B) D RI'!T123</f>
        <v>39925164.170000002</v>
      </c>
      <c r="I122" s="10">
        <f t="shared" si="9"/>
        <v>1017201.6349044587</v>
      </c>
      <c r="J122" s="31">
        <f t="shared" si="10"/>
        <v>1828786.408094815</v>
      </c>
      <c r="K122" s="10">
        <f t="shared" si="11"/>
        <v>0</v>
      </c>
      <c r="L122" s="10">
        <f t="shared" si="12"/>
        <v>1828786.408094815</v>
      </c>
      <c r="M122" s="10">
        <f>'D) Ecrêtage'!C121</f>
        <v>563128.30316651508</v>
      </c>
      <c r="N122" s="10">
        <f t="shared" si="13"/>
        <v>671375.96613383945</v>
      </c>
      <c r="O122" s="57">
        <f t="shared" si="14"/>
        <v>671375.96613383945</v>
      </c>
    </row>
    <row r="123" spans="1:15" s="215" customFormat="1" x14ac:dyDescent="0.25">
      <c r="A123" s="303">
        <f>'A) Base RI'!A124</f>
        <v>5592</v>
      </c>
      <c r="B123" s="220" t="str">
        <f>'A) Base RI'!B124</f>
        <v>Romanel-sur-Lausanne</v>
      </c>
      <c r="C123" s="490">
        <v>0</v>
      </c>
      <c r="D123" s="216">
        <f>'B) D RI'!AA124</f>
        <v>3294</v>
      </c>
      <c r="E123" s="217">
        <f>'B) D RI'!S124</f>
        <v>72</v>
      </c>
      <c r="F123" s="10">
        <f>'B) D RI'!R124</f>
        <v>8184581.21</v>
      </c>
      <c r="G123" s="10">
        <f>'B) D RI'!U124</f>
        <v>113674.73902777777</v>
      </c>
      <c r="H123" s="41">
        <f>'B) D RI'!T124</f>
        <v>7227671.04</v>
      </c>
      <c r="I123" s="10">
        <f t="shared" si="9"/>
        <v>200768.64000000001</v>
      </c>
      <c r="J123" s="31">
        <f t="shared" si="10"/>
        <v>287845.10838418966</v>
      </c>
      <c r="K123" s="10">
        <f t="shared" si="11"/>
        <v>200768.64000000001</v>
      </c>
      <c r="L123" s="10">
        <f t="shared" si="12"/>
        <v>87076.468384189648</v>
      </c>
      <c r="M123" s="10">
        <f>'D) Ecrêtage'!C122</f>
        <v>113674.73902777777</v>
      </c>
      <c r="N123" s="10">
        <f t="shared" si="13"/>
        <v>135525.93132087565</v>
      </c>
      <c r="O123" s="57">
        <f t="shared" si="14"/>
        <v>336294.57132087566</v>
      </c>
    </row>
    <row r="124" spans="1:15" s="215" customFormat="1" x14ac:dyDescent="0.25">
      <c r="A124" s="303">
        <f>'A) Base RI'!A125</f>
        <v>5601</v>
      </c>
      <c r="B124" s="220" t="str">
        <f>'A) Base RI'!B125</f>
        <v>Chexbres</v>
      </c>
      <c r="C124" s="490">
        <v>1</v>
      </c>
      <c r="D124" s="216">
        <f>'B) D RI'!AA125</f>
        <v>2235</v>
      </c>
      <c r="E124" s="217">
        <f>'B) D RI'!S125</f>
        <v>69</v>
      </c>
      <c r="F124" s="10">
        <f>'B) D RI'!R125</f>
        <v>7139497.9899999993</v>
      </c>
      <c r="G124" s="10">
        <f>'B) D RI'!U125</f>
        <v>103470.98536231882</v>
      </c>
      <c r="H124" s="41">
        <f>'B) D RI'!T125</f>
        <v>6652911.4399999995</v>
      </c>
      <c r="I124" s="10">
        <f t="shared" si="9"/>
        <v>192838.01275362316</v>
      </c>
      <c r="J124" s="31">
        <f t="shared" si="10"/>
        <v>195304.74111677712</v>
      </c>
      <c r="K124" s="10">
        <f t="shared" si="11"/>
        <v>0</v>
      </c>
      <c r="L124" s="10">
        <f t="shared" si="12"/>
        <v>195304.74111677712</v>
      </c>
      <c r="M124" s="10">
        <f>'D) Ecrêtage'!C123</f>
        <v>103470.98536231882</v>
      </c>
      <c r="N124" s="10">
        <f t="shared" si="13"/>
        <v>123360.75522012207</v>
      </c>
      <c r="O124" s="57">
        <f t="shared" si="14"/>
        <v>123360.75522012207</v>
      </c>
    </row>
    <row r="125" spans="1:15" s="215" customFormat="1" x14ac:dyDescent="0.25">
      <c r="A125" s="303">
        <f>'A) Base RI'!A126</f>
        <v>5604</v>
      </c>
      <c r="B125" s="220" t="str">
        <f>'A) Base RI'!B126</f>
        <v>Forel (Lavaux)</v>
      </c>
      <c r="C125" s="490">
        <v>0</v>
      </c>
      <c r="D125" s="216">
        <f>'B) D RI'!AA126</f>
        <v>2064</v>
      </c>
      <c r="E125" s="217">
        <f>'B) D RI'!S126</f>
        <v>70</v>
      </c>
      <c r="F125" s="10">
        <f>'B) D RI'!R126</f>
        <v>5177979.0799999991</v>
      </c>
      <c r="G125" s="10">
        <f>'B) D RI'!U126</f>
        <v>73971.129714285707</v>
      </c>
      <c r="H125" s="41">
        <f>'B) D RI'!T126</f>
        <v>4747074.879999999</v>
      </c>
      <c r="I125" s="10">
        <f t="shared" si="9"/>
        <v>135630.71085714284</v>
      </c>
      <c r="J125" s="31">
        <f t="shared" si="10"/>
        <v>180361.96226623177</v>
      </c>
      <c r="K125" s="10">
        <f t="shared" si="11"/>
        <v>135630.71085714284</v>
      </c>
      <c r="L125" s="10">
        <f t="shared" si="12"/>
        <v>44731.251409088931</v>
      </c>
      <c r="M125" s="10">
        <f>'D) Ecrêtage'!C124</f>
        <v>73971.129714285707</v>
      </c>
      <c r="N125" s="10">
        <f t="shared" si="13"/>
        <v>88190.272800504419</v>
      </c>
      <c r="O125" s="57">
        <f t="shared" si="14"/>
        <v>223820.98365764727</v>
      </c>
    </row>
    <row r="126" spans="1:15" s="215" customFormat="1" x14ac:dyDescent="0.25">
      <c r="A126" s="303">
        <f>'A) Base RI'!A127</f>
        <v>5606</v>
      </c>
      <c r="B126" s="220" t="str">
        <f>'A) Base RI'!B127</f>
        <v>Lutry</v>
      </c>
      <c r="C126" s="490">
        <v>1</v>
      </c>
      <c r="D126" s="216">
        <f>'B) D RI'!AA127</f>
        <v>10357</v>
      </c>
      <c r="E126" s="217">
        <f>'B) D RI'!S127</f>
        <v>55.5</v>
      </c>
      <c r="F126" s="10">
        <f>'B) D RI'!R127</f>
        <v>44788408.677142859</v>
      </c>
      <c r="G126" s="10">
        <f>'B) D RI'!U127</f>
        <v>806998.35454311455</v>
      </c>
      <c r="H126" s="41">
        <f>'B) D RI'!T127</f>
        <v>41672978.07</v>
      </c>
      <c r="I126" s="10">
        <f t="shared" si="9"/>
        <v>1501728.9394594594</v>
      </c>
      <c r="J126" s="31">
        <f t="shared" si="10"/>
        <v>905043.04418186157</v>
      </c>
      <c r="K126" s="10">
        <f t="shared" si="11"/>
        <v>0</v>
      </c>
      <c r="L126" s="10">
        <f t="shared" si="12"/>
        <v>905043.04418186157</v>
      </c>
      <c r="M126" s="10">
        <f>'D) Ecrêtage'!C125</f>
        <v>806998.35454311455</v>
      </c>
      <c r="N126" s="10">
        <f t="shared" si="13"/>
        <v>962124.07883464894</v>
      </c>
      <c r="O126" s="57">
        <f t="shared" si="14"/>
        <v>962124.07883464894</v>
      </c>
    </row>
    <row r="127" spans="1:15" s="215" customFormat="1" x14ac:dyDescent="0.25">
      <c r="A127" s="303">
        <f>'A) Base RI'!A128</f>
        <v>5607</v>
      </c>
      <c r="B127" s="220" t="str">
        <f>'A) Base RI'!B128</f>
        <v>Puidoux</v>
      </c>
      <c r="C127" s="490">
        <v>1</v>
      </c>
      <c r="D127" s="216">
        <f>'B) D RI'!AA128</f>
        <v>2881</v>
      </c>
      <c r="E127" s="217">
        <f>'B) D RI'!S128</f>
        <v>70</v>
      </c>
      <c r="F127" s="10">
        <f>'B) D RI'!R128</f>
        <v>7064269.7965217391</v>
      </c>
      <c r="G127" s="10">
        <f>'B) D RI'!U128</f>
        <v>100918.13995031056</v>
      </c>
      <c r="H127" s="41">
        <f>'B) D RI'!T128</f>
        <v>6349501.04</v>
      </c>
      <c r="I127" s="10">
        <f t="shared" si="9"/>
        <v>181414.31542857143</v>
      </c>
      <c r="J127" s="31">
        <f t="shared" si="10"/>
        <v>251755.23899661517</v>
      </c>
      <c r="K127" s="10">
        <f t="shared" si="11"/>
        <v>0</v>
      </c>
      <c r="L127" s="10">
        <f t="shared" si="12"/>
        <v>251755.23899661517</v>
      </c>
      <c r="M127" s="10">
        <f>'D) Ecrêtage'!C126</f>
        <v>100918.13995031056</v>
      </c>
      <c r="N127" s="10">
        <f t="shared" si="13"/>
        <v>120317.18762595236</v>
      </c>
      <c r="O127" s="57">
        <f t="shared" si="14"/>
        <v>120317.18762595236</v>
      </c>
    </row>
    <row r="128" spans="1:15" s="215" customFormat="1" x14ac:dyDescent="0.25">
      <c r="A128" s="303">
        <f>'A) Base RI'!A129</f>
        <v>5609</v>
      </c>
      <c r="B128" s="220" t="str">
        <f>'A) Base RI'!B129</f>
        <v>Rivaz</v>
      </c>
      <c r="C128" s="490">
        <v>1</v>
      </c>
      <c r="D128" s="216">
        <f>'B) D RI'!AA129</f>
        <v>342</v>
      </c>
      <c r="E128" s="217">
        <f>'B) D RI'!S129</f>
        <v>63.5</v>
      </c>
      <c r="F128" s="10">
        <f>'B) D RI'!R129</f>
        <v>866240.57</v>
      </c>
      <c r="G128" s="10">
        <f>'B) D RI'!U129</f>
        <v>13641.583779527558</v>
      </c>
      <c r="H128" s="41">
        <f>'B) D RI'!T129</f>
        <v>811923.32</v>
      </c>
      <c r="I128" s="10">
        <f t="shared" si="9"/>
        <v>25572.388031496062</v>
      </c>
      <c r="J128" s="31">
        <f t="shared" si="10"/>
        <v>29885.557701090729</v>
      </c>
      <c r="K128" s="10">
        <f t="shared" si="11"/>
        <v>0</v>
      </c>
      <c r="L128" s="10">
        <f t="shared" si="12"/>
        <v>29885.557701090729</v>
      </c>
      <c r="M128" s="10">
        <f>'D) Ecrêtage'!C127</f>
        <v>13641.583779527558</v>
      </c>
      <c r="N128" s="10">
        <f t="shared" si="13"/>
        <v>16263.845091920113</v>
      </c>
      <c r="O128" s="57">
        <f t="shared" si="14"/>
        <v>16263.845091920113</v>
      </c>
    </row>
    <row r="129" spans="1:15" s="215" customFormat="1" x14ac:dyDescent="0.25">
      <c r="A129" s="303">
        <f>'A) Base RI'!A130</f>
        <v>5610</v>
      </c>
      <c r="B129" s="220" t="str">
        <f>'A) Base RI'!B130</f>
        <v>St-Saphorin (Lavaux)</v>
      </c>
      <c r="C129" s="490">
        <v>1</v>
      </c>
      <c r="D129" s="216">
        <f>'B) D RI'!AA130</f>
        <v>384</v>
      </c>
      <c r="E129" s="217">
        <f>'B) D RI'!S130</f>
        <v>70</v>
      </c>
      <c r="F129" s="10">
        <f>'B) D RI'!R130</f>
        <v>1559509.9100000001</v>
      </c>
      <c r="G129" s="10">
        <f>'B) D RI'!U130</f>
        <v>22278.713000000003</v>
      </c>
      <c r="H129" s="41">
        <f>'B) D RI'!T130</f>
        <v>1435187.5100000002</v>
      </c>
      <c r="I129" s="10">
        <f t="shared" si="9"/>
        <v>41005.357428571435</v>
      </c>
      <c r="J129" s="31">
        <f t="shared" si="10"/>
        <v>33555.713909996608</v>
      </c>
      <c r="K129" s="10">
        <f t="shared" si="11"/>
        <v>0</v>
      </c>
      <c r="L129" s="10">
        <f t="shared" si="12"/>
        <v>33555.713909996608</v>
      </c>
      <c r="M129" s="10">
        <f>'D) Ecrêtage'!C128</f>
        <v>22278.713000000003</v>
      </c>
      <c r="N129" s="10">
        <f t="shared" si="13"/>
        <v>26561.251459901636</v>
      </c>
      <c r="O129" s="57">
        <f t="shared" si="14"/>
        <v>26561.251459901636</v>
      </c>
    </row>
    <row r="130" spans="1:15" s="215" customFormat="1" x14ac:dyDescent="0.25">
      <c r="A130" s="303">
        <f>'A) Base RI'!A131</f>
        <v>5611</v>
      </c>
      <c r="B130" s="220" t="str">
        <f>'A) Base RI'!B131</f>
        <v>Savigny</v>
      </c>
      <c r="C130" s="490">
        <v>1</v>
      </c>
      <c r="D130" s="216">
        <f>'B) D RI'!AA131</f>
        <v>3359</v>
      </c>
      <c r="E130" s="217">
        <f>'B) D RI'!S131</f>
        <v>69</v>
      </c>
      <c r="F130" s="10">
        <f>'B) D RI'!R131</f>
        <v>9310152.3050000016</v>
      </c>
      <c r="G130" s="10">
        <f>'B) D RI'!U131</f>
        <v>134929.74355072467</v>
      </c>
      <c r="H130" s="41">
        <f>'B) D RI'!T131</f>
        <v>8634620.9800000023</v>
      </c>
      <c r="I130" s="10">
        <f t="shared" si="9"/>
        <v>250278.86898550732</v>
      </c>
      <c r="J130" s="31">
        <f t="shared" si="10"/>
        <v>293525.11204082967</v>
      </c>
      <c r="K130" s="10">
        <f t="shared" si="11"/>
        <v>0</v>
      </c>
      <c r="L130" s="10">
        <f t="shared" si="12"/>
        <v>293525.11204082967</v>
      </c>
      <c r="M130" s="10">
        <f>'D) Ecrêtage'!C129</f>
        <v>134929.74355072467</v>
      </c>
      <c r="N130" s="10">
        <f t="shared" si="13"/>
        <v>160866.69135110447</v>
      </c>
      <c r="O130" s="57">
        <f t="shared" si="14"/>
        <v>160866.69135110447</v>
      </c>
    </row>
    <row r="131" spans="1:15" s="215" customFormat="1" x14ac:dyDescent="0.25">
      <c r="A131" s="303">
        <f>'A) Base RI'!A132</f>
        <v>5613</v>
      </c>
      <c r="B131" s="220" t="str">
        <f>'A) Base RI'!B132</f>
        <v>Bourg-en-Lavaux</v>
      </c>
      <c r="C131" s="490">
        <v>1</v>
      </c>
      <c r="D131" s="216">
        <f>'B) D RI'!AA132</f>
        <v>5345</v>
      </c>
      <c r="E131" s="217">
        <f>'B) D RI'!S132</f>
        <v>64</v>
      </c>
      <c r="F131" s="10">
        <f>'B) D RI'!R132</f>
        <v>21320119.940000005</v>
      </c>
      <c r="G131" s="10">
        <f>'B) D RI'!U132</f>
        <v>333126.87406250008</v>
      </c>
      <c r="H131" s="41">
        <f>'B) D RI'!T132</f>
        <v>19900079.390000004</v>
      </c>
      <c r="I131" s="10">
        <f t="shared" si="9"/>
        <v>621877.48093750014</v>
      </c>
      <c r="J131" s="31">
        <f t="shared" si="10"/>
        <v>467071.0699190934</v>
      </c>
      <c r="K131" s="10">
        <f t="shared" si="11"/>
        <v>0</v>
      </c>
      <c r="L131" s="10">
        <f t="shared" si="12"/>
        <v>467071.0699190934</v>
      </c>
      <c r="M131" s="10">
        <f>'D) Ecrêtage'!C130</f>
        <v>333126.87406250008</v>
      </c>
      <c r="N131" s="10">
        <f t="shared" si="13"/>
        <v>397162.3796233224</v>
      </c>
      <c r="O131" s="57">
        <f t="shared" si="14"/>
        <v>397162.3796233224</v>
      </c>
    </row>
    <row r="132" spans="1:15" s="215" customFormat="1" x14ac:dyDescent="0.25">
      <c r="A132" s="303">
        <f>'A) Base RI'!A133</f>
        <v>5621</v>
      </c>
      <c r="B132" s="220" t="str">
        <f>'A) Base RI'!B133</f>
        <v>Aclens</v>
      </c>
      <c r="C132" s="490">
        <v>0</v>
      </c>
      <c r="D132" s="216">
        <f>'B) D RI'!AA133</f>
        <v>539</v>
      </c>
      <c r="E132" s="217">
        <f>'B) D RI'!S133</f>
        <v>62</v>
      </c>
      <c r="F132" s="10">
        <f>'B) D RI'!R133</f>
        <v>1705924.1763636363</v>
      </c>
      <c r="G132" s="10">
        <f>'B) D RI'!U133</f>
        <v>27514.906070381232</v>
      </c>
      <c r="H132" s="41">
        <f>'B) D RI'!T133</f>
        <v>1393582.89</v>
      </c>
      <c r="I132" s="10">
        <f t="shared" si="9"/>
        <v>44954.286774193548</v>
      </c>
      <c r="J132" s="31">
        <f t="shared" si="10"/>
        <v>47100.338014292109</v>
      </c>
      <c r="K132" s="10">
        <f t="shared" si="11"/>
        <v>44954.286774193548</v>
      </c>
      <c r="L132" s="10">
        <f t="shared" si="12"/>
        <v>2146.0512400985608</v>
      </c>
      <c r="M132" s="10">
        <f>'D) Ecrêtage'!C131</f>
        <v>27514.906070381232</v>
      </c>
      <c r="N132" s="10">
        <f t="shared" si="13"/>
        <v>32803.974764205181</v>
      </c>
      <c r="O132" s="57">
        <f t="shared" si="14"/>
        <v>77758.261538398729</v>
      </c>
    </row>
    <row r="133" spans="1:15" s="215" customFormat="1" x14ac:dyDescent="0.25">
      <c r="A133" s="303">
        <f>'A) Base RI'!A134</f>
        <v>5622</v>
      </c>
      <c r="B133" s="220" t="str">
        <f>'A) Base RI'!B134</f>
        <v>Bremblens</v>
      </c>
      <c r="C133" s="490">
        <v>0</v>
      </c>
      <c r="D133" s="216">
        <f>'B) D RI'!AA134</f>
        <v>577</v>
      </c>
      <c r="E133" s="217">
        <f>'B) D RI'!S134</f>
        <v>66</v>
      </c>
      <c r="F133" s="10">
        <f>'B) D RI'!R134</f>
        <v>1815340.01</v>
      </c>
      <c r="G133" s="10">
        <f>'B) D RI'!U134</f>
        <v>27505.151666666668</v>
      </c>
      <c r="H133" s="41">
        <f>'B) D RI'!T134</f>
        <v>1665181.61</v>
      </c>
      <c r="I133" s="10">
        <f t="shared" si="9"/>
        <v>50460.04878787879</v>
      </c>
      <c r="J133" s="31">
        <f t="shared" si="10"/>
        <v>50420.955536635527</v>
      </c>
      <c r="K133" s="10">
        <f t="shared" si="11"/>
        <v>50420.955536635527</v>
      </c>
      <c r="L133" s="10">
        <f t="shared" si="12"/>
        <v>0</v>
      </c>
      <c r="M133" s="10">
        <f>'D) Ecrêtage'!C132</f>
        <v>27505.151666666668</v>
      </c>
      <c r="N133" s="10">
        <f t="shared" si="13"/>
        <v>32792.34531460888</v>
      </c>
      <c r="O133" s="57">
        <f t="shared" si="14"/>
        <v>83213.300851244407</v>
      </c>
    </row>
    <row r="134" spans="1:15" s="215" customFormat="1" x14ac:dyDescent="0.25">
      <c r="A134" s="303">
        <f>'A) Base RI'!A135</f>
        <v>5623</v>
      </c>
      <c r="B134" s="220" t="str">
        <f>'A) Base RI'!B135</f>
        <v>Buchillon</v>
      </c>
      <c r="C134" s="490">
        <v>1</v>
      </c>
      <c r="D134" s="216">
        <f>'B) D RI'!AA135</f>
        <v>686</v>
      </c>
      <c r="E134" s="217">
        <f>'B) D RI'!S135</f>
        <v>53</v>
      </c>
      <c r="F134" s="10">
        <f>'B) D RI'!R135</f>
        <v>4758334.5599999987</v>
      </c>
      <c r="G134" s="10">
        <f>'B) D RI'!U135</f>
        <v>89779.897358490547</v>
      </c>
      <c r="H134" s="41">
        <f>'B) D RI'!T135</f>
        <v>4413277.7599999988</v>
      </c>
      <c r="I134" s="10">
        <f t="shared" si="9"/>
        <v>166538.78339622638</v>
      </c>
      <c r="J134" s="31">
        <f t="shared" si="10"/>
        <v>59945.884745462688</v>
      </c>
      <c r="K134" s="10">
        <f t="shared" si="11"/>
        <v>0</v>
      </c>
      <c r="L134" s="10">
        <f t="shared" si="12"/>
        <v>59945.884745462688</v>
      </c>
      <c r="M134" s="10">
        <f>'D) Ecrêtage'!C133</f>
        <v>89779.897358490547</v>
      </c>
      <c r="N134" s="10">
        <f t="shared" si="13"/>
        <v>107037.88992582407</v>
      </c>
      <c r="O134" s="57">
        <f t="shared" si="14"/>
        <v>107037.88992582407</v>
      </c>
    </row>
    <row r="135" spans="1:15" s="215" customFormat="1" x14ac:dyDescent="0.25">
      <c r="A135" s="303">
        <f>'A) Base RI'!A136</f>
        <v>5624</v>
      </c>
      <c r="B135" s="220" t="str">
        <f>'A) Base RI'!B136</f>
        <v>Bussigny</v>
      </c>
      <c r="C135" s="490">
        <v>1</v>
      </c>
      <c r="D135" s="216">
        <f>'B) D RI'!AA136</f>
        <v>8962</v>
      </c>
      <c r="E135" s="217">
        <f>'B) D RI'!S136</f>
        <v>64</v>
      </c>
      <c r="F135" s="10">
        <f>'B) D RI'!R136</f>
        <v>25468859.920000002</v>
      </c>
      <c r="G135" s="10">
        <f>'B) D RI'!U136</f>
        <v>397950.93625000003</v>
      </c>
      <c r="H135" s="41">
        <f>'B) D RI'!T136</f>
        <v>23154625.649999999</v>
      </c>
      <c r="I135" s="10">
        <f t="shared" ref="I135:I198" si="15">+H135/E135*$I$5</f>
        <v>723582.05156249995</v>
      </c>
      <c r="J135" s="31">
        <f t="shared" ref="J135:J198" si="16">+$I$315/$D$315*D135</f>
        <v>783141.42724320199</v>
      </c>
      <c r="K135" s="10">
        <f t="shared" ref="K135:K198" si="17">IF(C135=1,0,IF(J135&gt;I135,I135,J135))</f>
        <v>0</v>
      </c>
      <c r="L135" s="10">
        <f t="shared" ref="L135:L198" si="18">+J135-K135</f>
        <v>783141.42724320199</v>
      </c>
      <c r="M135" s="10">
        <f>'D) Ecrêtage'!C134</f>
        <v>397950.93625000003</v>
      </c>
      <c r="N135" s="10">
        <f t="shared" ref="N135:N198" si="19">+$N$5*M135</f>
        <v>474447.28456439718</v>
      </c>
      <c r="O135" s="57">
        <f t="shared" ref="O135:O198" si="20">+N135+K135</f>
        <v>474447.28456439718</v>
      </c>
    </row>
    <row r="136" spans="1:15" s="215" customFormat="1" x14ac:dyDescent="0.25">
      <c r="A136" s="303">
        <f>'A) Base RI'!A137</f>
        <v>5625</v>
      </c>
      <c r="B136" s="220" t="str">
        <f>'A) Base RI'!B137</f>
        <v>Bussy-Chardonney</v>
      </c>
      <c r="C136" s="490">
        <v>0</v>
      </c>
      <c r="D136" s="216">
        <f>'B) D RI'!AA137</f>
        <v>384</v>
      </c>
      <c r="E136" s="217">
        <f>'B) D RI'!S137</f>
        <v>77</v>
      </c>
      <c r="F136" s="10">
        <f>'B) D RI'!R137</f>
        <v>1294215.2233333332</v>
      </c>
      <c r="G136" s="10">
        <f>'B) D RI'!U137</f>
        <v>16807.989913419911</v>
      </c>
      <c r="H136" s="41">
        <f>'B) D RI'!T137</f>
        <v>1193931.8899999999</v>
      </c>
      <c r="I136" s="10">
        <f t="shared" si="15"/>
        <v>31011.217922077918</v>
      </c>
      <c r="J136" s="31">
        <f t="shared" si="16"/>
        <v>33555.713909996608</v>
      </c>
      <c r="K136" s="10">
        <f t="shared" si="17"/>
        <v>31011.217922077918</v>
      </c>
      <c r="L136" s="10">
        <f t="shared" si="18"/>
        <v>2544.4959879186899</v>
      </c>
      <c r="M136" s="10">
        <f>'D) Ecrêtage'!C135</f>
        <v>16807.989913419911</v>
      </c>
      <c r="N136" s="10">
        <f t="shared" si="19"/>
        <v>20038.915471725704</v>
      </c>
      <c r="O136" s="57">
        <f t="shared" si="20"/>
        <v>51050.133393803626</v>
      </c>
    </row>
    <row r="137" spans="1:15" s="215" customFormat="1" x14ac:dyDescent="0.25">
      <c r="A137" s="303">
        <f>'A) Base RI'!A138</f>
        <v>5627</v>
      </c>
      <c r="B137" s="220" t="str">
        <f>'A) Base RI'!B138</f>
        <v>Chavannes-près-Renens</v>
      </c>
      <c r="C137" s="490">
        <v>1</v>
      </c>
      <c r="D137" s="216">
        <f>'B) D RI'!AA138</f>
        <v>7887</v>
      </c>
      <c r="E137" s="217">
        <f>'B) D RI'!S138</f>
        <v>79</v>
      </c>
      <c r="F137" s="10">
        <f>'B) D RI'!R138</f>
        <v>16746130.866666665</v>
      </c>
      <c r="G137" s="10">
        <f>'B) D RI'!U138</f>
        <v>211976.34008438818</v>
      </c>
      <c r="H137" s="41">
        <f>'B) D RI'!T138</f>
        <v>15389405.599999998</v>
      </c>
      <c r="I137" s="10">
        <f t="shared" si="15"/>
        <v>389605.20506329107</v>
      </c>
      <c r="J137" s="31">
        <f t="shared" si="16"/>
        <v>689202.90522953973</v>
      </c>
      <c r="K137" s="10">
        <f t="shared" si="17"/>
        <v>0</v>
      </c>
      <c r="L137" s="10">
        <f t="shared" si="18"/>
        <v>689202.90522953973</v>
      </c>
      <c r="M137" s="10">
        <f>'D) Ecrêtage'!C136</f>
        <v>211976.34008438818</v>
      </c>
      <c r="N137" s="10">
        <f t="shared" si="19"/>
        <v>252723.61435470087</v>
      </c>
      <c r="O137" s="57">
        <f t="shared" si="20"/>
        <v>252723.61435470087</v>
      </c>
    </row>
    <row r="138" spans="1:15" s="215" customFormat="1" x14ac:dyDescent="0.25">
      <c r="A138" s="303">
        <f>'A) Base RI'!A139</f>
        <v>5628</v>
      </c>
      <c r="B138" s="220" t="str">
        <f>'A) Base RI'!B139</f>
        <v>Chigny</v>
      </c>
      <c r="C138" s="490">
        <v>0</v>
      </c>
      <c r="D138" s="216">
        <f>'B) D RI'!AA139</f>
        <v>382</v>
      </c>
      <c r="E138" s="217">
        <f>'B) D RI'!S139</f>
        <v>62</v>
      </c>
      <c r="F138" s="10">
        <f>'B) D RI'!R139</f>
        <v>1388239.57</v>
      </c>
      <c r="G138" s="10">
        <f>'B) D RI'!U139</f>
        <v>22390.960806451614</v>
      </c>
      <c r="H138" s="41">
        <f>'B) D RI'!T139</f>
        <v>1292774.3700000001</v>
      </c>
      <c r="I138" s="10">
        <f t="shared" si="15"/>
        <v>41702.399032258065</v>
      </c>
      <c r="J138" s="31">
        <f t="shared" si="16"/>
        <v>33380.94456671537</v>
      </c>
      <c r="K138" s="10">
        <f t="shared" si="17"/>
        <v>33380.94456671537</v>
      </c>
      <c r="L138" s="10">
        <f t="shared" si="18"/>
        <v>0</v>
      </c>
      <c r="M138" s="10">
        <f>'D) Ecrêtage'!C137</f>
        <v>22390.960806451614</v>
      </c>
      <c r="N138" s="10">
        <f t="shared" si="19"/>
        <v>26695.076165708637</v>
      </c>
      <c r="O138" s="57">
        <f t="shared" si="20"/>
        <v>60076.020732424004</v>
      </c>
    </row>
    <row r="139" spans="1:15" s="215" customFormat="1" x14ac:dyDescent="0.25">
      <c r="A139" s="303">
        <f>'A) Base RI'!A140</f>
        <v>5629</v>
      </c>
      <c r="B139" s="220" t="str">
        <f>'A) Base RI'!B140</f>
        <v>Clarmont</v>
      </c>
      <c r="C139" s="490">
        <v>0</v>
      </c>
      <c r="D139" s="216">
        <f>'B) D RI'!AA140</f>
        <v>191</v>
      </c>
      <c r="E139" s="217">
        <f>'B) D RI'!S140</f>
        <v>75</v>
      </c>
      <c r="F139" s="10">
        <f>'B) D RI'!R140</f>
        <v>507534.32999999996</v>
      </c>
      <c r="G139" s="10">
        <f>'B) D RI'!U140</f>
        <v>6767.1243999999997</v>
      </c>
      <c r="H139" s="41">
        <f>'B) D RI'!T140</f>
        <v>470257.68</v>
      </c>
      <c r="I139" s="10">
        <f t="shared" si="15"/>
        <v>12540.2048</v>
      </c>
      <c r="J139" s="31">
        <f t="shared" si="16"/>
        <v>16690.472283357685</v>
      </c>
      <c r="K139" s="10">
        <f t="shared" si="17"/>
        <v>12540.2048</v>
      </c>
      <c r="L139" s="10">
        <f t="shared" si="18"/>
        <v>4150.2674833576857</v>
      </c>
      <c r="M139" s="10">
        <f>'D) Ecrêtage'!C138</f>
        <v>6767.1243999999997</v>
      </c>
      <c r="N139" s="10">
        <f t="shared" si="19"/>
        <v>8067.9387920135223</v>
      </c>
      <c r="O139" s="57">
        <f t="shared" si="20"/>
        <v>20608.143592013523</v>
      </c>
    </row>
    <row r="140" spans="1:15" s="215" customFormat="1" x14ac:dyDescent="0.25">
      <c r="A140" s="303">
        <f>'A) Base RI'!A141</f>
        <v>5631</v>
      </c>
      <c r="B140" s="220" t="str">
        <f>'A) Base RI'!B141</f>
        <v>Denens</v>
      </c>
      <c r="C140" s="490">
        <v>0</v>
      </c>
      <c r="D140" s="216">
        <f>'B) D RI'!AA141</f>
        <v>742</v>
      </c>
      <c r="E140" s="217">
        <f>'B) D RI'!S141</f>
        <v>70</v>
      </c>
      <c r="F140" s="10">
        <f>'B) D RI'!R141</f>
        <v>3603311.14</v>
      </c>
      <c r="G140" s="10">
        <f>'B) D RI'!U141</f>
        <v>51475.873428571431</v>
      </c>
      <c r="H140" s="41">
        <f>'B) D RI'!T141</f>
        <v>3397545.04</v>
      </c>
      <c r="I140" s="10">
        <f t="shared" si="15"/>
        <v>97072.715428571435</v>
      </c>
      <c r="J140" s="31">
        <f t="shared" si="16"/>
        <v>64839.426357337194</v>
      </c>
      <c r="K140" s="10">
        <f t="shared" si="17"/>
        <v>64839.426357337194</v>
      </c>
      <c r="L140" s="10">
        <f t="shared" si="18"/>
        <v>0</v>
      </c>
      <c r="M140" s="10">
        <f>'D) Ecrêtage'!C139</f>
        <v>51475.873428571431</v>
      </c>
      <c r="N140" s="10">
        <f t="shared" si="19"/>
        <v>61370.852896859644</v>
      </c>
      <c r="O140" s="57">
        <f t="shared" si="20"/>
        <v>126210.27925419684</v>
      </c>
    </row>
    <row r="141" spans="1:15" s="215" customFormat="1" x14ac:dyDescent="0.25">
      <c r="A141" s="303">
        <f>'A) Base RI'!A142</f>
        <v>5632</v>
      </c>
      <c r="B141" s="220" t="str">
        <f>'A) Base RI'!B142</f>
        <v>Denges</v>
      </c>
      <c r="C141" s="490">
        <v>0</v>
      </c>
      <c r="D141" s="216">
        <f>'B) D RI'!AA142</f>
        <v>1609</v>
      </c>
      <c r="E141" s="217">
        <f>'B) D RI'!S142</f>
        <v>62</v>
      </c>
      <c r="F141" s="10">
        <f>'B) D RI'!R142</f>
        <v>4525504.5699999984</v>
      </c>
      <c r="G141" s="10">
        <f>'B) D RI'!U142</f>
        <v>72992.009193548365</v>
      </c>
      <c r="H141" s="41">
        <f>'B) D RI'!T142</f>
        <v>4158721.169999999</v>
      </c>
      <c r="I141" s="10">
        <f t="shared" si="15"/>
        <v>134152.29580645158</v>
      </c>
      <c r="J141" s="31">
        <f t="shared" si="16"/>
        <v>140601.93666975139</v>
      </c>
      <c r="K141" s="10">
        <f t="shared" si="17"/>
        <v>134152.29580645158</v>
      </c>
      <c r="L141" s="10">
        <f t="shared" si="18"/>
        <v>6449.6408632998064</v>
      </c>
      <c r="M141" s="10">
        <f>'D) Ecrêtage'!C140</f>
        <v>72992.009193548365</v>
      </c>
      <c r="N141" s="10">
        <f t="shared" si="19"/>
        <v>87022.940272774737</v>
      </c>
      <c r="O141" s="57">
        <f t="shared" si="20"/>
        <v>221175.23607922631</v>
      </c>
    </row>
    <row r="142" spans="1:15" s="215" customFormat="1" x14ac:dyDescent="0.25">
      <c r="A142" s="303">
        <f>'A) Base RI'!A143</f>
        <v>5633</v>
      </c>
      <c r="B142" s="220" t="str">
        <f>'A) Base RI'!B143</f>
        <v>Echandens</v>
      </c>
      <c r="C142" s="490">
        <v>0</v>
      </c>
      <c r="D142" s="216">
        <f>'B) D RI'!AA143</f>
        <v>2739</v>
      </c>
      <c r="E142" s="217">
        <f>'B) D RI'!S143</f>
        <v>62</v>
      </c>
      <c r="F142" s="10">
        <f>'B) D RI'!R143</f>
        <v>9975942.6299999971</v>
      </c>
      <c r="G142" s="10">
        <f>'B) D RI'!U143</f>
        <v>160902.30048387093</v>
      </c>
      <c r="H142" s="41">
        <f>'B) D RI'!T143</f>
        <v>9314108.7299999986</v>
      </c>
      <c r="I142" s="10">
        <f t="shared" si="15"/>
        <v>300455.12032258062</v>
      </c>
      <c r="J142" s="31">
        <f t="shared" si="16"/>
        <v>239346.61562364767</v>
      </c>
      <c r="K142" s="10">
        <f t="shared" si="17"/>
        <v>239346.61562364767</v>
      </c>
      <c r="L142" s="10">
        <f t="shared" si="18"/>
        <v>0</v>
      </c>
      <c r="M142" s="10">
        <f>'D) Ecrêtage'!C141</f>
        <v>160902.30048387093</v>
      </c>
      <c r="N142" s="10">
        <f t="shared" si="19"/>
        <v>191831.83802532704</v>
      </c>
      <c r="O142" s="57">
        <f t="shared" si="20"/>
        <v>431178.45364897471</v>
      </c>
    </row>
    <row r="143" spans="1:15" s="215" customFormat="1" x14ac:dyDescent="0.25">
      <c r="A143" s="303">
        <f>'A) Base RI'!A144</f>
        <v>5634</v>
      </c>
      <c r="B143" s="220" t="str">
        <f>'A) Base RI'!B144</f>
        <v>Echichens</v>
      </c>
      <c r="C143" s="490">
        <v>0</v>
      </c>
      <c r="D143" s="216">
        <f>'B) D RI'!AA144</f>
        <v>3077</v>
      </c>
      <c r="E143" s="217">
        <f>'B) D RI'!S144</f>
        <v>68</v>
      </c>
      <c r="F143" s="10">
        <f>'B) D RI'!R144</f>
        <v>11781204.529999999</v>
      </c>
      <c r="G143" s="10">
        <f>'B) D RI'!U144</f>
        <v>173253.00779411764</v>
      </c>
      <c r="H143" s="41">
        <f>'B) D RI'!T144</f>
        <v>11166365.73</v>
      </c>
      <c r="I143" s="10">
        <f t="shared" si="15"/>
        <v>328422.52147058822</v>
      </c>
      <c r="J143" s="31">
        <f t="shared" si="16"/>
        <v>268882.63463817595</v>
      </c>
      <c r="K143" s="10">
        <f t="shared" si="17"/>
        <v>268882.63463817595</v>
      </c>
      <c r="L143" s="10">
        <f t="shared" si="18"/>
        <v>0</v>
      </c>
      <c r="M143" s="10">
        <f>'D) Ecrêtage'!C142</f>
        <v>173253.00779411764</v>
      </c>
      <c r="N143" s="10">
        <f t="shared" si="19"/>
        <v>206556.66717390076</v>
      </c>
      <c r="O143" s="57">
        <f t="shared" si="20"/>
        <v>475439.30181207671</v>
      </c>
    </row>
    <row r="144" spans="1:15" s="215" customFormat="1" x14ac:dyDescent="0.25">
      <c r="A144" s="303">
        <f>'A) Base RI'!A145</f>
        <v>5635</v>
      </c>
      <c r="B144" s="220" t="str">
        <f>'A) Base RI'!B145</f>
        <v>Ecublens</v>
      </c>
      <c r="C144" s="490">
        <v>1</v>
      </c>
      <c r="D144" s="216">
        <f>'B) D RI'!AA145</f>
        <v>13089</v>
      </c>
      <c r="E144" s="217">
        <f>'B) D RI'!S145</f>
        <v>64</v>
      </c>
      <c r="F144" s="10">
        <f>'B) D RI'!R145</f>
        <v>31323401.314999998</v>
      </c>
      <c r="G144" s="10">
        <f>'B) D RI'!U145</f>
        <v>489428.14554687496</v>
      </c>
      <c r="H144" s="41">
        <f>'B) D RI'!T145</f>
        <v>28586864.789999999</v>
      </c>
      <c r="I144" s="10">
        <f t="shared" si="15"/>
        <v>893339.52468749997</v>
      </c>
      <c r="J144" s="31">
        <f t="shared" si="16"/>
        <v>1143777.967104025</v>
      </c>
      <c r="K144" s="10">
        <f t="shared" si="17"/>
        <v>0</v>
      </c>
      <c r="L144" s="10">
        <f t="shared" si="18"/>
        <v>1143777.967104025</v>
      </c>
      <c r="M144" s="10">
        <f>'D) Ecrêtage'!C143</f>
        <v>489428.14554687496</v>
      </c>
      <c r="N144" s="10">
        <f t="shared" si="19"/>
        <v>583508.7531952085</v>
      </c>
      <c r="O144" s="57">
        <f t="shared" si="20"/>
        <v>583508.7531952085</v>
      </c>
    </row>
    <row r="145" spans="1:15" s="215" customFormat="1" x14ac:dyDescent="0.25">
      <c r="A145" s="303">
        <f>'A) Base RI'!A146</f>
        <v>5636</v>
      </c>
      <c r="B145" s="220" t="str">
        <f>'A) Base RI'!B146</f>
        <v>Etoy</v>
      </c>
      <c r="C145" s="490">
        <v>0</v>
      </c>
      <c r="D145" s="216">
        <f>'B) D RI'!AA146</f>
        <v>2933</v>
      </c>
      <c r="E145" s="217">
        <f>'B) D RI'!S146</f>
        <v>61</v>
      </c>
      <c r="F145" s="10">
        <f>'B) D RI'!R146</f>
        <v>10751378.210000001</v>
      </c>
      <c r="G145" s="10">
        <f>'B) D RI'!U146</f>
        <v>176252.1018032787</v>
      </c>
      <c r="H145" s="41">
        <f>'B) D RI'!T146</f>
        <v>9314775.1100000013</v>
      </c>
      <c r="I145" s="10">
        <f t="shared" si="15"/>
        <v>305402.46262295084</v>
      </c>
      <c r="J145" s="31">
        <f t="shared" si="16"/>
        <v>256299.2419219272</v>
      </c>
      <c r="K145" s="10">
        <f t="shared" si="17"/>
        <v>256299.2419219272</v>
      </c>
      <c r="L145" s="10">
        <f t="shared" si="18"/>
        <v>0</v>
      </c>
      <c r="M145" s="10">
        <f>'D) Ecrêtage'!C144</f>
        <v>176252.1018032787</v>
      </c>
      <c r="N145" s="10">
        <f t="shared" si="19"/>
        <v>210132.26375926955</v>
      </c>
      <c r="O145" s="57">
        <f t="shared" si="20"/>
        <v>466431.50568119675</v>
      </c>
    </row>
    <row r="146" spans="1:15" s="215" customFormat="1" x14ac:dyDescent="0.25">
      <c r="A146" s="303">
        <f>'A) Base RI'!A147</f>
        <v>5637</v>
      </c>
      <c r="B146" s="220" t="str">
        <f>'A) Base RI'!B147</f>
        <v>Lavigny</v>
      </c>
      <c r="C146" s="490">
        <v>0</v>
      </c>
      <c r="D146" s="216">
        <f>'B) D RI'!AA147</f>
        <v>992</v>
      </c>
      <c r="E146" s="217">
        <f>'B) D RI'!S147</f>
        <v>74.5</v>
      </c>
      <c r="F146" s="10">
        <f>'B) D RI'!R147</f>
        <v>2770871.0333333337</v>
      </c>
      <c r="G146" s="10">
        <f>'B) D RI'!U147</f>
        <v>37192.899776286358</v>
      </c>
      <c r="H146" s="41">
        <f>'B) D RI'!T147</f>
        <v>2575962.6500000004</v>
      </c>
      <c r="I146" s="10">
        <f t="shared" si="15"/>
        <v>69153.359731543635</v>
      </c>
      <c r="J146" s="31">
        <f t="shared" si="16"/>
        <v>86685.594267491237</v>
      </c>
      <c r="K146" s="10">
        <f t="shared" si="17"/>
        <v>69153.359731543635</v>
      </c>
      <c r="L146" s="10">
        <f t="shared" si="18"/>
        <v>17532.234535947602</v>
      </c>
      <c r="M146" s="10">
        <f>'D) Ecrêtage'!C145</f>
        <v>37192.899776286358</v>
      </c>
      <c r="N146" s="10">
        <f t="shared" si="19"/>
        <v>44342.326393847849</v>
      </c>
      <c r="O146" s="57">
        <f t="shared" si="20"/>
        <v>113495.68612539148</v>
      </c>
    </row>
    <row r="147" spans="1:15" s="215" customFormat="1" x14ac:dyDescent="0.25">
      <c r="A147" s="303">
        <f>'A) Base RI'!A148</f>
        <v>5638</v>
      </c>
      <c r="B147" s="220" t="str">
        <f>'A) Base RI'!B148</f>
        <v>Lonay</v>
      </c>
      <c r="C147" s="490">
        <v>0</v>
      </c>
      <c r="D147" s="216">
        <f>'B) D RI'!AA148</f>
        <v>2676</v>
      </c>
      <c r="E147" s="217">
        <f>'B) D RI'!S148</f>
        <v>55</v>
      </c>
      <c r="F147" s="10">
        <f>'B) D RI'!R148</f>
        <v>8642589.1500000004</v>
      </c>
      <c r="G147" s="10">
        <f>'B) D RI'!U148</f>
        <v>157137.98454545456</v>
      </c>
      <c r="H147" s="41">
        <f>'B) D RI'!T148</f>
        <v>7935160.1000000006</v>
      </c>
      <c r="I147" s="10">
        <f t="shared" si="15"/>
        <v>288551.27636363637</v>
      </c>
      <c r="J147" s="31">
        <f t="shared" si="16"/>
        <v>233841.38131028885</v>
      </c>
      <c r="K147" s="10">
        <f t="shared" si="17"/>
        <v>233841.38131028885</v>
      </c>
      <c r="L147" s="10">
        <f t="shared" si="18"/>
        <v>0</v>
      </c>
      <c r="M147" s="10">
        <f>'D) Ecrêtage'!C146</f>
        <v>157137.98454545456</v>
      </c>
      <c r="N147" s="10">
        <f t="shared" si="19"/>
        <v>187343.92428386485</v>
      </c>
      <c r="O147" s="57">
        <f t="shared" si="20"/>
        <v>421185.3055941537</v>
      </c>
    </row>
    <row r="148" spans="1:15" s="215" customFormat="1" x14ac:dyDescent="0.25">
      <c r="A148" s="303">
        <f>'A) Base RI'!A149</f>
        <v>5639</v>
      </c>
      <c r="B148" s="220" t="str">
        <f>'A) Base RI'!B149</f>
        <v>Lully</v>
      </c>
      <c r="C148" s="490">
        <v>0</v>
      </c>
      <c r="D148" s="216">
        <f>'B) D RI'!AA149</f>
        <v>818</v>
      </c>
      <c r="E148" s="217">
        <f>'B) D RI'!S149</f>
        <v>61</v>
      </c>
      <c r="F148" s="10">
        <f>'B) D RI'!R149</f>
        <v>2877762.3400000003</v>
      </c>
      <c r="G148" s="10">
        <f>'B) D RI'!U149</f>
        <v>47176.43180327869</v>
      </c>
      <c r="H148" s="41">
        <f>'B) D RI'!T149</f>
        <v>2678267.6100000003</v>
      </c>
      <c r="I148" s="10">
        <f t="shared" si="15"/>
        <v>87812.052786885251</v>
      </c>
      <c r="J148" s="31">
        <f t="shared" si="16"/>
        <v>71480.661402024023</v>
      </c>
      <c r="K148" s="10">
        <f t="shared" si="17"/>
        <v>71480.661402024023</v>
      </c>
      <c r="L148" s="10">
        <f t="shared" si="18"/>
        <v>0</v>
      </c>
      <c r="M148" s="10">
        <f>'D) Ecrêtage'!C147</f>
        <v>47176.43180327869</v>
      </c>
      <c r="N148" s="10">
        <f t="shared" si="19"/>
        <v>56244.94862462594</v>
      </c>
      <c r="O148" s="57">
        <f t="shared" si="20"/>
        <v>127725.61002664996</v>
      </c>
    </row>
    <row r="149" spans="1:15" s="215" customFormat="1" x14ac:dyDescent="0.25">
      <c r="A149" s="303">
        <f>'A) Base RI'!A150</f>
        <v>5640</v>
      </c>
      <c r="B149" s="220" t="str">
        <f>'A) Base RI'!B150</f>
        <v>Lussy-sur-Morges</v>
      </c>
      <c r="C149" s="490">
        <v>1</v>
      </c>
      <c r="D149" s="216">
        <f>'B) D RI'!AA150</f>
        <v>696</v>
      </c>
      <c r="E149" s="217">
        <f>'B) D RI'!S150</f>
        <v>66</v>
      </c>
      <c r="F149" s="10">
        <f>'B) D RI'!R150</f>
        <v>4052430.14</v>
      </c>
      <c r="G149" s="10">
        <f>'B) D RI'!U150</f>
        <v>61400.456666666665</v>
      </c>
      <c r="H149" s="41">
        <f>'B) D RI'!T150</f>
        <v>3855725.64</v>
      </c>
      <c r="I149" s="10">
        <f t="shared" si="15"/>
        <v>116840.17090909091</v>
      </c>
      <c r="J149" s="31">
        <f t="shared" si="16"/>
        <v>60819.731461868847</v>
      </c>
      <c r="K149" s="10">
        <f t="shared" si="17"/>
        <v>0</v>
      </c>
      <c r="L149" s="10">
        <f t="shared" si="18"/>
        <v>60819.731461868847</v>
      </c>
      <c r="M149" s="10">
        <f>'D) Ecrêtage'!C148</f>
        <v>61400.456666666665</v>
      </c>
      <c r="N149" s="10">
        <f t="shared" si="19"/>
        <v>73203.194873784989</v>
      </c>
      <c r="O149" s="57">
        <f t="shared" si="20"/>
        <v>73203.194873784989</v>
      </c>
    </row>
    <row r="150" spans="1:15" s="215" customFormat="1" x14ac:dyDescent="0.25">
      <c r="A150" s="303">
        <f>'A) Base RI'!A151</f>
        <v>5642</v>
      </c>
      <c r="B150" s="220" t="str">
        <f>'A) Base RI'!B151</f>
        <v>Morges</v>
      </c>
      <c r="C150" s="490">
        <v>1</v>
      </c>
      <c r="D150" s="216">
        <f>'B) D RI'!AA151</f>
        <v>15862</v>
      </c>
      <c r="E150" s="217">
        <f>'B) D RI'!S151</f>
        <v>68.5</v>
      </c>
      <c r="F150" s="10">
        <f>'B) D RI'!R151</f>
        <v>57684863.449999996</v>
      </c>
      <c r="G150" s="10">
        <f>'B) D RI'!U151</f>
        <v>842114.79489051085</v>
      </c>
      <c r="H150" s="41">
        <f>'B) D RI'!T151</f>
        <v>54027552.999999993</v>
      </c>
      <c r="I150" s="10">
        <f t="shared" si="15"/>
        <v>1577446.8029197077</v>
      </c>
      <c r="J150" s="31">
        <f t="shared" si="16"/>
        <v>1386095.6615634535</v>
      </c>
      <c r="K150" s="10">
        <f t="shared" si="17"/>
        <v>0</v>
      </c>
      <c r="L150" s="10">
        <f t="shared" si="18"/>
        <v>1386095.6615634535</v>
      </c>
      <c r="M150" s="10">
        <f>'D) Ecrêtage'!C149</f>
        <v>842114.79489051085</v>
      </c>
      <c r="N150" s="10">
        <f t="shared" si="19"/>
        <v>1003990.7971878962</v>
      </c>
      <c r="O150" s="57">
        <f t="shared" si="20"/>
        <v>1003990.7971878962</v>
      </c>
    </row>
    <row r="151" spans="1:15" s="215" customFormat="1" x14ac:dyDescent="0.25">
      <c r="A151" s="303">
        <f>'A) Base RI'!A152</f>
        <v>5643</v>
      </c>
      <c r="B151" s="220" t="str">
        <f>'A) Base RI'!B152</f>
        <v>Préverenges</v>
      </c>
      <c r="C151" s="490">
        <v>1</v>
      </c>
      <c r="D151" s="216">
        <f>'B) D RI'!AA152</f>
        <v>5243</v>
      </c>
      <c r="E151" s="217">
        <f>'B) D RI'!S152</f>
        <v>64</v>
      </c>
      <c r="F151" s="10">
        <f>'B) D RI'!R152</f>
        <v>16599344.68</v>
      </c>
      <c r="G151" s="10">
        <f>'B) D RI'!U152</f>
        <v>259364.760625</v>
      </c>
      <c r="H151" s="41">
        <f>'B) D RI'!T152</f>
        <v>15385307.029999999</v>
      </c>
      <c r="I151" s="10">
        <f t="shared" si="15"/>
        <v>480790.84468749998</v>
      </c>
      <c r="J151" s="31">
        <f t="shared" si="16"/>
        <v>458157.83341175056</v>
      </c>
      <c r="K151" s="10">
        <f t="shared" si="17"/>
        <v>0</v>
      </c>
      <c r="L151" s="10">
        <f t="shared" si="18"/>
        <v>458157.83341175056</v>
      </c>
      <c r="M151" s="10">
        <f>'D) Ecrêtage'!C150</f>
        <v>259364.760625</v>
      </c>
      <c r="N151" s="10">
        <f t="shared" si="19"/>
        <v>309221.30137399852</v>
      </c>
      <c r="O151" s="57">
        <f t="shared" si="20"/>
        <v>309221.30137399852</v>
      </c>
    </row>
    <row r="152" spans="1:15" s="215" customFormat="1" x14ac:dyDescent="0.25">
      <c r="A152" s="303">
        <f>'A) Base RI'!A153</f>
        <v>5644</v>
      </c>
      <c r="B152" s="220" t="str">
        <f>'A) Base RI'!B153</f>
        <v>Reverolle</v>
      </c>
      <c r="C152" s="490">
        <v>0</v>
      </c>
      <c r="D152" s="216">
        <f>'B) D RI'!AA153</f>
        <v>413</v>
      </c>
      <c r="E152" s="217">
        <f>'B) D RI'!S153</f>
        <v>76</v>
      </c>
      <c r="F152" s="10">
        <f>'B) D RI'!R153</f>
        <v>1281339.5299999998</v>
      </c>
      <c r="G152" s="10">
        <f>'B) D RI'!U153</f>
        <v>16859.730657894735</v>
      </c>
      <c r="H152" s="41">
        <f>'B) D RI'!T153</f>
        <v>1201942.0799999998</v>
      </c>
      <c r="I152" s="10">
        <f t="shared" si="15"/>
        <v>31630.054736842099</v>
      </c>
      <c r="J152" s="31">
        <f t="shared" si="16"/>
        <v>36089.869387574472</v>
      </c>
      <c r="K152" s="10">
        <f t="shared" si="17"/>
        <v>31630.054736842099</v>
      </c>
      <c r="L152" s="10">
        <f t="shared" si="18"/>
        <v>4459.8146507323727</v>
      </c>
      <c r="M152" s="10">
        <f>'D) Ecrêtage'!C151</f>
        <v>16859.730657894735</v>
      </c>
      <c r="N152" s="10">
        <f t="shared" si="19"/>
        <v>20100.602110658496</v>
      </c>
      <c r="O152" s="57">
        <f t="shared" si="20"/>
        <v>51730.656847500592</v>
      </c>
    </row>
    <row r="153" spans="1:15" s="215" customFormat="1" x14ac:dyDescent="0.25">
      <c r="A153" s="303">
        <f>'A) Base RI'!A154</f>
        <v>5645</v>
      </c>
      <c r="B153" s="220" t="str">
        <f>'A) Base RI'!B154</f>
        <v>Romanel-sur-Morges</v>
      </c>
      <c r="C153" s="490">
        <v>0</v>
      </c>
      <c r="D153" s="216">
        <f>'B) D RI'!AA154</f>
        <v>470</v>
      </c>
      <c r="E153" s="217">
        <f>'B) D RI'!S154</f>
        <v>56</v>
      </c>
      <c r="F153" s="10">
        <f>'B) D RI'!R154</f>
        <v>1665638.9200000002</v>
      </c>
      <c r="G153" s="10">
        <f>'B) D RI'!U154</f>
        <v>29743.552142857145</v>
      </c>
      <c r="H153" s="41">
        <f>'B) D RI'!T154</f>
        <v>1487199.37</v>
      </c>
      <c r="I153" s="10">
        <f t="shared" si="15"/>
        <v>53114.263214285718</v>
      </c>
      <c r="J153" s="31">
        <f t="shared" si="16"/>
        <v>41070.795671089596</v>
      </c>
      <c r="K153" s="10">
        <f t="shared" si="17"/>
        <v>41070.795671089596</v>
      </c>
      <c r="L153" s="10">
        <f t="shared" si="18"/>
        <v>0</v>
      </c>
      <c r="M153" s="10">
        <f>'D) Ecrêtage'!C152</f>
        <v>29743.552142857145</v>
      </c>
      <c r="N153" s="10">
        <f t="shared" si="19"/>
        <v>35461.023613757432</v>
      </c>
      <c r="O153" s="57">
        <f t="shared" si="20"/>
        <v>76531.819284847035</v>
      </c>
    </row>
    <row r="154" spans="1:15" s="215" customFormat="1" x14ac:dyDescent="0.25">
      <c r="A154" s="303">
        <f>'A) Base RI'!A155</f>
        <v>5646</v>
      </c>
      <c r="B154" s="220" t="str">
        <f>'A) Base RI'!B155</f>
        <v>Saint-Prex</v>
      </c>
      <c r="C154" s="490">
        <v>1</v>
      </c>
      <c r="D154" s="216">
        <f>'B) D RI'!AA155</f>
        <v>5774</v>
      </c>
      <c r="E154" s="217">
        <f>'B) D RI'!S155</f>
        <v>55</v>
      </c>
      <c r="F154" s="10">
        <f>'B) D RI'!R155</f>
        <v>23049589.039999995</v>
      </c>
      <c r="G154" s="10">
        <f>'B) D RI'!U155</f>
        <v>419083.43709090899</v>
      </c>
      <c r="H154" s="41">
        <f>'B) D RI'!T155</f>
        <v>21323023.489999998</v>
      </c>
      <c r="I154" s="10">
        <f t="shared" si="15"/>
        <v>775382.67236363632</v>
      </c>
      <c r="J154" s="31">
        <f t="shared" si="16"/>
        <v>504559.09405291773</v>
      </c>
      <c r="K154" s="10">
        <f t="shared" si="17"/>
        <v>0</v>
      </c>
      <c r="L154" s="10">
        <f t="shared" si="18"/>
        <v>504559.09405291773</v>
      </c>
      <c r="M154" s="10">
        <f>'D) Ecrêtage'!C153</f>
        <v>419083.43709090899</v>
      </c>
      <c r="N154" s="10">
        <f t="shared" si="19"/>
        <v>499641.9925716311</v>
      </c>
      <c r="O154" s="57">
        <f t="shared" si="20"/>
        <v>499641.9925716311</v>
      </c>
    </row>
    <row r="155" spans="1:15" s="215" customFormat="1" x14ac:dyDescent="0.25">
      <c r="A155" s="303">
        <f>'A) Base RI'!A156</f>
        <v>5648</v>
      </c>
      <c r="B155" s="220" t="str">
        <f>'A) Base RI'!B156</f>
        <v>Saint-Sulpice</v>
      </c>
      <c r="C155" s="490">
        <v>1</v>
      </c>
      <c r="D155" s="216">
        <f>'B) D RI'!AA156</f>
        <v>4717</v>
      </c>
      <c r="E155" s="217">
        <f>'B) D RI'!S156</f>
        <v>55</v>
      </c>
      <c r="F155" s="10">
        <f>'B) D RI'!R156</f>
        <v>21090942.090000004</v>
      </c>
      <c r="G155" s="10">
        <f>'B) D RI'!U156</f>
        <v>383471.67436363641</v>
      </c>
      <c r="H155" s="41">
        <f>'B) D RI'!T156</f>
        <v>19482683.090000004</v>
      </c>
      <c r="I155" s="10">
        <f t="shared" si="15"/>
        <v>708461.20327272743</v>
      </c>
      <c r="J155" s="31">
        <f t="shared" si="16"/>
        <v>412193.49612878641</v>
      </c>
      <c r="K155" s="10">
        <f t="shared" si="17"/>
        <v>0</v>
      </c>
      <c r="L155" s="10">
        <f t="shared" si="18"/>
        <v>412193.49612878641</v>
      </c>
      <c r="M155" s="10">
        <f>'D) Ecrêtage'!C154</f>
        <v>383471.67436363641</v>
      </c>
      <c r="N155" s="10">
        <f t="shared" si="19"/>
        <v>457184.73820826464</v>
      </c>
      <c r="O155" s="57">
        <f t="shared" si="20"/>
        <v>457184.73820826464</v>
      </c>
    </row>
    <row r="156" spans="1:15" s="215" customFormat="1" x14ac:dyDescent="0.25">
      <c r="A156" s="303">
        <f>'A) Base RI'!A157</f>
        <v>5649</v>
      </c>
      <c r="B156" s="220" t="str">
        <f>'A) Base RI'!B157</f>
        <v>Tolochenaz</v>
      </c>
      <c r="C156" s="490">
        <v>1</v>
      </c>
      <c r="D156" s="216">
        <f>'B) D RI'!AA157</f>
        <v>1907</v>
      </c>
      <c r="E156" s="217">
        <f>'B) D RI'!S157</f>
        <v>65</v>
      </c>
      <c r="F156" s="10">
        <f>'B) D RI'!R157</f>
        <v>7136625</v>
      </c>
      <c r="G156" s="10">
        <f>'B) D RI'!U157</f>
        <v>109794.23076923077</v>
      </c>
      <c r="H156" s="41">
        <f>'B) D RI'!T157</f>
        <v>6517885.2000000002</v>
      </c>
      <c r="I156" s="10">
        <f t="shared" si="15"/>
        <v>200550.31384615385</v>
      </c>
      <c r="J156" s="31">
        <f t="shared" si="16"/>
        <v>166642.56881865501</v>
      </c>
      <c r="K156" s="10">
        <f t="shared" si="17"/>
        <v>0</v>
      </c>
      <c r="L156" s="10">
        <f t="shared" si="18"/>
        <v>166642.56881865501</v>
      </c>
      <c r="M156" s="10">
        <f>'D) Ecrêtage'!C155</f>
        <v>109794.23076923077</v>
      </c>
      <c r="N156" s="10">
        <f t="shared" si="19"/>
        <v>130899.49012350972</v>
      </c>
      <c r="O156" s="57">
        <f t="shared" si="20"/>
        <v>130899.49012350972</v>
      </c>
    </row>
    <row r="157" spans="1:15" s="215" customFormat="1" x14ac:dyDescent="0.25">
      <c r="A157" s="303">
        <f>'A) Base RI'!A158</f>
        <v>5650</v>
      </c>
      <c r="B157" s="220" t="str">
        <f>'A) Base RI'!B158</f>
        <v>Vaux-sur-Morges</v>
      </c>
      <c r="C157" s="490">
        <v>0</v>
      </c>
      <c r="D157" s="216">
        <f>'B) D RI'!AA158</f>
        <v>196</v>
      </c>
      <c r="E157" s="217">
        <f>'B) D RI'!S158</f>
        <v>56</v>
      </c>
      <c r="F157" s="10">
        <f>'B) D RI'!R158</f>
        <v>9118742.8599999994</v>
      </c>
      <c r="G157" s="10">
        <f>'B) D RI'!U158</f>
        <v>162834.69392857142</v>
      </c>
      <c r="H157" s="41">
        <f>'B) D RI'!T158</f>
        <v>9074485.8599999994</v>
      </c>
      <c r="I157" s="10">
        <f t="shared" si="15"/>
        <v>324088.78071428568</v>
      </c>
      <c r="J157" s="31">
        <f t="shared" si="16"/>
        <v>17127.395641560768</v>
      </c>
      <c r="K157" s="10">
        <f t="shared" si="17"/>
        <v>17127.395641560768</v>
      </c>
      <c r="L157" s="10">
        <f t="shared" si="18"/>
        <v>0</v>
      </c>
      <c r="M157" s="10">
        <f>'D) Ecrêtage'!C156</f>
        <v>162834.69392857142</v>
      </c>
      <c r="N157" s="10">
        <f t="shared" si="19"/>
        <v>194135.6869148098</v>
      </c>
      <c r="O157" s="57">
        <f t="shared" si="20"/>
        <v>211263.08255637059</v>
      </c>
    </row>
    <row r="158" spans="1:15" s="215" customFormat="1" x14ac:dyDescent="0.25">
      <c r="A158" s="303">
        <f>'A) Base RI'!A159</f>
        <v>5651</v>
      </c>
      <c r="B158" s="220" t="str">
        <f>'A) Base RI'!B159</f>
        <v>Villars-Sainte-Croix</v>
      </c>
      <c r="C158" s="490">
        <v>1</v>
      </c>
      <c r="D158" s="216">
        <f>'B) D RI'!AA159</f>
        <v>973</v>
      </c>
      <c r="E158" s="217">
        <f>'B) D RI'!S159</f>
        <v>62</v>
      </c>
      <c r="F158" s="10">
        <f>'B) D RI'!R159</f>
        <v>3638334.0599999996</v>
      </c>
      <c r="G158" s="10">
        <f>'B) D RI'!U159</f>
        <v>58682.807419354831</v>
      </c>
      <c r="H158" s="41">
        <f>'B) D RI'!T159</f>
        <v>3203373.5599999996</v>
      </c>
      <c r="I158" s="10">
        <f t="shared" si="15"/>
        <v>103334.63096774192</v>
      </c>
      <c r="J158" s="31">
        <f t="shared" si="16"/>
        <v>85025.285506319531</v>
      </c>
      <c r="K158" s="10">
        <f t="shared" si="17"/>
        <v>0</v>
      </c>
      <c r="L158" s="10">
        <f t="shared" si="18"/>
        <v>85025.285506319531</v>
      </c>
      <c r="M158" s="10">
        <f>'D) Ecrêtage'!C157</f>
        <v>58682.807419354831</v>
      </c>
      <c r="N158" s="10">
        <f t="shared" si="19"/>
        <v>69963.143931988569</v>
      </c>
      <c r="O158" s="57">
        <f t="shared" si="20"/>
        <v>69963.143931988569</v>
      </c>
    </row>
    <row r="159" spans="1:15" s="215" customFormat="1" x14ac:dyDescent="0.25">
      <c r="A159" s="303">
        <f>'A) Base RI'!A160</f>
        <v>5652</v>
      </c>
      <c r="B159" s="220" t="str">
        <f>'A) Base RI'!B160</f>
        <v>Villars-sous-Yens</v>
      </c>
      <c r="C159" s="490">
        <v>0</v>
      </c>
      <c r="D159" s="216">
        <f>'B) D RI'!AA160</f>
        <v>603</v>
      </c>
      <c r="E159" s="217">
        <f>'B) D RI'!S160</f>
        <v>76</v>
      </c>
      <c r="F159" s="10">
        <f>'B) D RI'!R160</f>
        <v>2503075.2216666662</v>
      </c>
      <c r="G159" s="10">
        <f>'B) D RI'!U160</f>
        <v>32935.200285087711</v>
      </c>
      <c r="H159" s="41">
        <f>'B) D RI'!T160</f>
        <v>2393969.5299999998</v>
      </c>
      <c r="I159" s="10">
        <f t="shared" si="15"/>
        <v>62999.198157894731</v>
      </c>
      <c r="J159" s="31">
        <f t="shared" si="16"/>
        <v>52692.956999291542</v>
      </c>
      <c r="K159" s="10">
        <f t="shared" si="17"/>
        <v>52692.956999291542</v>
      </c>
      <c r="L159" s="10">
        <f t="shared" si="18"/>
        <v>0</v>
      </c>
      <c r="M159" s="10">
        <f>'D) Ecrêtage'!C158</f>
        <v>32935.200285087711</v>
      </c>
      <c r="N159" s="10">
        <f t="shared" si="19"/>
        <v>39266.188161517166</v>
      </c>
      <c r="O159" s="57">
        <f t="shared" si="20"/>
        <v>91959.145160808708</v>
      </c>
    </row>
    <row r="160" spans="1:15" s="215" customFormat="1" x14ac:dyDescent="0.25">
      <c r="A160" s="303">
        <f>'A) Base RI'!A161</f>
        <v>5653</v>
      </c>
      <c r="B160" s="220" t="str">
        <f>'A) Base RI'!B161</f>
        <v>Vufflens-le-Château</v>
      </c>
      <c r="C160" s="490">
        <v>0</v>
      </c>
      <c r="D160" s="216">
        <f>'B) D RI'!AA161</f>
        <v>883</v>
      </c>
      <c r="E160" s="217">
        <f>'B) D RI'!S161</f>
        <v>60</v>
      </c>
      <c r="F160" s="10">
        <f>'B) D RI'!R161</f>
        <v>4312009.68</v>
      </c>
      <c r="G160" s="10">
        <f>'B) D RI'!U161</f>
        <v>71866.827999999994</v>
      </c>
      <c r="H160" s="41">
        <f>'B) D RI'!T161</f>
        <v>4056765.9299999997</v>
      </c>
      <c r="I160" s="10">
        <f t="shared" si="15"/>
        <v>135225.53099999999</v>
      </c>
      <c r="J160" s="31">
        <f t="shared" si="16"/>
        <v>77160.665058664075</v>
      </c>
      <c r="K160" s="10">
        <f t="shared" si="17"/>
        <v>77160.665058664075</v>
      </c>
      <c r="L160" s="10">
        <f t="shared" si="18"/>
        <v>0</v>
      </c>
      <c r="M160" s="10">
        <f>'D) Ecrêtage'!C159</f>
        <v>71866.827999999994</v>
      </c>
      <c r="N160" s="10">
        <f t="shared" si="19"/>
        <v>85681.470475134687</v>
      </c>
      <c r="O160" s="57">
        <f t="shared" si="20"/>
        <v>162842.13553379878</v>
      </c>
    </row>
    <row r="161" spans="1:15" s="215" customFormat="1" x14ac:dyDescent="0.25">
      <c r="A161" s="303">
        <f>'A) Base RI'!A162</f>
        <v>5654</v>
      </c>
      <c r="B161" s="220" t="str">
        <f>'A) Base RI'!B162</f>
        <v>Vullierens</v>
      </c>
      <c r="C161" s="490">
        <v>0</v>
      </c>
      <c r="D161" s="216">
        <f>'B) D RI'!AA162</f>
        <v>513</v>
      </c>
      <c r="E161" s="217">
        <f>'B) D RI'!S162</f>
        <v>76</v>
      </c>
      <c r="F161" s="10">
        <f>'B) D RI'!R162</f>
        <v>1373122.5899999999</v>
      </c>
      <c r="G161" s="10">
        <f>'B) D RI'!U162</f>
        <v>18067.402499999997</v>
      </c>
      <c r="H161" s="41">
        <f>'B) D RI'!T162</f>
        <v>1269709.0399999998</v>
      </c>
      <c r="I161" s="10">
        <f t="shared" si="15"/>
        <v>33413.395789473681</v>
      </c>
      <c r="J161" s="31">
        <f t="shared" si="16"/>
        <v>44828.336551636094</v>
      </c>
      <c r="K161" s="10">
        <f t="shared" si="17"/>
        <v>33413.395789473681</v>
      </c>
      <c r="L161" s="10">
        <f t="shared" si="18"/>
        <v>11414.940762162412</v>
      </c>
      <c r="M161" s="10">
        <f>'D) Ecrêtage'!C160</f>
        <v>18067.402499999997</v>
      </c>
      <c r="N161" s="10">
        <f t="shared" si="19"/>
        <v>21540.419369366413</v>
      </c>
      <c r="O161" s="57">
        <f t="shared" si="20"/>
        <v>54953.815158840094</v>
      </c>
    </row>
    <row r="162" spans="1:15" s="215" customFormat="1" x14ac:dyDescent="0.25">
      <c r="A162" s="303">
        <f>'A) Base RI'!A163</f>
        <v>5655</v>
      </c>
      <c r="B162" s="220" t="str">
        <f>'A) Base RI'!B163</f>
        <v>Yens</v>
      </c>
      <c r="C162" s="490">
        <v>0</v>
      </c>
      <c r="D162" s="216">
        <f>'B) D RI'!AA163</f>
        <v>1477</v>
      </c>
      <c r="E162" s="217">
        <f>'B) D RI'!S163</f>
        <v>73</v>
      </c>
      <c r="F162" s="10">
        <f>'B) D RI'!R163</f>
        <v>5637905.2500000009</v>
      </c>
      <c r="G162" s="10">
        <f>'B) D RI'!U163</f>
        <v>77231.578767123297</v>
      </c>
      <c r="H162" s="41">
        <f>'B) D RI'!T163</f>
        <v>5232008.3000000007</v>
      </c>
      <c r="I162" s="10">
        <f t="shared" si="15"/>
        <v>143342.69315068497</v>
      </c>
      <c r="J162" s="31">
        <f t="shared" si="16"/>
        <v>129067.16001319008</v>
      </c>
      <c r="K162" s="10">
        <f t="shared" si="17"/>
        <v>129067.16001319008</v>
      </c>
      <c r="L162" s="10">
        <f t="shared" si="18"/>
        <v>0</v>
      </c>
      <c r="M162" s="10">
        <f>'D) Ecrêtage'!C161</f>
        <v>77231.578767123297</v>
      </c>
      <c r="N162" s="10">
        <f t="shared" si="19"/>
        <v>92077.463553606605</v>
      </c>
      <c r="O162" s="57">
        <f t="shared" si="20"/>
        <v>221144.62356679668</v>
      </c>
    </row>
    <row r="163" spans="1:15" s="215" customFormat="1" x14ac:dyDescent="0.25">
      <c r="A163" s="303">
        <f>'A) Base RI'!A164</f>
        <v>5661</v>
      </c>
      <c r="B163" s="220" t="str">
        <f>'A) Base RI'!B164</f>
        <v>Boulens</v>
      </c>
      <c r="C163" s="490">
        <v>0</v>
      </c>
      <c r="D163" s="216">
        <f>'B) D RI'!AA164</f>
        <v>361</v>
      </c>
      <c r="E163" s="217">
        <f>'B) D RI'!S164</f>
        <v>73</v>
      </c>
      <c r="F163" s="10">
        <f>'B) D RI'!R164</f>
        <v>734917.75</v>
      </c>
      <c r="G163" s="10">
        <f>'B) D RI'!U164</f>
        <v>10067.366438356165</v>
      </c>
      <c r="H163" s="41">
        <f>'B) D RI'!T164</f>
        <v>679279.75</v>
      </c>
      <c r="I163" s="10">
        <f t="shared" si="15"/>
        <v>18610.404109589042</v>
      </c>
      <c r="J163" s="31">
        <f t="shared" si="16"/>
        <v>31545.866462262435</v>
      </c>
      <c r="K163" s="10">
        <f t="shared" si="17"/>
        <v>18610.404109589042</v>
      </c>
      <c r="L163" s="10">
        <f t="shared" si="18"/>
        <v>12935.462352673392</v>
      </c>
      <c r="M163" s="10">
        <f>'D) Ecrêtage'!C162</f>
        <v>10067.366438356165</v>
      </c>
      <c r="N163" s="10">
        <f t="shared" si="19"/>
        <v>12002.571760233743</v>
      </c>
      <c r="O163" s="57">
        <f t="shared" si="20"/>
        <v>30612.975869822785</v>
      </c>
    </row>
    <row r="164" spans="1:15" s="215" customFormat="1" x14ac:dyDescent="0.25">
      <c r="A164" s="303">
        <f>'A) Base RI'!A165</f>
        <v>5663</v>
      </c>
      <c r="B164" s="220" t="str">
        <f>'A) Base RI'!B165</f>
        <v>Bussy-sur-Moudon</v>
      </c>
      <c r="C164" s="490">
        <v>0</v>
      </c>
      <c r="D164" s="216">
        <f>'B) D RI'!AA165</f>
        <v>218</v>
      </c>
      <c r="E164" s="217">
        <f>'B) D RI'!S165</f>
        <v>80</v>
      </c>
      <c r="F164" s="10">
        <f>'B) D RI'!R165</f>
        <v>508602.19000000006</v>
      </c>
      <c r="G164" s="10">
        <f>'B) D RI'!U165</f>
        <v>6357.5273750000006</v>
      </c>
      <c r="H164" s="41">
        <f>'B) D RI'!T165</f>
        <v>476771.84000000003</v>
      </c>
      <c r="I164" s="10">
        <f t="shared" si="15"/>
        <v>11919.296</v>
      </c>
      <c r="J164" s="31">
        <f t="shared" si="16"/>
        <v>19049.858417654323</v>
      </c>
      <c r="K164" s="10">
        <f t="shared" si="17"/>
        <v>11919.296</v>
      </c>
      <c r="L164" s="10">
        <f t="shared" si="18"/>
        <v>7130.5624176543224</v>
      </c>
      <c r="M164" s="10">
        <f>'D) Ecrêtage'!C163</f>
        <v>6357.5273750000006</v>
      </c>
      <c r="N164" s="10">
        <f t="shared" si="19"/>
        <v>7579.6067425700649</v>
      </c>
      <c r="O164" s="57">
        <f t="shared" si="20"/>
        <v>19498.902742570066</v>
      </c>
    </row>
    <row r="165" spans="1:15" s="215" customFormat="1" x14ac:dyDescent="0.25">
      <c r="A165" s="303">
        <f>'A) Base RI'!A166</f>
        <v>5665</v>
      </c>
      <c r="B165" s="220" t="str">
        <f>'A) Base RI'!B166</f>
        <v>Chavannes-sur-Moudon</v>
      </c>
      <c r="C165" s="490">
        <v>0</v>
      </c>
      <c r="D165" s="216">
        <f>'B) D RI'!AA166</f>
        <v>210</v>
      </c>
      <c r="E165" s="217">
        <f>'B) D RI'!S166</f>
        <v>73</v>
      </c>
      <c r="F165" s="10">
        <f>'B) D RI'!R166</f>
        <v>345647.60000000003</v>
      </c>
      <c r="G165" s="10">
        <f>'B) D RI'!U166</f>
        <v>4734.8986301369869</v>
      </c>
      <c r="H165" s="41">
        <f>'B) D RI'!T166</f>
        <v>321125.40000000002</v>
      </c>
      <c r="I165" s="10">
        <f t="shared" si="15"/>
        <v>8797.9561643835623</v>
      </c>
      <c r="J165" s="31">
        <f t="shared" si="16"/>
        <v>18350.781044529394</v>
      </c>
      <c r="K165" s="10">
        <f t="shared" si="17"/>
        <v>8797.9561643835623</v>
      </c>
      <c r="L165" s="10">
        <f t="shared" si="18"/>
        <v>9552.8248801458321</v>
      </c>
      <c r="M165" s="10">
        <f>'D) Ecrêtage'!C164</f>
        <v>4734.8986301369869</v>
      </c>
      <c r="N165" s="10">
        <f t="shared" si="19"/>
        <v>5645.0672510666254</v>
      </c>
      <c r="O165" s="57">
        <f t="shared" si="20"/>
        <v>14443.023415450189</v>
      </c>
    </row>
    <row r="166" spans="1:15" s="215" customFormat="1" x14ac:dyDescent="0.25">
      <c r="A166" s="303">
        <f>'A) Base RI'!A167</f>
        <v>5669</v>
      </c>
      <c r="B166" s="220" t="str">
        <f>'A) Base RI'!B167</f>
        <v>Curtilles</v>
      </c>
      <c r="C166" s="490">
        <v>0</v>
      </c>
      <c r="D166" s="216">
        <f>'B) D RI'!AA167</f>
        <v>310</v>
      </c>
      <c r="E166" s="217">
        <f>'B) D RI'!S167</f>
        <v>75</v>
      </c>
      <c r="F166" s="10">
        <f>'B) D RI'!R167</f>
        <v>750164.92999999993</v>
      </c>
      <c r="G166" s="10">
        <f>'B) D RI'!U167</f>
        <v>10002.199066666666</v>
      </c>
      <c r="H166" s="41">
        <f>'B) D RI'!T167</f>
        <v>703188.53</v>
      </c>
      <c r="I166" s="10">
        <f t="shared" si="15"/>
        <v>18751.694133333334</v>
      </c>
      <c r="J166" s="31">
        <f t="shared" si="16"/>
        <v>27089.248208591009</v>
      </c>
      <c r="K166" s="10">
        <f t="shared" si="17"/>
        <v>18751.694133333334</v>
      </c>
      <c r="L166" s="10">
        <f t="shared" si="18"/>
        <v>8337.5540752576744</v>
      </c>
      <c r="M166" s="10">
        <f>'D) Ecrêtage'!C165</f>
        <v>10002.199066666666</v>
      </c>
      <c r="N166" s="10">
        <f t="shared" si="19"/>
        <v>11924.877552923579</v>
      </c>
      <c r="O166" s="57">
        <f t="shared" si="20"/>
        <v>30676.571686256913</v>
      </c>
    </row>
    <row r="167" spans="1:15" s="215" customFormat="1" x14ac:dyDescent="0.25">
      <c r="A167" s="303">
        <f>'A) Base RI'!A168</f>
        <v>5671</v>
      </c>
      <c r="B167" s="220" t="str">
        <f>'A) Base RI'!B168</f>
        <v>Dompierre</v>
      </c>
      <c r="C167" s="490">
        <v>0</v>
      </c>
      <c r="D167" s="216">
        <f>'B) D RI'!AA168</f>
        <v>232</v>
      </c>
      <c r="E167" s="217">
        <f>'B) D RI'!S168</f>
        <v>80</v>
      </c>
      <c r="F167" s="10">
        <f>'B) D RI'!R168</f>
        <v>525710.75999999989</v>
      </c>
      <c r="G167" s="10">
        <f>'B) D RI'!U168</f>
        <v>6571.3844999999983</v>
      </c>
      <c r="H167" s="41">
        <f>'B) D RI'!T168</f>
        <v>492878.05999999994</v>
      </c>
      <c r="I167" s="10">
        <f t="shared" si="15"/>
        <v>12321.951499999999</v>
      </c>
      <c r="J167" s="31">
        <f t="shared" si="16"/>
        <v>20273.243820622949</v>
      </c>
      <c r="K167" s="10">
        <f t="shared" si="17"/>
        <v>12321.951499999999</v>
      </c>
      <c r="L167" s="10">
        <f t="shared" si="18"/>
        <v>7951.2923206229498</v>
      </c>
      <c r="M167" s="10">
        <f>'D) Ecrêtage'!C166</f>
        <v>6571.3844999999983</v>
      </c>
      <c r="N167" s="10">
        <f t="shared" si="19"/>
        <v>7834.5726768058785</v>
      </c>
      <c r="O167" s="57">
        <f t="shared" si="20"/>
        <v>20156.524176805877</v>
      </c>
    </row>
    <row r="168" spans="1:15" s="215" customFormat="1" x14ac:dyDescent="0.25">
      <c r="A168" s="303">
        <f>'A) Base RI'!A169</f>
        <v>5673</v>
      </c>
      <c r="B168" s="220" t="str">
        <f>'A) Base RI'!B169</f>
        <v>Hermenches</v>
      </c>
      <c r="C168" s="490">
        <v>0</v>
      </c>
      <c r="D168" s="216">
        <f>'B) D RI'!AA169</f>
        <v>367</v>
      </c>
      <c r="E168" s="217">
        <f>'B) D RI'!S169</f>
        <v>75</v>
      </c>
      <c r="F168" s="10">
        <f>'B) D RI'!R169</f>
        <v>743227.41999999993</v>
      </c>
      <c r="G168" s="10">
        <f>'B) D RI'!U169</f>
        <v>9909.6989333333331</v>
      </c>
      <c r="H168" s="41">
        <f>'B) D RI'!T169</f>
        <v>694456.91999999993</v>
      </c>
      <c r="I168" s="10">
        <f t="shared" si="15"/>
        <v>18518.851199999997</v>
      </c>
      <c r="J168" s="31">
        <f t="shared" si="16"/>
        <v>32070.174492106133</v>
      </c>
      <c r="K168" s="10">
        <f t="shared" si="17"/>
        <v>18518.851199999997</v>
      </c>
      <c r="L168" s="10">
        <f t="shared" si="18"/>
        <v>13551.323292106135</v>
      </c>
      <c r="M168" s="10">
        <f>'D) Ecrêtage'!C167</f>
        <v>9909.6989333333331</v>
      </c>
      <c r="N168" s="10">
        <f t="shared" si="19"/>
        <v>11814.596528093236</v>
      </c>
      <c r="O168" s="57">
        <f t="shared" si="20"/>
        <v>30333.447728093233</v>
      </c>
    </row>
    <row r="169" spans="1:15" s="215" customFormat="1" x14ac:dyDescent="0.25">
      <c r="A169" s="303">
        <f>'A) Base RI'!A170</f>
        <v>5674</v>
      </c>
      <c r="B169" s="220" t="str">
        <f>'A) Base RI'!B170</f>
        <v>Lovatens</v>
      </c>
      <c r="C169" s="490">
        <v>0</v>
      </c>
      <c r="D169" s="216">
        <f>'B) D RI'!AA170</f>
        <v>136</v>
      </c>
      <c r="E169" s="217">
        <f>'B) D RI'!S170</f>
        <v>75</v>
      </c>
      <c r="F169" s="10">
        <f>'B) D RI'!R170</f>
        <v>241128.80999999997</v>
      </c>
      <c r="G169" s="10">
        <f>'B) D RI'!U170</f>
        <v>3215.0507999999995</v>
      </c>
      <c r="H169" s="41">
        <f>'B) D RI'!T170</f>
        <v>222996.70999999996</v>
      </c>
      <c r="I169" s="10">
        <f t="shared" si="15"/>
        <v>5946.5789333333323</v>
      </c>
      <c r="J169" s="31">
        <f t="shared" si="16"/>
        <v>11884.315343123799</v>
      </c>
      <c r="K169" s="10">
        <f t="shared" si="17"/>
        <v>5946.5789333333323</v>
      </c>
      <c r="L169" s="10">
        <f t="shared" si="18"/>
        <v>5937.7364097904665</v>
      </c>
      <c r="M169" s="10">
        <f>'D) Ecrêtage'!C168</f>
        <v>3215.0507999999995</v>
      </c>
      <c r="N169" s="10">
        <f t="shared" si="19"/>
        <v>3833.0657949208244</v>
      </c>
      <c r="O169" s="57">
        <f t="shared" si="20"/>
        <v>9779.6447282541558</v>
      </c>
    </row>
    <row r="170" spans="1:15" s="215" customFormat="1" x14ac:dyDescent="0.25">
      <c r="A170" s="303">
        <f>'A) Base RI'!A171</f>
        <v>5675</v>
      </c>
      <c r="B170" s="220" t="str">
        <f>'A) Base RI'!B171</f>
        <v>Lucens</v>
      </c>
      <c r="C170" s="490">
        <v>0</v>
      </c>
      <c r="D170" s="216">
        <f>'B) D RI'!AA171</f>
        <v>4220</v>
      </c>
      <c r="E170" s="217">
        <f>'B) D RI'!S171</f>
        <v>69</v>
      </c>
      <c r="F170" s="10">
        <f>'B) D RI'!R171</f>
        <v>6745329.6627272721</v>
      </c>
      <c r="G170" s="10">
        <f>'B) D RI'!U171</f>
        <v>97758.400909090895</v>
      </c>
      <c r="H170" s="41">
        <f>'B) D RI'!T171</f>
        <v>6040601.6399999997</v>
      </c>
      <c r="I170" s="10">
        <f t="shared" si="15"/>
        <v>175089.90260869564</v>
      </c>
      <c r="J170" s="31">
        <f t="shared" si="16"/>
        <v>368763.31432340021</v>
      </c>
      <c r="K170" s="10">
        <f t="shared" si="17"/>
        <v>175089.90260869564</v>
      </c>
      <c r="L170" s="10">
        <f t="shared" si="18"/>
        <v>193673.41171470456</v>
      </c>
      <c r="M170" s="10">
        <f>'D) Ecrêtage'!C169</f>
        <v>97758.400909090895</v>
      </c>
      <c r="N170" s="10">
        <f t="shared" si="19"/>
        <v>116550.06592455496</v>
      </c>
      <c r="O170" s="57">
        <f t="shared" si="20"/>
        <v>291639.96853325062</v>
      </c>
    </row>
    <row r="171" spans="1:15" s="215" customFormat="1" x14ac:dyDescent="0.25">
      <c r="A171" s="303">
        <f>'A) Base RI'!A172</f>
        <v>5678</v>
      </c>
      <c r="B171" s="220" t="str">
        <f>'A) Base RI'!B172</f>
        <v>Moudon</v>
      </c>
      <c r="C171" s="490">
        <v>0</v>
      </c>
      <c r="D171" s="216">
        <f>'B) D RI'!AA172</f>
        <v>6080</v>
      </c>
      <c r="E171" s="217">
        <f>'B) D RI'!S172</f>
        <v>75</v>
      </c>
      <c r="F171" s="10">
        <f>'B) D RI'!R172</f>
        <v>9456020.4699999988</v>
      </c>
      <c r="G171" s="10">
        <f>'B) D RI'!U172</f>
        <v>126080.27293333331</v>
      </c>
      <c r="H171" s="41">
        <f>'B) D RI'!T172</f>
        <v>8560027.5199999996</v>
      </c>
      <c r="I171" s="10">
        <f t="shared" si="15"/>
        <v>228267.40053333333</v>
      </c>
      <c r="J171" s="31">
        <f t="shared" si="16"/>
        <v>531298.80357494624</v>
      </c>
      <c r="K171" s="10">
        <f t="shared" si="17"/>
        <v>228267.40053333333</v>
      </c>
      <c r="L171" s="10">
        <f t="shared" si="18"/>
        <v>303031.40304161294</v>
      </c>
      <c r="M171" s="10">
        <f>'D) Ecrêtage'!C170</f>
        <v>126080.27293333331</v>
      </c>
      <c r="N171" s="10">
        <f t="shared" si="19"/>
        <v>150316.12613867308</v>
      </c>
      <c r="O171" s="57">
        <f t="shared" si="20"/>
        <v>378583.52667200641</v>
      </c>
    </row>
    <row r="172" spans="1:15" s="215" customFormat="1" x14ac:dyDescent="0.25">
      <c r="A172" s="303">
        <f>'A) Base RI'!A173</f>
        <v>5680</v>
      </c>
      <c r="B172" s="220" t="str">
        <f>'A) Base RI'!B173</f>
        <v>Ogens</v>
      </c>
      <c r="C172" s="490">
        <v>0</v>
      </c>
      <c r="D172" s="216">
        <f>'B) D RI'!AA173</f>
        <v>296</v>
      </c>
      <c r="E172" s="217">
        <f>'B) D RI'!S173</f>
        <v>78</v>
      </c>
      <c r="F172" s="10">
        <f>'B) D RI'!R173</f>
        <v>492453.29333333328</v>
      </c>
      <c r="G172" s="10">
        <f>'B) D RI'!U173</f>
        <v>6313.5037606837595</v>
      </c>
      <c r="H172" s="41">
        <f>'B) D RI'!T173</f>
        <v>443416.05999999994</v>
      </c>
      <c r="I172" s="10">
        <f t="shared" si="15"/>
        <v>11369.642564102562</v>
      </c>
      <c r="J172" s="31">
        <f t="shared" si="16"/>
        <v>25865.862805622382</v>
      </c>
      <c r="K172" s="10">
        <f t="shared" si="17"/>
        <v>11369.642564102562</v>
      </c>
      <c r="L172" s="10">
        <f t="shared" si="18"/>
        <v>14496.220241519821</v>
      </c>
      <c r="M172" s="10">
        <f>'D) Ecrêtage'!C171</f>
        <v>6313.5037606837595</v>
      </c>
      <c r="N172" s="10">
        <f t="shared" si="19"/>
        <v>7527.1206635929084</v>
      </c>
      <c r="O172" s="57">
        <f t="shared" si="20"/>
        <v>18896.763227695468</v>
      </c>
    </row>
    <row r="173" spans="1:15" s="215" customFormat="1" x14ac:dyDescent="0.25">
      <c r="A173" s="303">
        <f>'A) Base RI'!A174</f>
        <v>5683</v>
      </c>
      <c r="B173" s="220" t="str">
        <f>'A) Base RI'!B174</f>
        <v>Prévonloup</v>
      </c>
      <c r="C173" s="490">
        <v>0</v>
      </c>
      <c r="D173" s="216">
        <f>'B) D RI'!AA174</f>
        <v>194</v>
      </c>
      <c r="E173" s="217">
        <f>'B) D RI'!S174</f>
        <v>74</v>
      </c>
      <c r="F173" s="10">
        <f>'B) D RI'!R174</f>
        <v>339614.65999999992</v>
      </c>
      <c r="G173" s="10">
        <f>'B) D RI'!U174</f>
        <v>4589.3872972972958</v>
      </c>
      <c r="H173" s="41">
        <f>'B) D RI'!T174</f>
        <v>308835.40999999992</v>
      </c>
      <c r="I173" s="10">
        <f t="shared" si="15"/>
        <v>8346.90297297297</v>
      </c>
      <c r="J173" s="31">
        <f t="shared" si="16"/>
        <v>16952.626298279534</v>
      </c>
      <c r="K173" s="10">
        <f t="shared" si="17"/>
        <v>8346.90297297297</v>
      </c>
      <c r="L173" s="10">
        <f t="shared" si="18"/>
        <v>8605.7233253065642</v>
      </c>
      <c r="M173" s="10">
        <f>'D) Ecrêtage'!C172</f>
        <v>4589.3872972972958</v>
      </c>
      <c r="N173" s="10">
        <f t="shared" si="19"/>
        <v>5471.5849183205428</v>
      </c>
      <c r="O173" s="57">
        <f t="shared" si="20"/>
        <v>13818.487891293513</v>
      </c>
    </row>
    <row r="174" spans="1:15" s="215" customFormat="1" x14ac:dyDescent="0.25">
      <c r="A174" s="303">
        <f>'A) Base RI'!A175</f>
        <v>5684</v>
      </c>
      <c r="B174" s="220" t="str">
        <f>'A) Base RI'!B175</f>
        <v>Rossenges</v>
      </c>
      <c r="C174" s="490">
        <v>0</v>
      </c>
      <c r="D174" s="216">
        <f>'B) D RI'!AA175</f>
        <v>84</v>
      </c>
      <c r="E174" s="217">
        <f>'B) D RI'!S175</f>
        <v>75</v>
      </c>
      <c r="F174" s="10">
        <f>'B) D RI'!R175</f>
        <v>232404.07500000001</v>
      </c>
      <c r="G174" s="10">
        <f>'B) D RI'!U175</f>
        <v>3098.721</v>
      </c>
      <c r="H174" s="41">
        <f>'B) D RI'!T175</f>
        <v>224326.7</v>
      </c>
      <c r="I174" s="10">
        <f t="shared" si="15"/>
        <v>5982.0453333333335</v>
      </c>
      <c r="J174" s="31">
        <f t="shared" si="16"/>
        <v>7340.3124178117578</v>
      </c>
      <c r="K174" s="10">
        <f t="shared" si="17"/>
        <v>5982.0453333333335</v>
      </c>
      <c r="L174" s="10">
        <f t="shared" si="18"/>
        <v>1358.2670844784243</v>
      </c>
      <c r="M174" s="10">
        <f>'D) Ecrêtage'!C173</f>
        <v>3098.721</v>
      </c>
      <c r="N174" s="10">
        <f t="shared" si="19"/>
        <v>3694.3744320005312</v>
      </c>
      <c r="O174" s="57">
        <f t="shared" si="20"/>
        <v>9676.4197653338651</v>
      </c>
    </row>
    <row r="175" spans="1:15" s="215" customFormat="1" x14ac:dyDescent="0.25">
      <c r="A175" s="303">
        <f>'A) Base RI'!A176</f>
        <v>5688</v>
      </c>
      <c r="B175" s="220" t="str">
        <f>'A) Base RI'!B176</f>
        <v>Syens</v>
      </c>
      <c r="C175" s="490">
        <v>0</v>
      </c>
      <c r="D175" s="216">
        <f>'B) D RI'!AA176</f>
        <v>155</v>
      </c>
      <c r="E175" s="217">
        <f>'B) D RI'!S176</f>
        <v>75.599999999999994</v>
      </c>
      <c r="F175" s="10">
        <f>'B) D RI'!R176</f>
        <v>207320.03000000003</v>
      </c>
      <c r="G175" s="10">
        <f>'B) D RI'!U176</f>
        <v>2742.3284391534398</v>
      </c>
      <c r="H175" s="41">
        <f>'B) D RI'!T176</f>
        <v>183558.03000000003</v>
      </c>
      <c r="I175" s="10">
        <f t="shared" si="15"/>
        <v>4856.032539682541</v>
      </c>
      <c r="J175" s="31">
        <f t="shared" si="16"/>
        <v>13544.624104295504</v>
      </c>
      <c r="K175" s="10">
        <f t="shared" si="17"/>
        <v>4856.032539682541</v>
      </c>
      <c r="L175" s="10">
        <f t="shared" si="18"/>
        <v>8688.5915646129633</v>
      </c>
      <c r="M175" s="10">
        <f>'D) Ecrêtage'!C174</f>
        <v>2742.3284391534398</v>
      </c>
      <c r="N175" s="10">
        <f t="shared" si="19"/>
        <v>3269.4741055281816</v>
      </c>
      <c r="O175" s="57">
        <f t="shared" si="20"/>
        <v>8125.5066452107221</v>
      </c>
    </row>
    <row r="176" spans="1:15" s="215" customFormat="1" x14ac:dyDescent="0.25">
      <c r="A176" s="303">
        <f>'A) Base RI'!A177</f>
        <v>5690</v>
      </c>
      <c r="B176" s="220" t="str">
        <f>'A) Base RI'!B177</f>
        <v>Villars-le-Comte</v>
      </c>
      <c r="C176" s="490">
        <v>0</v>
      </c>
      <c r="D176" s="216">
        <f>'B) D RI'!AA177</f>
        <v>122</v>
      </c>
      <c r="E176" s="217">
        <f>'B) D RI'!S177</f>
        <v>70</v>
      </c>
      <c r="F176" s="10">
        <f>'B) D RI'!R177</f>
        <v>211271.51500000001</v>
      </c>
      <c r="G176" s="10">
        <f>'B) D RI'!U177</f>
        <v>3018.1645000000003</v>
      </c>
      <c r="H176" s="41">
        <f>'B) D RI'!T177</f>
        <v>189752.29</v>
      </c>
      <c r="I176" s="10">
        <f t="shared" si="15"/>
        <v>5421.4940000000006</v>
      </c>
      <c r="J176" s="31">
        <f t="shared" si="16"/>
        <v>10660.929940155173</v>
      </c>
      <c r="K176" s="10">
        <f t="shared" si="17"/>
        <v>5421.4940000000006</v>
      </c>
      <c r="L176" s="10">
        <f t="shared" si="18"/>
        <v>5239.4359401551719</v>
      </c>
      <c r="M176" s="10">
        <f>'D) Ecrêtage'!C175</f>
        <v>3018.1645000000003</v>
      </c>
      <c r="N176" s="10">
        <f t="shared" si="19"/>
        <v>3598.3329123117792</v>
      </c>
      <c r="O176" s="57">
        <f t="shared" si="20"/>
        <v>9019.8269123117789</v>
      </c>
    </row>
    <row r="177" spans="1:15" s="215" customFormat="1" x14ac:dyDescent="0.25">
      <c r="A177" s="303">
        <f>'A) Base RI'!A178</f>
        <v>5692</v>
      </c>
      <c r="B177" s="220" t="str">
        <f>'A) Base RI'!B178</f>
        <v>Vucherens</v>
      </c>
      <c r="C177" s="490">
        <v>0</v>
      </c>
      <c r="D177" s="216">
        <f>'B) D RI'!AA178</f>
        <v>580</v>
      </c>
      <c r="E177" s="217">
        <f>'B) D RI'!S178</f>
        <v>79</v>
      </c>
      <c r="F177" s="10">
        <f>'B) D RI'!R178</f>
        <v>1264173.05</v>
      </c>
      <c r="G177" s="10">
        <f>'B) D RI'!U178</f>
        <v>16002.190506329114</v>
      </c>
      <c r="H177" s="41">
        <f>'B) D RI'!T178</f>
        <v>1168901.6000000001</v>
      </c>
      <c r="I177" s="10">
        <f t="shared" si="15"/>
        <v>29592.445569620257</v>
      </c>
      <c r="J177" s="31">
        <f t="shared" si="16"/>
        <v>50683.109551557376</v>
      </c>
      <c r="K177" s="10">
        <f t="shared" si="17"/>
        <v>29592.445569620257</v>
      </c>
      <c r="L177" s="10">
        <f t="shared" si="18"/>
        <v>21090.663981937119</v>
      </c>
      <c r="M177" s="10">
        <f>'D) Ecrêtage'!C176</f>
        <v>16002.190506329114</v>
      </c>
      <c r="N177" s="10">
        <f t="shared" si="19"/>
        <v>19078.220808709113</v>
      </c>
      <c r="O177" s="57">
        <f t="shared" si="20"/>
        <v>48670.66637832937</v>
      </c>
    </row>
    <row r="178" spans="1:15" s="215" customFormat="1" x14ac:dyDescent="0.25">
      <c r="A178" s="303">
        <f>'A) Base RI'!A179</f>
        <v>5693</v>
      </c>
      <c r="B178" s="220" t="str">
        <f>'A) Base RI'!B179</f>
        <v>Montanaire</v>
      </c>
      <c r="C178" s="490">
        <v>0</v>
      </c>
      <c r="D178" s="216">
        <f>'B) D RI'!AA179</f>
        <v>2717</v>
      </c>
      <c r="E178" s="217">
        <f>'B) D RI'!S179</f>
        <v>72</v>
      </c>
      <c r="F178" s="10">
        <f>'B) D RI'!R179</f>
        <v>5098119.299999998</v>
      </c>
      <c r="G178" s="10">
        <f>'B) D RI'!U179</f>
        <v>70807.212499999965</v>
      </c>
      <c r="H178" s="41">
        <f>'B) D RI'!T179</f>
        <v>4717995.1999999983</v>
      </c>
      <c r="I178" s="10">
        <f t="shared" si="15"/>
        <v>131055.42222222217</v>
      </c>
      <c r="J178" s="31">
        <f t="shared" si="16"/>
        <v>237424.1528475541</v>
      </c>
      <c r="K178" s="10">
        <f t="shared" si="17"/>
        <v>131055.42222222217</v>
      </c>
      <c r="L178" s="10">
        <f t="shared" si="18"/>
        <v>106368.73062533193</v>
      </c>
      <c r="M178" s="10">
        <f>'D) Ecrêtage'!C177</f>
        <v>70807.212499999965</v>
      </c>
      <c r="N178" s="10">
        <f t="shared" si="19"/>
        <v>84418.169774312788</v>
      </c>
      <c r="O178" s="57">
        <f t="shared" si="20"/>
        <v>215473.59199653496</v>
      </c>
    </row>
    <row r="179" spans="1:15" s="215" customFormat="1" x14ac:dyDescent="0.25">
      <c r="A179" s="303">
        <f>'A) Base RI'!A180</f>
        <v>5701</v>
      </c>
      <c r="B179" s="220" t="str">
        <f>'A) Base RI'!B180</f>
        <v>Arnex-sur-Nyon</v>
      </c>
      <c r="C179" s="490">
        <v>0</v>
      </c>
      <c r="D179" s="216">
        <f>'B) D RI'!AA180</f>
        <v>229</v>
      </c>
      <c r="E179" s="217">
        <f>'B) D RI'!S180</f>
        <v>70</v>
      </c>
      <c r="F179" s="10">
        <f>'B) D RI'!R180</f>
        <v>844769.4</v>
      </c>
      <c r="G179" s="10">
        <f>'B) D RI'!U180</f>
        <v>12068.134285714286</v>
      </c>
      <c r="H179" s="41">
        <f>'B) D RI'!T180</f>
        <v>775564.05</v>
      </c>
      <c r="I179" s="10">
        <f t="shared" si="15"/>
        <v>22158.972857142857</v>
      </c>
      <c r="J179" s="31">
        <f t="shared" si="16"/>
        <v>20011.0898057011</v>
      </c>
      <c r="K179" s="10">
        <f t="shared" si="17"/>
        <v>20011.0898057011</v>
      </c>
      <c r="L179" s="10">
        <f t="shared" si="18"/>
        <v>0</v>
      </c>
      <c r="M179" s="10">
        <f>'D) Ecrêtage'!C178</f>
        <v>12068.134285714286</v>
      </c>
      <c r="N179" s="10">
        <f t="shared" si="19"/>
        <v>14387.938361372919</v>
      </c>
      <c r="O179" s="57">
        <f t="shared" si="20"/>
        <v>34399.028167074022</v>
      </c>
    </row>
    <row r="180" spans="1:15" s="215" customFormat="1" x14ac:dyDescent="0.25">
      <c r="A180" s="303">
        <f>'A) Base RI'!A181</f>
        <v>5702</v>
      </c>
      <c r="B180" s="220" t="str">
        <f>'A) Base RI'!B181</f>
        <v>Arzier-Le Muids</v>
      </c>
      <c r="C180" s="490">
        <v>0</v>
      </c>
      <c r="D180" s="216">
        <f>'B) D RI'!AA181</f>
        <v>2801</v>
      </c>
      <c r="E180" s="217">
        <f>'B) D RI'!S181</f>
        <v>64</v>
      </c>
      <c r="F180" s="10">
        <f>'B) D RI'!R181</f>
        <v>11132977.216666667</v>
      </c>
      <c r="G180" s="10">
        <f>'B) D RI'!U181</f>
        <v>173952.76901041667</v>
      </c>
      <c r="H180" s="41">
        <f>'B) D RI'!T181</f>
        <v>10331989.4</v>
      </c>
      <c r="I180" s="10">
        <f t="shared" si="15"/>
        <v>322874.66875000001</v>
      </c>
      <c r="J180" s="31">
        <f t="shared" si="16"/>
        <v>244764.46526536587</v>
      </c>
      <c r="K180" s="10">
        <f t="shared" si="17"/>
        <v>244764.46526536587</v>
      </c>
      <c r="L180" s="10">
        <f t="shared" si="18"/>
        <v>0</v>
      </c>
      <c r="M180" s="10">
        <f>'D) Ecrêtage'!C179</f>
        <v>173952.76901041667</v>
      </c>
      <c r="N180" s="10">
        <f t="shared" si="19"/>
        <v>207390.94039372299</v>
      </c>
      <c r="O180" s="57">
        <f t="shared" si="20"/>
        <v>452155.40565908886</v>
      </c>
    </row>
    <row r="181" spans="1:15" s="215" customFormat="1" x14ac:dyDescent="0.25">
      <c r="A181" s="303">
        <f>'A) Base RI'!A182</f>
        <v>5703</v>
      </c>
      <c r="B181" s="220" t="str">
        <f>'A) Base RI'!B182</f>
        <v>Bassins</v>
      </c>
      <c r="C181" s="490">
        <v>0</v>
      </c>
      <c r="D181" s="216">
        <f>'B) D RI'!AA182</f>
        <v>1395</v>
      </c>
      <c r="E181" s="217">
        <f>'B) D RI'!S182</f>
        <v>74</v>
      </c>
      <c r="F181" s="10">
        <f>'B) D RI'!R182</f>
        <v>4365428.8371428568</v>
      </c>
      <c r="G181" s="10">
        <f>'B) D RI'!U182</f>
        <v>58992.28158301158</v>
      </c>
      <c r="H181" s="41">
        <f>'B) D RI'!T182</f>
        <v>4052947.68</v>
      </c>
      <c r="I181" s="10">
        <f t="shared" si="15"/>
        <v>109539.12648648649</v>
      </c>
      <c r="J181" s="31">
        <f t="shared" si="16"/>
        <v>121901.61693865954</v>
      </c>
      <c r="K181" s="10">
        <f t="shared" si="17"/>
        <v>109539.12648648649</v>
      </c>
      <c r="L181" s="10">
        <f t="shared" si="18"/>
        <v>12362.49045217305</v>
      </c>
      <c r="M181" s="10">
        <f>'D) Ecrêtage'!C180</f>
        <v>58992.28158301158</v>
      </c>
      <c r="N181" s="10">
        <f t="shared" si="19"/>
        <v>70332.106945302206</v>
      </c>
      <c r="O181" s="57">
        <f t="shared" si="20"/>
        <v>179871.23343178869</v>
      </c>
    </row>
    <row r="182" spans="1:15" s="215" customFormat="1" x14ac:dyDescent="0.25">
      <c r="A182" s="303">
        <f>'A) Base RI'!A183</f>
        <v>5704</v>
      </c>
      <c r="B182" s="220" t="str">
        <f>'A) Base RI'!B183</f>
        <v>Begnins</v>
      </c>
      <c r="C182" s="490">
        <v>0</v>
      </c>
      <c r="D182" s="216">
        <f>'B) D RI'!AA183</f>
        <v>1931</v>
      </c>
      <c r="E182" s="217">
        <f>'B) D RI'!S183</f>
        <v>64</v>
      </c>
      <c r="F182" s="10">
        <f>'B) D RI'!R183</f>
        <v>8292150.5733333332</v>
      </c>
      <c r="G182" s="10">
        <f>'B) D RI'!U183</f>
        <v>129564.85270833333</v>
      </c>
      <c r="H182" s="41">
        <f>'B) D RI'!T183</f>
        <v>7767221.7400000002</v>
      </c>
      <c r="I182" s="10">
        <f t="shared" si="15"/>
        <v>242725.67937500001</v>
      </c>
      <c r="J182" s="31">
        <f t="shared" si="16"/>
        <v>168739.8009380298</v>
      </c>
      <c r="K182" s="10">
        <f t="shared" si="17"/>
        <v>168739.8009380298</v>
      </c>
      <c r="L182" s="10">
        <f t="shared" si="18"/>
        <v>0</v>
      </c>
      <c r="M182" s="10">
        <f>'D) Ecrêtage'!C181</f>
        <v>129564.85270833333</v>
      </c>
      <c r="N182" s="10">
        <f t="shared" si="19"/>
        <v>154470.5312713153</v>
      </c>
      <c r="O182" s="57">
        <f t="shared" si="20"/>
        <v>323210.33220934507</v>
      </c>
    </row>
    <row r="183" spans="1:15" s="215" customFormat="1" x14ac:dyDescent="0.25">
      <c r="A183" s="303">
        <f>'A) Base RI'!A184</f>
        <v>5705</v>
      </c>
      <c r="B183" s="220" t="str">
        <f>'A) Base RI'!B184</f>
        <v>Bogis-Bossey</v>
      </c>
      <c r="C183" s="490">
        <v>0</v>
      </c>
      <c r="D183" s="216">
        <f>'B) D RI'!AA184</f>
        <v>825</v>
      </c>
      <c r="E183" s="217">
        <f>'B) D RI'!S184</f>
        <v>76</v>
      </c>
      <c r="F183" s="10">
        <f>'B) D RI'!R184</f>
        <v>3605182.8200000003</v>
      </c>
      <c r="G183" s="10">
        <f>'B) D RI'!U184</f>
        <v>47436.61605263158</v>
      </c>
      <c r="H183" s="41">
        <f>'B) D RI'!T184</f>
        <v>3376709.12</v>
      </c>
      <c r="I183" s="10">
        <f t="shared" si="15"/>
        <v>88860.766315789471</v>
      </c>
      <c r="J183" s="31">
        <f t="shared" si="16"/>
        <v>72092.354103508333</v>
      </c>
      <c r="K183" s="10">
        <f t="shared" si="17"/>
        <v>72092.354103508333</v>
      </c>
      <c r="L183" s="10">
        <f t="shared" si="18"/>
        <v>0</v>
      </c>
      <c r="M183" s="10">
        <f>'D) Ecrêtage'!C182</f>
        <v>47436.61605263158</v>
      </c>
      <c r="N183" s="10">
        <f t="shared" si="19"/>
        <v>56555.146941421335</v>
      </c>
      <c r="O183" s="57">
        <f t="shared" si="20"/>
        <v>128647.50104492967</v>
      </c>
    </row>
    <row r="184" spans="1:15" s="215" customFormat="1" x14ac:dyDescent="0.25">
      <c r="A184" s="303">
        <f>'A) Base RI'!A185</f>
        <v>5706</v>
      </c>
      <c r="B184" s="220" t="str">
        <f>'A) Base RI'!B185</f>
        <v>Borex</v>
      </c>
      <c r="C184" s="490">
        <v>0</v>
      </c>
      <c r="D184" s="216">
        <f>'B) D RI'!AA185</f>
        <v>1132</v>
      </c>
      <c r="E184" s="217">
        <f>'B) D RI'!S185</f>
        <v>58</v>
      </c>
      <c r="F184" s="10">
        <f>'B) D RI'!R185</f>
        <v>4447635.97</v>
      </c>
      <c r="G184" s="10">
        <f>'B) D RI'!U185</f>
        <v>76683.378793103446</v>
      </c>
      <c r="H184" s="41">
        <f>'B) D RI'!T185</f>
        <v>4136895.87</v>
      </c>
      <c r="I184" s="10">
        <f t="shared" si="15"/>
        <v>142651.58172413794</v>
      </c>
      <c r="J184" s="31">
        <f t="shared" si="16"/>
        <v>98919.4482971775</v>
      </c>
      <c r="K184" s="10">
        <f t="shared" si="17"/>
        <v>98919.4482971775</v>
      </c>
      <c r="L184" s="10">
        <f t="shared" si="18"/>
        <v>0</v>
      </c>
      <c r="M184" s="10">
        <f>'D) Ecrêtage'!C183</f>
        <v>76683.378793103446</v>
      </c>
      <c r="N184" s="10">
        <f t="shared" si="19"/>
        <v>91423.885523302393</v>
      </c>
      <c r="O184" s="57">
        <f t="shared" si="20"/>
        <v>190343.33382047989</v>
      </c>
    </row>
    <row r="185" spans="1:15" s="215" customFormat="1" x14ac:dyDescent="0.25">
      <c r="A185" s="303">
        <f>'A) Base RI'!A186</f>
        <v>5707</v>
      </c>
      <c r="B185" s="220" t="str">
        <f>'A) Base RI'!B186</f>
        <v>Chavannes-de-Bogis</v>
      </c>
      <c r="C185" s="490">
        <v>0</v>
      </c>
      <c r="D185" s="216">
        <f>'B) D RI'!AA186</f>
        <v>1357</v>
      </c>
      <c r="E185" s="217">
        <f>'B) D RI'!S186</f>
        <v>59</v>
      </c>
      <c r="F185" s="10">
        <f>'B) D RI'!R186</f>
        <v>4797150.6999999993</v>
      </c>
      <c r="G185" s="10">
        <f>'B) D RI'!U186</f>
        <v>81307.638983050841</v>
      </c>
      <c r="H185" s="41">
        <f>'B) D RI'!T186</f>
        <v>4267277.3999999994</v>
      </c>
      <c r="I185" s="10">
        <f t="shared" si="15"/>
        <v>144653.47118644067</v>
      </c>
      <c r="J185" s="31">
        <f t="shared" si="16"/>
        <v>118580.99941631613</v>
      </c>
      <c r="K185" s="10">
        <f t="shared" si="17"/>
        <v>118580.99941631613</v>
      </c>
      <c r="L185" s="10">
        <f t="shared" si="18"/>
        <v>0</v>
      </c>
      <c r="M185" s="10">
        <f>'D) Ecrêtage'!C184</f>
        <v>81307.638983050841</v>
      </c>
      <c r="N185" s="10">
        <f t="shared" si="19"/>
        <v>96937.046796182258</v>
      </c>
      <c r="O185" s="57">
        <f t="shared" si="20"/>
        <v>215518.04621249839</v>
      </c>
    </row>
    <row r="186" spans="1:15" s="215" customFormat="1" x14ac:dyDescent="0.25">
      <c r="A186" s="303">
        <f>'A) Base RI'!A187</f>
        <v>5708</v>
      </c>
      <c r="B186" s="220" t="str">
        <f>'A) Base RI'!B187</f>
        <v>Chavannes-des-Bois</v>
      </c>
      <c r="C186" s="490">
        <v>0</v>
      </c>
      <c r="D186" s="216">
        <f>'B) D RI'!AA187</f>
        <v>960</v>
      </c>
      <c r="E186" s="217">
        <f>'B) D RI'!S187</f>
        <v>68</v>
      </c>
      <c r="F186" s="10">
        <f>'B) D RI'!R187</f>
        <v>4399905.2600000007</v>
      </c>
      <c r="G186" s="10">
        <f>'B) D RI'!U187</f>
        <v>64704.48911764707</v>
      </c>
      <c r="H186" s="41">
        <f>'B) D RI'!T187</f>
        <v>4111336.9100000006</v>
      </c>
      <c r="I186" s="10">
        <f t="shared" si="15"/>
        <v>120921.67382352943</v>
      </c>
      <c r="J186" s="31">
        <f t="shared" si="16"/>
        <v>83889.284774991509</v>
      </c>
      <c r="K186" s="10">
        <f t="shared" si="17"/>
        <v>83889.284774991509</v>
      </c>
      <c r="L186" s="10">
        <f t="shared" si="18"/>
        <v>0</v>
      </c>
      <c r="M186" s="10">
        <f>'D) Ecrêtage'!C185</f>
        <v>64704.48911764707</v>
      </c>
      <c r="N186" s="10">
        <f t="shared" si="19"/>
        <v>77142.346868882989</v>
      </c>
      <c r="O186" s="57">
        <f t="shared" si="20"/>
        <v>161031.63164387451</v>
      </c>
    </row>
    <row r="187" spans="1:15" s="215" customFormat="1" x14ac:dyDescent="0.25">
      <c r="A187" s="303">
        <f>'A) Base RI'!A188</f>
        <v>5709</v>
      </c>
      <c r="B187" s="220" t="str">
        <f>'A) Base RI'!B188</f>
        <v>Chéserex</v>
      </c>
      <c r="C187" s="490">
        <v>0</v>
      </c>
      <c r="D187" s="216">
        <f>'B) D RI'!AA188</f>
        <v>1238</v>
      </c>
      <c r="E187" s="217">
        <f>'B) D RI'!S188</f>
        <v>57</v>
      </c>
      <c r="F187" s="10">
        <f>'B) D RI'!R188</f>
        <v>5667321.8899999997</v>
      </c>
      <c r="G187" s="10">
        <f>'B) D RI'!U188</f>
        <v>99426.699824561394</v>
      </c>
      <c r="H187" s="41">
        <f>'B) D RI'!T188</f>
        <v>5329866.6399999997</v>
      </c>
      <c r="I187" s="10">
        <f t="shared" si="15"/>
        <v>187012.86456140349</v>
      </c>
      <c r="J187" s="31">
        <f t="shared" si="16"/>
        <v>108182.22349108281</v>
      </c>
      <c r="K187" s="10">
        <f t="shared" si="17"/>
        <v>108182.22349108281</v>
      </c>
      <c r="L187" s="10">
        <f t="shared" si="18"/>
        <v>0</v>
      </c>
      <c r="M187" s="10">
        <f>'D) Ecrêtage'!C186</f>
        <v>99426.699824561394</v>
      </c>
      <c r="N187" s="10">
        <f t="shared" si="19"/>
        <v>118539.05456155985</v>
      </c>
      <c r="O187" s="57">
        <f t="shared" si="20"/>
        <v>226721.27805264265</v>
      </c>
    </row>
    <row r="188" spans="1:15" s="215" customFormat="1" x14ac:dyDescent="0.25">
      <c r="A188" s="303">
        <f>'A) Base RI'!A189</f>
        <v>5710</v>
      </c>
      <c r="B188" s="220" t="str">
        <f>'A) Base RI'!B189</f>
        <v>Coinsins</v>
      </c>
      <c r="C188" s="490">
        <v>0</v>
      </c>
      <c r="D188" s="216">
        <f>'B) D RI'!AA189</f>
        <v>494</v>
      </c>
      <c r="E188" s="217">
        <f>'B) D RI'!S189</f>
        <v>51</v>
      </c>
      <c r="F188" s="10">
        <f>'B) D RI'!R189</f>
        <v>5717657.330000001</v>
      </c>
      <c r="G188" s="10">
        <f>'B) D RI'!U189</f>
        <v>112110.92803921571</v>
      </c>
      <c r="H188" s="41">
        <f>'B) D RI'!T189</f>
        <v>5582146.2300000004</v>
      </c>
      <c r="I188" s="10">
        <f t="shared" si="15"/>
        <v>218907.69529411767</v>
      </c>
      <c r="J188" s="31">
        <f t="shared" si="16"/>
        <v>43168.027790464381</v>
      </c>
      <c r="K188" s="10">
        <f t="shared" si="17"/>
        <v>43168.027790464381</v>
      </c>
      <c r="L188" s="10">
        <f t="shared" si="18"/>
        <v>0</v>
      </c>
      <c r="M188" s="10">
        <f>'D) Ecrêtage'!C187</f>
        <v>112110.92803921571</v>
      </c>
      <c r="N188" s="10">
        <f t="shared" si="19"/>
        <v>133661.5158628124</v>
      </c>
      <c r="O188" s="57">
        <f t="shared" si="20"/>
        <v>176829.54365327678</v>
      </c>
    </row>
    <row r="189" spans="1:15" s="215" customFormat="1" x14ac:dyDescent="0.25">
      <c r="A189" s="303">
        <f>'A) Base RI'!A190</f>
        <v>5711</v>
      </c>
      <c r="B189" s="220" t="str">
        <f>'A) Base RI'!B190</f>
        <v>Commugny</v>
      </c>
      <c r="C189" s="490">
        <v>0</v>
      </c>
      <c r="D189" s="216">
        <f>'B) D RI'!AA190</f>
        <v>2935</v>
      </c>
      <c r="E189" s="217">
        <f>'B) D RI'!S190</f>
        <v>57</v>
      </c>
      <c r="F189" s="10">
        <f>'B) D RI'!R190</f>
        <v>14676774.745384617</v>
      </c>
      <c r="G189" s="10">
        <f>'B) D RI'!U190</f>
        <v>257487.27623481784</v>
      </c>
      <c r="H189" s="41">
        <f>'B) D RI'!T190</f>
        <v>13784406.98</v>
      </c>
      <c r="I189" s="10">
        <f t="shared" si="15"/>
        <v>483663.40280701756</v>
      </c>
      <c r="J189" s="31">
        <f t="shared" si="16"/>
        <v>256474.01126520842</v>
      </c>
      <c r="K189" s="10">
        <f t="shared" si="17"/>
        <v>256474.01126520842</v>
      </c>
      <c r="L189" s="10">
        <f t="shared" si="18"/>
        <v>0</v>
      </c>
      <c r="M189" s="10">
        <f>'D) Ecrêtage'!C188</f>
        <v>257487.27623481784</v>
      </c>
      <c r="N189" s="10">
        <f t="shared" si="19"/>
        <v>306982.91646371811</v>
      </c>
      <c r="O189" s="57">
        <f t="shared" si="20"/>
        <v>563456.92772892653</v>
      </c>
    </row>
    <row r="190" spans="1:15" s="215" customFormat="1" x14ac:dyDescent="0.25">
      <c r="A190" s="303">
        <f>'A) Base RI'!A191</f>
        <v>5712</v>
      </c>
      <c r="B190" s="220" t="str">
        <f>'A) Base RI'!B191</f>
        <v>Coppet</v>
      </c>
      <c r="C190" s="490">
        <v>0</v>
      </c>
      <c r="D190" s="216">
        <f>'B) D RI'!AA191</f>
        <v>3211</v>
      </c>
      <c r="E190" s="217">
        <f>'B) D RI'!S191</f>
        <v>53</v>
      </c>
      <c r="F190" s="10">
        <f>'B) D RI'!R191</f>
        <v>20619323.530000001</v>
      </c>
      <c r="G190" s="10">
        <f>'B) D RI'!U191</f>
        <v>389043.84018867929</v>
      </c>
      <c r="H190" s="41">
        <f>'B) D RI'!T191</f>
        <v>19475724.73</v>
      </c>
      <c r="I190" s="10">
        <f t="shared" si="15"/>
        <v>734933.00867924525</v>
      </c>
      <c r="J190" s="31">
        <f t="shared" si="16"/>
        <v>280592.18063801847</v>
      </c>
      <c r="K190" s="10">
        <f t="shared" si="17"/>
        <v>280592.18063801847</v>
      </c>
      <c r="L190" s="10">
        <f t="shared" si="18"/>
        <v>0</v>
      </c>
      <c r="M190" s="10">
        <f>'D) Ecrêtage'!C189</f>
        <v>389043.84018867929</v>
      </c>
      <c r="N190" s="10">
        <f t="shared" si="19"/>
        <v>463828.01682383067</v>
      </c>
      <c r="O190" s="57">
        <f t="shared" si="20"/>
        <v>744420.19746184908</v>
      </c>
    </row>
    <row r="191" spans="1:15" s="215" customFormat="1" x14ac:dyDescent="0.25">
      <c r="A191" s="303">
        <f>'A) Base RI'!A192</f>
        <v>5713</v>
      </c>
      <c r="B191" s="220" t="str">
        <f>'A) Base RI'!B192</f>
        <v>Crans-près-Céligny</v>
      </c>
      <c r="C191" s="490">
        <v>1</v>
      </c>
      <c r="D191" s="216">
        <f>'B) D RI'!AA192</f>
        <v>2286</v>
      </c>
      <c r="E191" s="217">
        <f>'B) D RI'!S192</f>
        <v>56</v>
      </c>
      <c r="F191" s="10">
        <f>'B) D RI'!R192</f>
        <v>15998587.939999999</v>
      </c>
      <c r="G191" s="10">
        <f>'B) D RI'!U192</f>
        <v>285689.07035714283</v>
      </c>
      <c r="H191" s="41">
        <f>'B) D RI'!T192</f>
        <v>15165915.189999999</v>
      </c>
      <c r="I191" s="10">
        <f t="shared" si="15"/>
        <v>541639.82821428566</v>
      </c>
      <c r="J191" s="31">
        <f t="shared" si="16"/>
        <v>199761.35937044854</v>
      </c>
      <c r="K191" s="10">
        <f t="shared" si="17"/>
        <v>0</v>
      </c>
      <c r="L191" s="10">
        <f t="shared" si="18"/>
        <v>199761.35937044854</v>
      </c>
      <c r="M191" s="10">
        <f>'D) Ecrêtage'!C190</f>
        <v>285689.07035714283</v>
      </c>
      <c r="N191" s="10">
        <f t="shared" si="19"/>
        <v>340605.81673194497</v>
      </c>
      <c r="O191" s="57">
        <f t="shared" si="20"/>
        <v>340605.81673194497</v>
      </c>
    </row>
    <row r="192" spans="1:15" s="215" customFormat="1" x14ac:dyDescent="0.25">
      <c r="A192" s="303">
        <f>'A) Base RI'!A193</f>
        <v>5714</v>
      </c>
      <c r="B192" s="220" t="str">
        <f>'A) Base RI'!B193</f>
        <v>Crassier</v>
      </c>
      <c r="C192" s="490">
        <v>0</v>
      </c>
      <c r="D192" s="216">
        <f>'B) D RI'!AA193</f>
        <v>1169</v>
      </c>
      <c r="E192" s="217">
        <f>'B) D RI'!S193</f>
        <v>68</v>
      </c>
      <c r="F192" s="10">
        <f>'B) D RI'!R193</f>
        <v>4743500.2900000019</v>
      </c>
      <c r="G192" s="10">
        <f>'B) D RI'!U193</f>
        <v>69757.357205882377</v>
      </c>
      <c r="H192" s="41">
        <f>'B) D RI'!T193</f>
        <v>4448363.6400000015</v>
      </c>
      <c r="I192" s="10">
        <f t="shared" si="15"/>
        <v>130834.2247058824</v>
      </c>
      <c r="J192" s="31">
        <f t="shared" si="16"/>
        <v>102152.6811478803</v>
      </c>
      <c r="K192" s="10">
        <f t="shared" si="17"/>
        <v>102152.6811478803</v>
      </c>
      <c r="L192" s="10">
        <f t="shared" si="18"/>
        <v>0</v>
      </c>
      <c r="M192" s="10">
        <f>'D) Ecrêtage'!C191</f>
        <v>69757.357205882377</v>
      </c>
      <c r="N192" s="10">
        <f t="shared" si="19"/>
        <v>83166.50544058012</v>
      </c>
      <c r="O192" s="57">
        <f t="shared" si="20"/>
        <v>185319.1865884604</v>
      </c>
    </row>
    <row r="193" spans="1:15" s="215" customFormat="1" x14ac:dyDescent="0.25">
      <c r="A193" s="303">
        <f>'A) Base RI'!A194</f>
        <v>5715</v>
      </c>
      <c r="B193" s="220" t="str">
        <f>'A) Base RI'!B194</f>
        <v>Duillier</v>
      </c>
      <c r="C193" s="490">
        <v>0</v>
      </c>
      <c r="D193" s="216">
        <f>'B) D RI'!AA194</f>
        <v>1090</v>
      </c>
      <c r="E193" s="217">
        <f>'B) D RI'!S194</f>
        <v>66</v>
      </c>
      <c r="F193" s="10">
        <f>'B) D RI'!R194</f>
        <v>4628575.34</v>
      </c>
      <c r="G193" s="10">
        <f>'B) D RI'!U194</f>
        <v>70129.929393939397</v>
      </c>
      <c r="H193" s="41">
        <f>'B) D RI'!T194</f>
        <v>4357810.9399999995</v>
      </c>
      <c r="I193" s="10">
        <f t="shared" si="15"/>
        <v>132054.87696969695</v>
      </c>
      <c r="J193" s="31">
        <f t="shared" si="16"/>
        <v>95249.292088271613</v>
      </c>
      <c r="K193" s="10">
        <f t="shared" si="17"/>
        <v>95249.292088271613</v>
      </c>
      <c r="L193" s="10">
        <f t="shared" si="18"/>
        <v>0</v>
      </c>
      <c r="M193" s="10">
        <f>'D) Ecrêtage'!C192</f>
        <v>70129.929393939397</v>
      </c>
      <c r="N193" s="10">
        <f t="shared" si="19"/>
        <v>83610.695532438127</v>
      </c>
      <c r="O193" s="57">
        <f t="shared" si="20"/>
        <v>178859.98762070975</v>
      </c>
    </row>
    <row r="194" spans="1:15" s="215" customFormat="1" x14ac:dyDescent="0.25">
      <c r="A194" s="303">
        <f>'A) Base RI'!A195</f>
        <v>5716</v>
      </c>
      <c r="B194" s="220" t="str">
        <f>'A) Base RI'!B195</f>
        <v>Eysins</v>
      </c>
      <c r="C194" s="490">
        <v>0</v>
      </c>
      <c r="D194" s="216">
        <f>'B) D RI'!AA195</f>
        <v>1737</v>
      </c>
      <c r="E194" s="217">
        <f>'B) D RI'!S195</f>
        <v>61</v>
      </c>
      <c r="F194" s="10">
        <f>'B) D RI'!R195</f>
        <v>12574943.690000001</v>
      </c>
      <c r="G194" s="10">
        <f>'B) D RI'!U195</f>
        <v>206146.61786885248</v>
      </c>
      <c r="H194" s="41">
        <f>'B) D RI'!T195</f>
        <v>11830207.34</v>
      </c>
      <c r="I194" s="10">
        <f t="shared" si="15"/>
        <v>387875.6504918033</v>
      </c>
      <c r="J194" s="31">
        <f t="shared" si="16"/>
        <v>151787.17463975027</v>
      </c>
      <c r="K194" s="10">
        <f t="shared" si="17"/>
        <v>151787.17463975027</v>
      </c>
      <c r="L194" s="10">
        <f t="shared" si="18"/>
        <v>0</v>
      </c>
      <c r="M194" s="10">
        <f>'D) Ecrêtage'!C193</f>
        <v>206146.61786885248</v>
      </c>
      <c r="N194" s="10">
        <f t="shared" si="19"/>
        <v>245773.27042288493</v>
      </c>
      <c r="O194" s="57">
        <f t="shared" si="20"/>
        <v>397560.44506263523</v>
      </c>
    </row>
    <row r="195" spans="1:15" s="215" customFormat="1" x14ac:dyDescent="0.25">
      <c r="A195" s="303">
        <f>'A) Base RI'!A196</f>
        <v>5717</v>
      </c>
      <c r="B195" s="220" t="str">
        <f>'A) Base RI'!B196</f>
        <v>Founex</v>
      </c>
      <c r="C195" s="490">
        <v>0</v>
      </c>
      <c r="D195" s="216">
        <f>'B) D RI'!AA196</f>
        <v>3772</v>
      </c>
      <c r="E195" s="217">
        <f>'B) D RI'!S196</f>
        <v>57</v>
      </c>
      <c r="F195" s="10">
        <f>'B) D RI'!R196</f>
        <v>19652185.990000002</v>
      </c>
      <c r="G195" s="10">
        <f>'B) D RI'!U196</f>
        <v>344775.19280701759</v>
      </c>
      <c r="H195" s="41">
        <f>'B) D RI'!T196</f>
        <v>18344105.090000004</v>
      </c>
      <c r="I195" s="10">
        <f t="shared" si="15"/>
        <v>643652.81017543876</v>
      </c>
      <c r="J195" s="31">
        <f t="shared" si="16"/>
        <v>329614.98142840416</v>
      </c>
      <c r="K195" s="10">
        <f t="shared" si="17"/>
        <v>329614.98142840416</v>
      </c>
      <c r="L195" s="10">
        <f t="shared" si="18"/>
        <v>0</v>
      </c>
      <c r="M195" s="10">
        <f>'D) Ecrêtage'!C194</f>
        <v>344775.19280701759</v>
      </c>
      <c r="N195" s="10">
        <f t="shared" si="19"/>
        <v>411049.8031588837</v>
      </c>
      <c r="O195" s="57">
        <f t="shared" si="20"/>
        <v>740664.78458728781</v>
      </c>
    </row>
    <row r="196" spans="1:15" s="215" customFormat="1" x14ac:dyDescent="0.25">
      <c r="A196" s="303">
        <f>'A) Base RI'!A197</f>
        <v>5718</v>
      </c>
      <c r="B196" s="220" t="str">
        <f>'A) Base RI'!B197</f>
        <v>Genolier</v>
      </c>
      <c r="C196" s="490">
        <v>0</v>
      </c>
      <c r="D196" s="216">
        <f>'B) D RI'!AA197</f>
        <v>2000</v>
      </c>
      <c r="E196" s="217">
        <f>'B) D RI'!S197</f>
        <v>55</v>
      </c>
      <c r="F196" s="10">
        <f>'B) D RI'!R197</f>
        <v>9431057.8399999999</v>
      </c>
      <c r="G196" s="10">
        <f>'B) D RI'!U197</f>
        <v>171473.77890909091</v>
      </c>
      <c r="H196" s="41">
        <f>'B) D RI'!T197</f>
        <v>8737892.6400000006</v>
      </c>
      <c r="I196" s="10">
        <f t="shared" si="15"/>
        <v>317741.55054545455</v>
      </c>
      <c r="J196" s="31">
        <f t="shared" si="16"/>
        <v>174769.34328123232</v>
      </c>
      <c r="K196" s="10">
        <f t="shared" si="17"/>
        <v>174769.34328123232</v>
      </c>
      <c r="L196" s="10">
        <f t="shared" si="18"/>
        <v>0</v>
      </c>
      <c r="M196" s="10">
        <f>'D) Ecrêtage'!C195</f>
        <v>171473.77890909091</v>
      </c>
      <c r="N196" s="10">
        <f t="shared" si="19"/>
        <v>204435.42498994179</v>
      </c>
      <c r="O196" s="57">
        <f t="shared" si="20"/>
        <v>379204.76827117411</v>
      </c>
    </row>
    <row r="197" spans="1:15" s="215" customFormat="1" x14ac:dyDescent="0.25">
      <c r="A197" s="303">
        <f>'A) Base RI'!A198</f>
        <v>5719</v>
      </c>
      <c r="B197" s="220" t="str">
        <f>'A) Base RI'!B198</f>
        <v>Gingins</v>
      </c>
      <c r="C197" s="490">
        <v>0</v>
      </c>
      <c r="D197" s="216">
        <f>'B) D RI'!AA198</f>
        <v>1239</v>
      </c>
      <c r="E197" s="217">
        <f>'B) D RI'!S198</f>
        <v>57</v>
      </c>
      <c r="F197" s="10">
        <f>'B) D RI'!R198</f>
        <v>8112107.6466666656</v>
      </c>
      <c r="G197" s="10">
        <f>'B) D RI'!U198</f>
        <v>142317.67801169588</v>
      </c>
      <c r="H197" s="41">
        <f>'B) D RI'!T198</f>
        <v>7748231.4299999988</v>
      </c>
      <c r="I197" s="10">
        <f t="shared" si="15"/>
        <v>271867.76947368419</v>
      </c>
      <c r="J197" s="31">
        <f t="shared" si="16"/>
        <v>108269.60816272342</v>
      </c>
      <c r="K197" s="10">
        <f t="shared" si="17"/>
        <v>108269.60816272342</v>
      </c>
      <c r="L197" s="10">
        <f t="shared" si="18"/>
        <v>0</v>
      </c>
      <c r="M197" s="10">
        <f>'D) Ecrêtage'!C196</f>
        <v>142317.67801169588</v>
      </c>
      <c r="N197" s="10">
        <f t="shared" si="19"/>
        <v>169674.77577622945</v>
      </c>
      <c r="O197" s="57">
        <f t="shared" si="20"/>
        <v>277944.38393895287</v>
      </c>
    </row>
    <row r="198" spans="1:15" s="215" customFormat="1" x14ac:dyDescent="0.25">
      <c r="A198" s="303">
        <f>'A) Base RI'!A199</f>
        <v>5720</v>
      </c>
      <c r="B198" s="220" t="str">
        <f>'A) Base RI'!B199</f>
        <v>Givrins</v>
      </c>
      <c r="C198" s="490">
        <v>0</v>
      </c>
      <c r="D198" s="216">
        <f>'B) D RI'!AA199</f>
        <v>1032</v>
      </c>
      <c r="E198" s="217">
        <f>'B) D RI'!S199</f>
        <v>67</v>
      </c>
      <c r="F198" s="10">
        <f>'B) D RI'!R199</f>
        <v>5531812.6177777769</v>
      </c>
      <c r="G198" s="10">
        <f>'B) D RI'!U199</f>
        <v>82564.367429519058</v>
      </c>
      <c r="H198" s="41">
        <f>'B) D RI'!T199</f>
        <v>5235129.3399999989</v>
      </c>
      <c r="I198" s="10">
        <f t="shared" si="15"/>
        <v>156272.51761194027</v>
      </c>
      <c r="J198" s="31">
        <f t="shared" si="16"/>
        <v>90180.981133115885</v>
      </c>
      <c r="K198" s="10">
        <f t="shared" si="17"/>
        <v>90180.981133115885</v>
      </c>
      <c r="L198" s="10">
        <f t="shared" si="18"/>
        <v>0</v>
      </c>
      <c r="M198" s="10">
        <f>'D) Ecrêtage'!C197</f>
        <v>82564.367429519058</v>
      </c>
      <c r="N198" s="10">
        <f t="shared" si="19"/>
        <v>98435.350593329509</v>
      </c>
      <c r="O198" s="57">
        <f t="shared" si="20"/>
        <v>188616.33172644541</v>
      </c>
    </row>
    <row r="199" spans="1:15" s="215" customFormat="1" x14ac:dyDescent="0.25">
      <c r="A199" s="303">
        <f>'A) Base RI'!A200</f>
        <v>5721</v>
      </c>
      <c r="B199" s="220" t="str">
        <f>'A) Base RI'!B200</f>
        <v>Gland</v>
      </c>
      <c r="C199" s="490">
        <v>0</v>
      </c>
      <c r="D199" s="216">
        <f>'B) D RI'!AA200</f>
        <v>13194</v>
      </c>
      <c r="E199" s="217">
        <f>'B) D RI'!S200</f>
        <v>62.5</v>
      </c>
      <c r="F199" s="10">
        <f>'B) D RI'!R200</f>
        <v>40939872.13000001</v>
      </c>
      <c r="G199" s="10">
        <f>'B) D RI'!U200</f>
        <v>655037.95408000017</v>
      </c>
      <c r="H199" s="41">
        <f>'B) D RI'!T200</f>
        <v>37799201.930000007</v>
      </c>
      <c r="I199" s="10">
        <f t="shared" ref="I199:I262" si="21">+H199/E199*$I$5</f>
        <v>1209574.4617600003</v>
      </c>
      <c r="J199" s="31">
        <f t="shared" ref="J199:J262" si="22">+$I$315/$D$315*D199</f>
        <v>1152953.3576262896</v>
      </c>
      <c r="K199" s="10">
        <f t="shared" ref="K199:K262" si="23">IF(C199=1,0,IF(J199&gt;I199,I199,J199))</f>
        <v>1152953.3576262896</v>
      </c>
      <c r="L199" s="10">
        <f t="shared" ref="L199:L262" si="24">+J199-K199</f>
        <v>0</v>
      </c>
      <c r="M199" s="10">
        <f>'D) Ecrêtage'!C198</f>
        <v>655037.95408000017</v>
      </c>
      <c r="N199" s="10">
        <f t="shared" ref="N199:N262" si="25">+$N$5*M199</f>
        <v>780953.00272050651</v>
      </c>
      <c r="O199" s="57">
        <f t="shared" ref="O199:O262" si="26">+N199+K199</f>
        <v>1933906.360346796</v>
      </c>
    </row>
    <row r="200" spans="1:15" s="215" customFormat="1" x14ac:dyDescent="0.25">
      <c r="A200" s="303">
        <f>'A) Base RI'!A201</f>
        <v>5722</v>
      </c>
      <c r="B200" s="220" t="str">
        <f>'A) Base RI'!B201</f>
        <v>Grens</v>
      </c>
      <c r="C200" s="490">
        <v>0</v>
      </c>
      <c r="D200" s="216">
        <f>'B) D RI'!AA201</f>
        <v>383</v>
      </c>
      <c r="E200" s="217">
        <f>'B) D RI'!S201</f>
        <v>62</v>
      </c>
      <c r="F200" s="10">
        <f>'B) D RI'!R201</f>
        <v>1259029.6200000001</v>
      </c>
      <c r="G200" s="10">
        <f>'B) D RI'!U201</f>
        <v>20306.92935483871</v>
      </c>
      <c r="H200" s="41">
        <f>'B) D RI'!T201</f>
        <v>1167270.8700000001</v>
      </c>
      <c r="I200" s="10">
        <f t="shared" si="21"/>
        <v>37653.899032258065</v>
      </c>
      <c r="J200" s="31">
        <f t="shared" si="22"/>
        <v>33468.329238355989</v>
      </c>
      <c r="K200" s="10">
        <f t="shared" si="23"/>
        <v>33468.329238355989</v>
      </c>
      <c r="L200" s="10">
        <f t="shared" si="24"/>
        <v>0</v>
      </c>
      <c r="M200" s="10">
        <f>'D) Ecrêtage'!C199</f>
        <v>20306.92935483871</v>
      </c>
      <c r="N200" s="10">
        <f t="shared" si="25"/>
        <v>24210.440565948717</v>
      </c>
      <c r="O200" s="57">
        <f t="shared" si="26"/>
        <v>57678.769804304706</v>
      </c>
    </row>
    <row r="201" spans="1:15" s="215" customFormat="1" x14ac:dyDescent="0.25">
      <c r="A201" s="303">
        <f>'A) Base RI'!A202</f>
        <v>5723</v>
      </c>
      <c r="B201" s="220" t="str">
        <f>'A) Base RI'!B202</f>
        <v>Mies</v>
      </c>
      <c r="C201" s="490">
        <v>0</v>
      </c>
      <c r="D201" s="216">
        <f>'B) D RI'!AA202</f>
        <v>2116</v>
      </c>
      <c r="E201" s="217">
        <f>'B) D RI'!S202</f>
        <v>53</v>
      </c>
      <c r="F201" s="10">
        <f>'B) D RI'!R202</f>
        <v>30302992.560000006</v>
      </c>
      <c r="G201" s="10">
        <f>'B) D RI'!U202</f>
        <v>571754.57660377375</v>
      </c>
      <c r="H201" s="41">
        <f>'B) D RI'!T202</f>
        <v>29461741.260000005</v>
      </c>
      <c r="I201" s="10">
        <f t="shared" si="21"/>
        <v>1111763.8211320757</v>
      </c>
      <c r="J201" s="31">
        <f t="shared" si="22"/>
        <v>184905.9651915438</v>
      </c>
      <c r="K201" s="10">
        <f t="shared" si="23"/>
        <v>184905.9651915438</v>
      </c>
      <c r="L201" s="10">
        <f t="shared" si="24"/>
        <v>0</v>
      </c>
      <c r="M201" s="10">
        <f>'D) Ecrêtage'!C200</f>
        <v>571754.57660377375</v>
      </c>
      <c r="N201" s="10">
        <f t="shared" si="25"/>
        <v>681660.42995941581</v>
      </c>
      <c r="O201" s="57">
        <f t="shared" si="26"/>
        <v>866566.39515095961</v>
      </c>
    </row>
    <row r="202" spans="1:15" s="215" customFormat="1" x14ac:dyDescent="0.25">
      <c r="A202" s="303">
        <f>'A) Base RI'!A203</f>
        <v>5724</v>
      </c>
      <c r="B202" s="220" t="str">
        <f>'A) Base RI'!B203</f>
        <v>Nyon</v>
      </c>
      <c r="C202" s="490">
        <v>1</v>
      </c>
      <c r="D202" s="216">
        <f>'B) D RI'!AA203</f>
        <v>21416</v>
      </c>
      <c r="E202" s="217">
        <f>'B) D RI'!S203</f>
        <v>61</v>
      </c>
      <c r="F202" s="10">
        <f>'B) D RI'!R203</f>
        <v>85585833.012307674</v>
      </c>
      <c r="G202" s="10">
        <f>'B) D RI'!U203</f>
        <v>1403046.442824716</v>
      </c>
      <c r="H202" s="41">
        <f>'B) D RI'!T203</f>
        <v>79607396.819999978</v>
      </c>
      <c r="I202" s="10">
        <f t="shared" si="21"/>
        <v>2610078.5842622942</v>
      </c>
      <c r="J202" s="31">
        <f t="shared" si="22"/>
        <v>1871430.1278554357</v>
      </c>
      <c r="K202" s="10">
        <f t="shared" si="23"/>
        <v>0</v>
      </c>
      <c r="L202" s="10">
        <f t="shared" si="24"/>
        <v>1871430.1278554357</v>
      </c>
      <c r="M202" s="10">
        <f>'D) Ecrêtage'!C201</f>
        <v>1403046.442824716</v>
      </c>
      <c r="N202" s="10">
        <f t="shared" si="25"/>
        <v>1672747.8547700569</v>
      </c>
      <c r="O202" s="57">
        <f t="shared" si="26"/>
        <v>1672747.8547700569</v>
      </c>
    </row>
    <row r="203" spans="1:15" s="215" customFormat="1" x14ac:dyDescent="0.25">
      <c r="A203" s="303">
        <f>'A) Base RI'!A204</f>
        <v>5725</v>
      </c>
      <c r="B203" s="220" t="str">
        <f>'A) Base RI'!B204</f>
        <v>Prangins</v>
      </c>
      <c r="C203" s="490">
        <v>1</v>
      </c>
      <c r="D203" s="216">
        <f>'B) D RI'!AA204</f>
        <v>4088</v>
      </c>
      <c r="E203" s="217">
        <f>'B) D RI'!S204</f>
        <v>56</v>
      </c>
      <c r="F203" s="10">
        <f>'B) D RI'!R204</f>
        <v>18990507.232857138</v>
      </c>
      <c r="G203" s="10">
        <f>'B) D RI'!U204</f>
        <v>339116.20058673463</v>
      </c>
      <c r="H203" s="41">
        <f>'B) D RI'!T204</f>
        <v>17756649.639999997</v>
      </c>
      <c r="I203" s="10">
        <f t="shared" si="21"/>
        <v>634166.05857142841</v>
      </c>
      <c r="J203" s="31">
        <f t="shared" si="22"/>
        <v>357228.53766683885</v>
      </c>
      <c r="K203" s="10">
        <f t="shared" si="23"/>
        <v>0</v>
      </c>
      <c r="L203" s="10">
        <f t="shared" si="24"/>
        <v>357228.53766683885</v>
      </c>
      <c r="M203" s="10">
        <f>'D) Ecrêtage'!C202</f>
        <v>339116.20058673463</v>
      </c>
      <c r="N203" s="10">
        <f t="shared" si="25"/>
        <v>404303.00789415889</v>
      </c>
      <c r="O203" s="57">
        <f t="shared" si="26"/>
        <v>404303.00789415889</v>
      </c>
    </row>
    <row r="204" spans="1:15" s="215" customFormat="1" x14ac:dyDescent="0.25">
      <c r="A204" s="303">
        <f>'A) Base RI'!A205</f>
        <v>5726</v>
      </c>
      <c r="B204" s="220" t="str">
        <f>'A) Base RI'!B205</f>
        <v>La Rippe</v>
      </c>
      <c r="C204" s="490">
        <v>0</v>
      </c>
      <c r="D204" s="216">
        <f>'B) D RI'!AA205</f>
        <v>1136</v>
      </c>
      <c r="E204" s="217">
        <f>'B) D RI'!S205</f>
        <v>65</v>
      </c>
      <c r="F204" s="10">
        <f>'B) D RI'!R205</f>
        <v>3986224.8200000003</v>
      </c>
      <c r="G204" s="10">
        <f>'B) D RI'!U205</f>
        <v>61326.535692307698</v>
      </c>
      <c r="H204" s="41">
        <f>'B) D RI'!T205</f>
        <v>3723495.4200000004</v>
      </c>
      <c r="I204" s="10">
        <f t="shared" si="21"/>
        <v>114569.08984615386</v>
      </c>
      <c r="J204" s="31">
        <f t="shared" si="22"/>
        <v>99268.98698373996</v>
      </c>
      <c r="K204" s="10">
        <f t="shared" si="23"/>
        <v>99268.98698373996</v>
      </c>
      <c r="L204" s="10">
        <f t="shared" si="24"/>
        <v>0</v>
      </c>
      <c r="M204" s="10">
        <f>'D) Ecrêtage'!C203</f>
        <v>61326.535692307698</v>
      </c>
      <c r="N204" s="10">
        <f t="shared" si="25"/>
        <v>73115.06439748191</v>
      </c>
      <c r="O204" s="57">
        <f t="shared" si="26"/>
        <v>172384.05138122186</v>
      </c>
    </row>
    <row r="205" spans="1:15" s="215" customFormat="1" x14ac:dyDescent="0.25">
      <c r="A205" s="303">
        <f>'A) Base RI'!A206</f>
        <v>5727</v>
      </c>
      <c r="B205" s="220" t="str">
        <f>'A) Base RI'!B206</f>
        <v>Saint-Cergue</v>
      </c>
      <c r="C205" s="490">
        <v>0</v>
      </c>
      <c r="D205" s="216">
        <f>'B) D RI'!AA206</f>
        <v>2603</v>
      </c>
      <c r="E205" s="217">
        <f>'B) D RI'!S206</f>
        <v>66</v>
      </c>
      <c r="F205" s="10">
        <f>'B) D RI'!R206</f>
        <v>6344262.5966666667</v>
      </c>
      <c r="G205" s="10">
        <f>'B) D RI'!U206</f>
        <v>96125.190858585862</v>
      </c>
      <c r="H205" s="41">
        <f>'B) D RI'!T206</f>
        <v>5822937.7799999993</v>
      </c>
      <c r="I205" s="10">
        <f t="shared" si="21"/>
        <v>176452.65999999997</v>
      </c>
      <c r="J205" s="31">
        <f t="shared" si="22"/>
        <v>227462.30028052386</v>
      </c>
      <c r="K205" s="10">
        <f t="shared" si="23"/>
        <v>176452.65999999997</v>
      </c>
      <c r="L205" s="10">
        <f t="shared" si="24"/>
        <v>51009.64028052389</v>
      </c>
      <c r="M205" s="10">
        <f>'D) Ecrêtage'!C204</f>
        <v>96125.190858585862</v>
      </c>
      <c r="N205" s="10">
        <f t="shared" si="25"/>
        <v>114602.9111298277</v>
      </c>
      <c r="O205" s="57">
        <f t="shared" si="26"/>
        <v>291055.57112982764</v>
      </c>
    </row>
    <row r="206" spans="1:15" s="215" customFormat="1" x14ac:dyDescent="0.25">
      <c r="A206" s="303">
        <f>'A) Base RI'!A207</f>
        <v>5728</v>
      </c>
      <c r="B206" s="220" t="str">
        <f>'A) Base RI'!B207</f>
        <v>Signy-Avenex</v>
      </c>
      <c r="C206" s="490">
        <v>0</v>
      </c>
      <c r="D206" s="216">
        <f>'B) D RI'!AA207</f>
        <v>586</v>
      </c>
      <c r="E206" s="217">
        <f>'B) D RI'!S207</f>
        <v>58</v>
      </c>
      <c r="F206" s="10">
        <f>'B) D RI'!R207</f>
        <v>2501272.04</v>
      </c>
      <c r="G206" s="10">
        <f>'B) D RI'!U207</f>
        <v>43125.38</v>
      </c>
      <c r="H206" s="41">
        <f>'B) D RI'!T207</f>
        <v>2231623.19</v>
      </c>
      <c r="I206" s="10">
        <f t="shared" si="21"/>
        <v>76952.52379310345</v>
      </c>
      <c r="J206" s="31">
        <f t="shared" si="22"/>
        <v>51207.417581401074</v>
      </c>
      <c r="K206" s="10">
        <f t="shared" si="23"/>
        <v>51207.417581401074</v>
      </c>
      <c r="L206" s="10">
        <f t="shared" si="24"/>
        <v>0</v>
      </c>
      <c r="M206" s="10">
        <f>'D) Ecrêtage'!C205</f>
        <v>43125.38</v>
      </c>
      <c r="N206" s="10">
        <f t="shared" si="25"/>
        <v>51415.181051248903</v>
      </c>
      <c r="O206" s="57">
        <f t="shared" si="26"/>
        <v>102622.59863264998</v>
      </c>
    </row>
    <row r="207" spans="1:15" s="215" customFormat="1" x14ac:dyDescent="0.25">
      <c r="A207" s="303">
        <f>'A) Base RI'!A208</f>
        <v>5729</v>
      </c>
      <c r="B207" s="220" t="str">
        <f>'A) Base RI'!B208</f>
        <v>Tannay</v>
      </c>
      <c r="C207" s="490">
        <v>0</v>
      </c>
      <c r="D207" s="216">
        <f>'B) D RI'!AA208</f>
        <v>1600</v>
      </c>
      <c r="E207" s="217">
        <f>'B) D RI'!S208</f>
        <v>61</v>
      </c>
      <c r="F207" s="10">
        <f>'B) D RI'!R208</f>
        <v>10790424.316666666</v>
      </c>
      <c r="G207" s="10">
        <f>'B) D RI'!U208</f>
        <v>176892.2019125683</v>
      </c>
      <c r="H207" s="41">
        <f>'B) D RI'!T208</f>
        <v>10231117.35</v>
      </c>
      <c r="I207" s="10">
        <f t="shared" si="21"/>
        <v>335446.47049180325</v>
      </c>
      <c r="J207" s="31">
        <f t="shared" si="22"/>
        <v>139815.47462498586</v>
      </c>
      <c r="K207" s="10">
        <f t="shared" si="23"/>
        <v>139815.47462498586</v>
      </c>
      <c r="L207" s="10">
        <f t="shared" si="24"/>
        <v>0</v>
      </c>
      <c r="M207" s="10">
        <f>'D) Ecrêtage'!C206</f>
        <v>176892.2019125683</v>
      </c>
      <c r="N207" s="10">
        <f t="shared" si="25"/>
        <v>210895.40748136659</v>
      </c>
      <c r="O207" s="57">
        <f t="shared" si="26"/>
        <v>350710.88210635248</v>
      </c>
    </row>
    <row r="208" spans="1:15" s="215" customFormat="1" x14ac:dyDescent="0.25">
      <c r="A208" s="303">
        <f>'A) Base RI'!A209</f>
        <v>5730</v>
      </c>
      <c r="B208" s="220" t="str">
        <f>'A) Base RI'!B209</f>
        <v>Trélex</v>
      </c>
      <c r="C208" s="490">
        <v>0</v>
      </c>
      <c r="D208" s="216">
        <f>'B) D RI'!AA209</f>
        <v>1434</v>
      </c>
      <c r="E208" s="217">
        <f>'B) D RI'!S209</f>
        <v>57</v>
      </c>
      <c r="F208" s="10">
        <f>'B) D RI'!R209</f>
        <v>7665488.7944444446</v>
      </c>
      <c r="G208" s="10">
        <f>'B) D RI'!U209</f>
        <v>134482.25955165693</v>
      </c>
      <c r="H208" s="41">
        <f>'B) D RI'!T209</f>
        <v>7241171.6500000004</v>
      </c>
      <c r="I208" s="10">
        <f t="shared" si="21"/>
        <v>254076.19824561404</v>
      </c>
      <c r="J208" s="31">
        <f t="shared" si="22"/>
        <v>125309.61913264358</v>
      </c>
      <c r="K208" s="10">
        <f t="shared" si="23"/>
        <v>125309.61913264358</v>
      </c>
      <c r="L208" s="10">
        <f t="shared" si="24"/>
        <v>0</v>
      </c>
      <c r="M208" s="10">
        <f>'D) Ecrêtage'!C207</f>
        <v>134482.25955165693</v>
      </c>
      <c r="N208" s="10">
        <f t="shared" si="25"/>
        <v>160333.1894821446</v>
      </c>
      <c r="O208" s="57">
        <f t="shared" si="26"/>
        <v>285642.80861478817</v>
      </c>
    </row>
    <row r="209" spans="1:15" s="215" customFormat="1" x14ac:dyDescent="0.25">
      <c r="A209" s="303">
        <f>'A) Base RI'!A210</f>
        <v>5731</v>
      </c>
      <c r="B209" s="220" t="str">
        <f>'A) Base RI'!B210</f>
        <v>Le Vaud</v>
      </c>
      <c r="C209" s="490">
        <v>0</v>
      </c>
      <c r="D209" s="216">
        <f>'B) D RI'!AA210</f>
        <v>1362</v>
      </c>
      <c r="E209" s="217">
        <f>'B) D RI'!S210</f>
        <v>75</v>
      </c>
      <c r="F209" s="10">
        <f>'B) D RI'!R210</f>
        <v>4645806.6999999993</v>
      </c>
      <c r="G209" s="10">
        <f>'B) D RI'!U210</f>
        <v>61944.089333333322</v>
      </c>
      <c r="H209" s="41">
        <f>'B) D RI'!T210</f>
        <v>4377838.9999999991</v>
      </c>
      <c r="I209" s="10">
        <f t="shared" si="21"/>
        <v>116742.37333333331</v>
      </c>
      <c r="J209" s="31">
        <f t="shared" si="22"/>
        <v>119017.92277451922</v>
      </c>
      <c r="K209" s="10">
        <f t="shared" si="23"/>
        <v>116742.37333333331</v>
      </c>
      <c r="L209" s="10">
        <f t="shared" si="24"/>
        <v>2275.5494411859108</v>
      </c>
      <c r="M209" s="10">
        <f>'D) Ecrêtage'!C208</f>
        <v>61944.089333333322</v>
      </c>
      <c r="N209" s="10">
        <f t="shared" si="25"/>
        <v>73851.32764344498</v>
      </c>
      <c r="O209" s="57">
        <f t="shared" si="26"/>
        <v>190593.70097677829</v>
      </c>
    </row>
    <row r="210" spans="1:15" s="215" customFormat="1" x14ac:dyDescent="0.25">
      <c r="A210" s="303">
        <f>'A) Base RI'!A211</f>
        <v>5732</v>
      </c>
      <c r="B210" s="220" t="str">
        <f>'A) Base RI'!B211</f>
        <v>Vich</v>
      </c>
      <c r="C210" s="490">
        <v>0</v>
      </c>
      <c r="D210" s="216">
        <f>'B) D RI'!AA211</f>
        <v>1083</v>
      </c>
      <c r="E210" s="217">
        <f>'B) D RI'!S211</f>
        <v>66</v>
      </c>
      <c r="F210" s="10">
        <f>'B) D RI'!R211</f>
        <v>4223498.95</v>
      </c>
      <c r="G210" s="10">
        <f>'B) D RI'!U211</f>
        <v>63992.408333333333</v>
      </c>
      <c r="H210" s="41">
        <f>'B) D RI'!T211</f>
        <v>3841858.3000000003</v>
      </c>
      <c r="I210" s="10">
        <f t="shared" si="21"/>
        <v>116419.94848484849</v>
      </c>
      <c r="J210" s="31">
        <f t="shared" si="22"/>
        <v>94637.599386787304</v>
      </c>
      <c r="K210" s="10">
        <f t="shared" si="23"/>
        <v>94637.599386787304</v>
      </c>
      <c r="L210" s="10">
        <f t="shared" si="24"/>
        <v>0</v>
      </c>
      <c r="M210" s="10">
        <f>'D) Ecrêtage'!C209</f>
        <v>63992.408333333333</v>
      </c>
      <c r="N210" s="10">
        <f t="shared" si="25"/>
        <v>76293.385944976777</v>
      </c>
      <c r="O210" s="57">
        <f t="shared" si="26"/>
        <v>170930.9853317641</v>
      </c>
    </row>
    <row r="211" spans="1:15" s="215" customFormat="1" x14ac:dyDescent="0.25">
      <c r="A211" s="303">
        <f>'A) Base RI'!A212</f>
        <v>5741</v>
      </c>
      <c r="B211" s="220" t="str">
        <f>'A) Base RI'!B212</f>
        <v>L'Abergement</v>
      </c>
      <c r="C211" s="490">
        <v>0</v>
      </c>
      <c r="D211" s="216">
        <f>'B) D RI'!AA212</f>
        <v>244</v>
      </c>
      <c r="E211" s="217">
        <f>'B) D RI'!S212</f>
        <v>81</v>
      </c>
      <c r="F211" s="10">
        <f>'B) D RI'!R212</f>
        <v>578692.86</v>
      </c>
      <c r="G211" s="10">
        <f>'B) D RI'!U212</f>
        <v>7144.356296296296</v>
      </c>
      <c r="H211" s="41">
        <f>'B) D RI'!T212</f>
        <v>538622.86</v>
      </c>
      <c r="I211" s="10">
        <f t="shared" si="21"/>
        <v>13299.32987654321</v>
      </c>
      <c r="J211" s="31">
        <f t="shared" si="22"/>
        <v>21321.859880310345</v>
      </c>
      <c r="K211" s="10">
        <f t="shared" si="23"/>
        <v>13299.32987654321</v>
      </c>
      <c r="L211" s="10">
        <f t="shared" si="24"/>
        <v>8022.530003767135</v>
      </c>
      <c r="M211" s="10">
        <f>'D) Ecrêtage'!C210</f>
        <v>7144.356296296296</v>
      </c>
      <c r="N211" s="10">
        <f t="shared" si="25"/>
        <v>8517.6843072154752</v>
      </c>
      <c r="O211" s="57">
        <f t="shared" si="26"/>
        <v>21817.014183758685</v>
      </c>
    </row>
    <row r="212" spans="1:15" s="215" customFormat="1" x14ac:dyDescent="0.25">
      <c r="A212" s="303">
        <f>'A) Base RI'!A213</f>
        <v>5742</v>
      </c>
      <c r="B212" s="220" t="str">
        <f>'A) Base RI'!B213</f>
        <v>Agiez</v>
      </c>
      <c r="C212" s="490">
        <v>0</v>
      </c>
      <c r="D212" s="216">
        <f>'B) D RI'!AA213</f>
        <v>354</v>
      </c>
      <c r="E212" s="217">
        <f>'B) D RI'!S213</f>
        <v>76</v>
      </c>
      <c r="F212" s="10">
        <f>'B) D RI'!R213</f>
        <v>685790.87000000011</v>
      </c>
      <c r="G212" s="10">
        <f>'B) D RI'!U213</f>
        <v>9023.5640789473691</v>
      </c>
      <c r="H212" s="41">
        <f>'B) D RI'!T213</f>
        <v>632657.97000000009</v>
      </c>
      <c r="I212" s="10">
        <f t="shared" si="21"/>
        <v>16648.893947368422</v>
      </c>
      <c r="J212" s="31">
        <f t="shared" si="22"/>
        <v>30934.173760778122</v>
      </c>
      <c r="K212" s="10">
        <f t="shared" si="23"/>
        <v>16648.893947368422</v>
      </c>
      <c r="L212" s="10">
        <f t="shared" si="24"/>
        <v>14285.279813409699</v>
      </c>
      <c r="M212" s="10">
        <f>'D) Ecrêtage'!C211</f>
        <v>9023.5640789473691</v>
      </c>
      <c r="N212" s="10">
        <f t="shared" si="25"/>
        <v>10758.123890076449</v>
      </c>
      <c r="O212" s="57">
        <f t="shared" si="26"/>
        <v>27407.017837444873</v>
      </c>
    </row>
    <row r="213" spans="1:15" s="215" customFormat="1" x14ac:dyDescent="0.25">
      <c r="A213" s="303">
        <f>'A) Base RI'!A214</f>
        <v>5743</v>
      </c>
      <c r="B213" s="220" t="str">
        <f>'A) Base RI'!B214</f>
        <v>Arnex-sur-Orbe</v>
      </c>
      <c r="C213" s="490">
        <v>0</v>
      </c>
      <c r="D213" s="216">
        <f>'B) D RI'!AA214</f>
        <v>633</v>
      </c>
      <c r="E213" s="217">
        <f>'B) D RI'!S214</f>
        <v>73</v>
      </c>
      <c r="F213" s="10">
        <f>'B) D RI'!R214</f>
        <v>1387704.0425</v>
      </c>
      <c r="G213" s="10">
        <f>'B) D RI'!U214</f>
        <v>19009.64441780822</v>
      </c>
      <c r="H213" s="41">
        <f>'B) D RI'!T214</f>
        <v>1302033.98</v>
      </c>
      <c r="I213" s="10">
        <f t="shared" si="21"/>
        <v>35672.16383561644</v>
      </c>
      <c r="J213" s="31">
        <f t="shared" si="22"/>
        <v>55314.497148510032</v>
      </c>
      <c r="K213" s="10">
        <f t="shared" si="23"/>
        <v>35672.16383561644</v>
      </c>
      <c r="L213" s="10">
        <f t="shared" si="24"/>
        <v>19642.333312893592</v>
      </c>
      <c r="M213" s="10">
        <f>'D) Ecrêtage'!C212</f>
        <v>19009.64441780822</v>
      </c>
      <c r="N213" s="10">
        <f t="shared" si="25"/>
        <v>22663.784283442204</v>
      </c>
      <c r="O213" s="57">
        <f t="shared" si="26"/>
        <v>58335.948119058645</v>
      </c>
    </row>
    <row r="214" spans="1:15" s="215" customFormat="1" x14ac:dyDescent="0.25">
      <c r="A214" s="303">
        <f>'A) Base RI'!A215</f>
        <v>5744</v>
      </c>
      <c r="B214" s="220" t="str">
        <f>'A) Base RI'!B215</f>
        <v>Ballaigues</v>
      </c>
      <c r="C214" s="490">
        <v>0</v>
      </c>
      <c r="D214" s="216">
        <f>'B) D RI'!AA215</f>
        <v>1108</v>
      </c>
      <c r="E214" s="217">
        <f>'B) D RI'!S215</f>
        <v>66</v>
      </c>
      <c r="F214" s="10">
        <f>'B) D RI'!R215</f>
        <v>4188170.99</v>
      </c>
      <c r="G214" s="10">
        <f>'B) D RI'!U215</f>
        <v>63457.136212121215</v>
      </c>
      <c r="H214" s="41">
        <f>'B) D RI'!T215</f>
        <v>4007923.8400000003</v>
      </c>
      <c r="I214" s="10">
        <f t="shared" si="21"/>
        <v>121452.23757575758</v>
      </c>
      <c r="J214" s="31">
        <f t="shared" si="22"/>
        <v>96822.216177802708</v>
      </c>
      <c r="K214" s="10">
        <f t="shared" si="23"/>
        <v>96822.216177802708</v>
      </c>
      <c r="L214" s="10">
        <f t="shared" si="24"/>
        <v>0</v>
      </c>
      <c r="M214" s="10">
        <f>'D) Ecrêtage'!C213</f>
        <v>63457.136212121215</v>
      </c>
      <c r="N214" s="10">
        <f t="shared" si="25"/>
        <v>75655.220831444865</v>
      </c>
      <c r="O214" s="57">
        <f t="shared" si="26"/>
        <v>172477.43700924757</v>
      </c>
    </row>
    <row r="215" spans="1:15" s="215" customFormat="1" x14ac:dyDescent="0.25">
      <c r="A215" s="303">
        <f>'A) Base RI'!A216</f>
        <v>5745</v>
      </c>
      <c r="B215" s="220" t="str">
        <f>'A) Base RI'!B216</f>
        <v>Baulmes</v>
      </c>
      <c r="C215" s="490">
        <v>0</v>
      </c>
      <c r="D215" s="216">
        <f>'B) D RI'!AA216</f>
        <v>1042</v>
      </c>
      <c r="E215" s="217">
        <f>'B) D RI'!S216</f>
        <v>78</v>
      </c>
      <c r="F215" s="10">
        <f>'B) D RI'!R216</f>
        <v>2165215.8800000004</v>
      </c>
      <c r="G215" s="10">
        <f>'B) D RI'!U216</f>
        <v>27759.177948717952</v>
      </c>
      <c r="H215" s="41">
        <f>'B) D RI'!T216</f>
        <v>2033669.7800000003</v>
      </c>
      <c r="I215" s="10">
        <f t="shared" si="21"/>
        <v>52145.37897435898</v>
      </c>
      <c r="J215" s="31">
        <f t="shared" si="22"/>
        <v>91054.827849522044</v>
      </c>
      <c r="K215" s="10">
        <f t="shared" si="23"/>
        <v>52145.37897435898</v>
      </c>
      <c r="L215" s="10">
        <f t="shared" si="24"/>
        <v>38909.448875163063</v>
      </c>
      <c r="M215" s="10">
        <f>'D) Ecrêtage'!C214</f>
        <v>27759.177948717952</v>
      </c>
      <c r="N215" s="10">
        <f t="shared" si="25"/>
        <v>33095.201945285349</v>
      </c>
      <c r="O215" s="57">
        <f t="shared" si="26"/>
        <v>85240.58091964433</v>
      </c>
    </row>
    <row r="216" spans="1:15" s="215" customFormat="1" x14ac:dyDescent="0.25">
      <c r="A216" s="303">
        <f>'A) Base RI'!A217</f>
        <v>5746</v>
      </c>
      <c r="B216" s="220" t="str">
        <f>'A) Base RI'!B217</f>
        <v>Bavois</v>
      </c>
      <c r="C216" s="490">
        <v>0</v>
      </c>
      <c r="D216" s="216">
        <f>'B) D RI'!AA217</f>
        <v>952</v>
      </c>
      <c r="E216" s="217">
        <f>'B) D RI'!S217</f>
        <v>73</v>
      </c>
      <c r="F216" s="10">
        <f>'B) D RI'!R217</f>
        <v>1920117.6666666667</v>
      </c>
      <c r="G216" s="10">
        <f>'B) D RI'!U217</f>
        <v>26302.981735159818</v>
      </c>
      <c r="H216" s="41">
        <f>'B) D RI'!T217</f>
        <v>1744017.25</v>
      </c>
      <c r="I216" s="10">
        <f t="shared" si="21"/>
        <v>47781.294520547948</v>
      </c>
      <c r="J216" s="31">
        <f t="shared" si="22"/>
        <v>83190.207401866588</v>
      </c>
      <c r="K216" s="10">
        <f t="shared" si="23"/>
        <v>47781.294520547948</v>
      </c>
      <c r="L216" s="10">
        <f t="shared" si="24"/>
        <v>35408.91288131864</v>
      </c>
      <c r="M216" s="10">
        <f>'D) Ecrêtage'!C215</f>
        <v>26302.981735159818</v>
      </c>
      <c r="N216" s="10">
        <f t="shared" si="25"/>
        <v>31359.087574438421</v>
      </c>
      <c r="O216" s="57">
        <f t="shared" si="26"/>
        <v>79140.382094986373</v>
      </c>
    </row>
    <row r="217" spans="1:15" s="215" customFormat="1" x14ac:dyDescent="0.25">
      <c r="A217" s="303">
        <f>'A) Base RI'!A218</f>
        <v>5747</v>
      </c>
      <c r="B217" s="220" t="str">
        <f>'A) Base RI'!B218</f>
        <v>Bofflens</v>
      </c>
      <c r="C217" s="490">
        <v>0</v>
      </c>
      <c r="D217" s="216">
        <f>'B) D RI'!AA218</f>
        <v>194</v>
      </c>
      <c r="E217" s="217">
        <f>'B) D RI'!S218</f>
        <v>69</v>
      </c>
      <c r="F217" s="10">
        <f>'B) D RI'!R218</f>
        <v>409770.35999999993</v>
      </c>
      <c r="G217" s="10">
        <f>'B) D RI'!U218</f>
        <v>5938.7008695652166</v>
      </c>
      <c r="H217" s="41">
        <f>'B) D RI'!T218</f>
        <v>378121.75999999995</v>
      </c>
      <c r="I217" s="10">
        <f t="shared" si="21"/>
        <v>10960.051014492752</v>
      </c>
      <c r="J217" s="31">
        <f t="shared" si="22"/>
        <v>16952.626298279534</v>
      </c>
      <c r="K217" s="10">
        <f t="shared" si="23"/>
        <v>10960.051014492752</v>
      </c>
      <c r="L217" s="10">
        <f t="shared" si="24"/>
        <v>5992.5752837867822</v>
      </c>
      <c r="M217" s="10">
        <f>'D) Ecrêtage'!C216</f>
        <v>5938.7008695652166</v>
      </c>
      <c r="N217" s="10">
        <f t="shared" si="25"/>
        <v>7080.271070490392</v>
      </c>
      <c r="O217" s="57">
        <f t="shared" si="26"/>
        <v>18040.322084983145</v>
      </c>
    </row>
    <row r="218" spans="1:15" s="215" customFormat="1" x14ac:dyDescent="0.25">
      <c r="A218" s="303">
        <f>'A) Base RI'!A219</f>
        <v>5748</v>
      </c>
      <c r="B218" s="220" t="str">
        <f>'A) Base RI'!B219</f>
        <v>Bretonnières</v>
      </c>
      <c r="C218" s="490">
        <v>0</v>
      </c>
      <c r="D218" s="216">
        <f>'B) D RI'!AA219</f>
        <v>269</v>
      </c>
      <c r="E218" s="217">
        <f>'B) D RI'!S219</f>
        <v>72</v>
      </c>
      <c r="F218" s="10">
        <f>'B) D RI'!R219</f>
        <v>526950.91666666663</v>
      </c>
      <c r="G218" s="10">
        <f>'B) D RI'!U219</f>
        <v>7318.7627314814808</v>
      </c>
      <c r="H218" s="41">
        <f>'B) D RI'!T219</f>
        <v>488354</v>
      </c>
      <c r="I218" s="10">
        <f t="shared" si="21"/>
        <v>13565.388888888889</v>
      </c>
      <c r="J218" s="31">
        <f t="shared" si="22"/>
        <v>23506.476671325749</v>
      </c>
      <c r="K218" s="10">
        <f t="shared" si="23"/>
        <v>13565.388888888889</v>
      </c>
      <c r="L218" s="10">
        <f t="shared" si="24"/>
        <v>9941.0877824368599</v>
      </c>
      <c r="M218" s="10">
        <f>'D) Ecrêtage'!C217</f>
        <v>7318.7627314814808</v>
      </c>
      <c r="N218" s="10">
        <f t="shared" si="25"/>
        <v>8725.6161200261504</v>
      </c>
      <c r="O218" s="57">
        <f t="shared" si="26"/>
        <v>22291.005008915039</v>
      </c>
    </row>
    <row r="219" spans="1:15" s="215" customFormat="1" x14ac:dyDescent="0.25">
      <c r="A219" s="303">
        <f>'A) Base RI'!A220</f>
        <v>5749</v>
      </c>
      <c r="B219" s="220" t="str">
        <f>'A) Base RI'!B220</f>
        <v>Chavornay</v>
      </c>
      <c r="C219" s="490">
        <v>0</v>
      </c>
      <c r="D219" s="216">
        <f>'B) D RI'!AA220</f>
        <v>5135</v>
      </c>
      <c r="E219" s="217">
        <f>'B) D RI'!S220</f>
        <v>72</v>
      </c>
      <c r="F219" s="10">
        <f>'B) D RI'!R220</f>
        <v>9593003.3200000003</v>
      </c>
      <c r="G219" s="10">
        <f>'B) D RI'!U220</f>
        <v>133236.15722222222</v>
      </c>
      <c r="H219" s="41">
        <f>'B) D RI'!T220</f>
        <v>8699852.1700000018</v>
      </c>
      <c r="I219" s="10">
        <f t="shared" si="21"/>
        <v>241662.56027777784</v>
      </c>
      <c r="J219" s="31">
        <f t="shared" si="22"/>
        <v>448720.28887456399</v>
      </c>
      <c r="K219" s="10">
        <f t="shared" si="23"/>
        <v>241662.56027777784</v>
      </c>
      <c r="L219" s="10">
        <f t="shared" si="24"/>
        <v>207057.72859678615</v>
      </c>
      <c r="M219" s="10">
        <f>'D) Ecrêtage'!C218</f>
        <v>133236.15722222222</v>
      </c>
      <c r="N219" s="10">
        <f t="shared" si="25"/>
        <v>158847.55441350825</v>
      </c>
      <c r="O219" s="57">
        <f t="shared" si="26"/>
        <v>400510.11469128611</v>
      </c>
    </row>
    <row r="220" spans="1:15" s="215" customFormat="1" x14ac:dyDescent="0.25">
      <c r="A220" s="303">
        <f>'A) Base RI'!A221</f>
        <v>5750</v>
      </c>
      <c r="B220" s="220" t="str">
        <f>'A) Base RI'!B221</f>
        <v>Les Clées</v>
      </c>
      <c r="C220" s="490">
        <v>0</v>
      </c>
      <c r="D220" s="216">
        <f>'B) D RI'!AA221</f>
        <v>185</v>
      </c>
      <c r="E220" s="217">
        <f>'B) D RI'!S221</f>
        <v>80</v>
      </c>
      <c r="F220" s="10">
        <f>'B) D RI'!R221</f>
        <v>404229.81666666671</v>
      </c>
      <c r="G220" s="10">
        <f>'B) D RI'!U221</f>
        <v>5052.8727083333342</v>
      </c>
      <c r="H220" s="41">
        <f>'B) D RI'!T221</f>
        <v>380750.65</v>
      </c>
      <c r="I220" s="10">
        <f t="shared" si="21"/>
        <v>9518.7662500000006</v>
      </c>
      <c r="J220" s="31">
        <f t="shared" si="22"/>
        <v>16166.164253513991</v>
      </c>
      <c r="K220" s="10">
        <f t="shared" si="23"/>
        <v>9518.7662500000006</v>
      </c>
      <c r="L220" s="10">
        <f t="shared" si="24"/>
        <v>6647.3980035139903</v>
      </c>
      <c r="M220" s="10">
        <f>'D) Ecrêtage'!C219</f>
        <v>5052.8727083333342</v>
      </c>
      <c r="N220" s="10">
        <f t="shared" si="25"/>
        <v>6024.1640798961726</v>
      </c>
      <c r="O220" s="57">
        <f t="shared" si="26"/>
        <v>15542.930329896173</v>
      </c>
    </row>
    <row r="221" spans="1:15" s="215" customFormat="1" x14ac:dyDescent="0.25">
      <c r="A221" s="303">
        <f>'A) Base RI'!A222</f>
        <v>5752</v>
      </c>
      <c r="B221" s="220" t="str">
        <f>'A) Base RI'!B222</f>
        <v>Croy</v>
      </c>
      <c r="C221" s="490">
        <v>0</v>
      </c>
      <c r="D221" s="216">
        <f>'B) D RI'!AA222</f>
        <v>403</v>
      </c>
      <c r="E221" s="217">
        <f>'B) D RI'!S222</f>
        <v>74</v>
      </c>
      <c r="F221" s="10">
        <f>'B) D RI'!R222</f>
        <v>719646.7571428573</v>
      </c>
      <c r="G221" s="10">
        <f>'B) D RI'!U222</f>
        <v>9724.9561776061801</v>
      </c>
      <c r="H221" s="41">
        <f>'B) D RI'!T222</f>
        <v>658250.50000000012</v>
      </c>
      <c r="I221" s="10">
        <f t="shared" si="21"/>
        <v>17790.554054054057</v>
      </c>
      <c r="J221" s="31">
        <f t="shared" si="22"/>
        <v>35216.022671168314</v>
      </c>
      <c r="K221" s="10">
        <f t="shared" si="23"/>
        <v>17790.554054054057</v>
      </c>
      <c r="L221" s="10">
        <f t="shared" si="24"/>
        <v>17425.468617114257</v>
      </c>
      <c r="M221" s="10">
        <f>'D) Ecrêtage'!C220</f>
        <v>9724.9561776061801</v>
      </c>
      <c r="N221" s="10">
        <f t="shared" si="25"/>
        <v>11594.34148956098</v>
      </c>
      <c r="O221" s="57">
        <f t="shared" si="26"/>
        <v>29384.895543615035</v>
      </c>
    </row>
    <row r="222" spans="1:15" s="215" customFormat="1" x14ac:dyDescent="0.25">
      <c r="A222" s="303">
        <f>'A) Base RI'!A223</f>
        <v>5754</v>
      </c>
      <c r="B222" s="220" t="str">
        <f>'A) Base RI'!B223</f>
        <v>Juriens</v>
      </c>
      <c r="C222" s="490">
        <v>0</v>
      </c>
      <c r="D222" s="216">
        <f>'B) D RI'!AA223</f>
        <v>328</v>
      </c>
      <c r="E222" s="217">
        <f>'B) D RI'!S223</f>
        <v>79</v>
      </c>
      <c r="F222" s="10">
        <f>'B) D RI'!R223</f>
        <v>729743.67999999993</v>
      </c>
      <c r="G222" s="10">
        <f>'B) D RI'!U223</f>
        <v>9237.2617721518982</v>
      </c>
      <c r="H222" s="41">
        <f>'B) D RI'!T223</f>
        <v>688341.08</v>
      </c>
      <c r="I222" s="10">
        <f t="shared" si="21"/>
        <v>17426.356455696201</v>
      </c>
      <c r="J222" s="31">
        <f t="shared" si="22"/>
        <v>28662.172298122103</v>
      </c>
      <c r="K222" s="10">
        <f t="shared" si="23"/>
        <v>17426.356455696201</v>
      </c>
      <c r="L222" s="10">
        <f t="shared" si="24"/>
        <v>11235.815842425902</v>
      </c>
      <c r="M222" s="10">
        <f>'D) Ecrêtage'!C221</f>
        <v>9237.2617721518982</v>
      </c>
      <c r="N222" s="10">
        <f t="shared" si="25"/>
        <v>11012.899745647926</v>
      </c>
      <c r="O222" s="57">
        <f t="shared" si="26"/>
        <v>28439.256201344127</v>
      </c>
    </row>
    <row r="223" spans="1:15" s="215" customFormat="1" x14ac:dyDescent="0.25">
      <c r="A223" s="303">
        <f>'A) Base RI'!A224</f>
        <v>5755</v>
      </c>
      <c r="B223" s="220" t="str">
        <f>'A) Base RI'!B224</f>
        <v>Lignerolle</v>
      </c>
      <c r="C223" s="490">
        <v>0</v>
      </c>
      <c r="D223" s="216">
        <f>'B) D RI'!AA224</f>
        <v>437</v>
      </c>
      <c r="E223" s="217">
        <f>'B) D RI'!S224</f>
        <v>80</v>
      </c>
      <c r="F223" s="10">
        <f>'B) D RI'!R224</f>
        <v>787723.1</v>
      </c>
      <c r="G223" s="10">
        <f>'B) D RI'!U224</f>
        <v>9846.5387499999997</v>
      </c>
      <c r="H223" s="41">
        <f>'B) D RI'!T224</f>
        <v>723608.5</v>
      </c>
      <c r="I223" s="10">
        <f t="shared" si="21"/>
        <v>18090.212500000001</v>
      </c>
      <c r="J223" s="31">
        <f t="shared" si="22"/>
        <v>38187.101506949264</v>
      </c>
      <c r="K223" s="10">
        <f t="shared" si="23"/>
        <v>18090.212500000001</v>
      </c>
      <c r="L223" s="10">
        <f t="shared" si="24"/>
        <v>20096.889006949263</v>
      </c>
      <c r="M223" s="10">
        <f>'D) Ecrêtage'!C222</f>
        <v>9846.5387499999997</v>
      </c>
      <c r="N223" s="10">
        <f t="shared" si="25"/>
        <v>11739.295342079029</v>
      </c>
      <c r="O223" s="57">
        <f t="shared" si="26"/>
        <v>29829.507842079031</v>
      </c>
    </row>
    <row r="224" spans="1:15" s="215" customFormat="1" x14ac:dyDescent="0.25">
      <c r="A224" s="303">
        <f>'A) Base RI'!A225</f>
        <v>5756</v>
      </c>
      <c r="B224" s="220" t="str">
        <f>'A) Base RI'!B225</f>
        <v>Montcherand</v>
      </c>
      <c r="C224" s="490">
        <v>1</v>
      </c>
      <c r="D224" s="216">
        <f>'B) D RI'!AA225</f>
        <v>505</v>
      </c>
      <c r="E224" s="217">
        <f>'B) D RI'!S225</f>
        <v>72</v>
      </c>
      <c r="F224" s="10">
        <f>'B) D RI'!R225</f>
        <v>1182892.6199999999</v>
      </c>
      <c r="G224" s="10">
        <f>'B) D RI'!U225</f>
        <v>16429.064166666663</v>
      </c>
      <c r="H224" s="41">
        <f>'B) D RI'!T225</f>
        <v>1097748.22</v>
      </c>
      <c r="I224" s="10">
        <f t="shared" si="21"/>
        <v>30493.00611111111</v>
      </c>
      <c r="J224" s="31">
        <f t="shared" si="22"/>
        <v>44129.259178511165</v>
      </c>
      <c r="K224" s="10">
        <f t="shared" si="23"/>
        <v>0</v>
      </c>
      <c r="L224" s="10">
        <f t="shared" si="24"/>
        <v>44129.259178511165</v>
      </c>
      <c r="M224" s="10">
        <f>'D) Ecrêtage'!C223</f>
        <v>16429.064166666663</v>
      </c>
      <c r="N224" s="10">
        <f t="shared" si="25"/>
        <v>19587.150504685462</v>
      </c>
      <c r="O224" s="57">
        <f t="shared" si="26"/>
        <v>19587.150504685462</v>
      </c>
    </row>
    <row r="225" spans="1:15" s="215" customFormat="1" x14ac:dyDescent="0.25">
      <c r="A225" s="303">
        <f>'A) Base RI'!A226</f>
        <v>5757</v>
      </c>
      <c r="B225" s="220" t="str">
        <f>'A) Base RI'!B226</f>
        <v>Orbe</v>
      </c>
      <c r="C225" s="490">
        <v>1</v>
      </c>
      <c r="D225" s="216">
        <f>'B) D RI'!AA226</f>
        <v>7030</v>
      </c>
      <c r="E225" s="217">
        <f>'B) D RI'!S226</f>
        <v>77</v>
      </c>
      <c r="F225" s="10">
        <f>'B) D RI'!R226</f>
        <v>15678963.430000002</v>
      </c>
      <c r="G225" s="10">
        <f>'B) D RI'!U226</f>
        <v>203622.90168831171</v>
      </c>
      <c r="H225" s="41">
        <f>'B) D RI'!T226</f>
        <v>14278223.180000002</v>
      </c>
      <c r="I225" s="10">
        <f t="shared" si="21"/>
        <v>370862.93974025978</v>
      </c>
      <c r="J225" s="31">
        <f t="shared" si="22"/>
        <v>614314.24163353164</v>
      </c>
      <c r="K225" s="10">
        <f t="shared" si="23"/>
        <v>0</v>
      </c>
      <c r="L225" s="10">
        <f t="shared" si="24"/>
        <v>614314.24163353164</v>
      </c>
      <c r="M225" s="10">
        <f>'D) Ecrêtage'!C224</f>
        <v>203622.90168831171</v>
      </c>
      <c r="N225" s="10">
        <f t="shared" si="25"/>
        <v>242764.43144350738</v>
      </c>
      <c r="O225" s="57">
        <f t="shared" si="26"/>
        <v>242764.43144350738</v>
      </c>
    </row>
    <row r="226" spans="1:15" s="215" customFormat="1" x14ac:dyDescent="0.25">
      <c r="A226" s="303">
        <f>'A) Base RI'!A227</f>
        <v>5758</v>
      </c>
      <c r="B226" s="220" t="str">
        <f>'A) Base RI'!B227</f>
        <v>La Praz</v>
      </c>
      <c r="C226" s="490">
        <v>0</v>
      </c>
      <c r="D226" s="216">
        <f>'B) D RI'!AA227</f>
        <v>165</v>
      </c>
      <c r="E226" s="217">
        <f>'B) D RI'!S227</f>
        <v>83</v>
      </c>
      <c r="F226" s="10">
        <f>'B) D RI'!R227</f>
        <v>374644.90333333332</v>
      </c>
      <c r="G226" s="10">
        <f>'B) D RI'!U227</f>
        <v>4513.7940160642565</v>
      </c>
      <c r="H226" s="41">
        <f>'B) D RI'!T227</f>
        <v>347390.57</v>
      </c>
      <c r="I226" s="10">
        <f t="shared" si="21"/>
        <v>8370.8571084337345</v>
      </c>
      <c r="J226" s="31">
        <f t="shared" si="22"/>
        <v>14418.470820701667</v>
      </c>
      <c r="K226" s="10">
        <f t="shared" si="23"/>
        <v>8370.8571084337345</v>
      </c>
      <c r="L226" s="10">
        <f t="shared" si="24"/>
        <v>6047.613712267932</v>
      </c>
      <c r="M226" s="10">
        <f>'D) Ecrêtage'!C225</f>
        <v>4513.7940160642565</v>
      </c>
      <c r="N226" s="10">
        <f t="shared" si="25"/>
        <v>5381.4606749897084</v>
      </c>
      <c r="O226" s="57">
        <f t="shared" si="26"/>
        <v>13752.317783423443</v>
      </c>
    </row>
    <row r="227" spans="1:15" s="215" customFormat="1" x14ac:dyDescent="0.25">
      <c r="A227" s="303">
        <f>'A) Base RI'!A228</f>
        <v>5759</v>
      </c>
      <c r="B227" s="220" t="str">
        <f>'A) Base RI'!B228</f>
        <v>Premier</v>
      </c>
      <c r="C227" s="490">
        <v>0</v>
      </c>
      <c r="D227" s="216">
        <f>'B) D RI'!AA228</f>
        <v>215</v>
      </c>
      <c r="E227" s="217">
        <f>'B) D RI'!S228</f>
        <v>81</v>
      </c>
      <c r="F227" s="10">
        <f>'B) D RI'!R228</f>
        <v>426568.03</v>
      </c>
      <c r="G227" s="10">
        <f>'B) D RI'!U228</f>
        <v>5266.2719753086421</v>
      </c>
      <c r="H227" s="41">
        <f>'B) D RI'!T228</f>
        <v>397734.78</v>
      </c>
      <c r="I227" s="10">
        <f t="shared" si="21"/>
        <v>9820.6118518518524</v>
      </c>
      <c r="J227" s="31">
        <f t="shared" si="22"/>
        <v>18787.704402732474</v>
      </c>
      <c r="K227" s="10">
        <f t="shared" si="23"/>
        <v>9820.6118518518524</v>
      </c>
      <c r="L227" s="10">
        <f t="shared" si="24"/>
        <v>8967.0925508806213</v>
      </c>
      <c r="M227" s="10">
        <f>'D) Ecrêtage'!C226</f>
        <v>5266.2719753086421</v>
      </c>
      <c r="N227" s="10">
        <f t="shared" si="25"/>
        <v>6278.5841440843433</v>
      </c>
      <c r="O227" s="57">
        <f t="shared" si="26"/>
        <v>16099.195995936196</v>
      </c>
    </row>
    <row r="228" spans="1:15" s="215" customFormat="1" x14ac:dyDescent="0.25">
      <c r="A228" s="303">
        <f>'A) Base RI'!A229</f>
        <v>5760</v>
      </c>
      <c r="B228" s="220" t="str">
        <f>'A) Base RI'!B229</f>
        <v>Rances</v>
      </c>
      <c r="C228" s="490">
        <v>0</v>
      </c>
      <c r="D228" s="216">
        <f>'B) D RI'!AA229</f>
        <v>505</v>
      </c>
      <c r="E228" s="217">
        <f>'B) D RI'!S229</f>
        <v>78</v>
      </c>
      <c r="F228" s="10">
        <f>'B) D RI'!R229</f>
        <v>966666.06333333335</v>
      </c>
      <c r="G228" s="10">
        <f>'B) D RI'!U229</f>
        <v>12393.154658119658</v>
      </c>
      <c r="H228" s="41">
        <f>'B) D RI'!T229</f>
        <v>896427.03</v>
      </c>
      <c r="I228" s="10">
        <f t="shared" si="21"/>
        <v>22985.308461538461</v>
      </c>
      <c r="J228" s="31">
        <f t="shared" si="22"/>
        <v>44129.259178511165</v>
      </c>
      <c r="K228" s="10">
        <f t="shared" si="23"/>
        <v>22985.308461538461</v>
      </c>
      <c r="L228" s="10">
        <f t="shared" si="24"/>
        <v>21143.950716972704</v>
      </c>
      <c r="M228" s="10">
        <f>'D) Ecrêtage'!C227</f>
        <v>12393.154658119658</v>
      </c>
      <c r="N228" s="10">
        <f t="shared" si="25"/>
        <v>14775.435962381107</v>
      </c>
      <c r="O228" s="57">
        <f t="shared" si="26"/>
        <v>37760.744423919568</v>
      </c>
    </row>
    <row r="229" spans="1:15" s="215" customFormat="1" x14ac:dyDescent="0.25">
      <c r="A229" s="303">
        <f>'A) Base RI'!A230</f>
        <v>5761</v>
      </c>
      <c r="B229" s="220" t="str">
        <f>'A) Base RI'!B230</f>
        <v>Romainmôtier-Envy</v>
      </c>
      <c r="C229" s="490">
        <v>0</v>
      </c>
      <c r="D229" s="216">
        <f>'B) D RI'!AA230</f>
        <v>535</v>
      </c>
      <c r="E229" s="217">
        <f>'B) D RI'!S230</f>
        <v>81</v>
      </c>
      <c r="F229" s="10">
        <f>'B) D RI'!R230</f>
        <v>996328.05545454542</v>
      </c>
      <c r="G229" s="10">
        <f>'B) D RI'!U230</f>
        <v>12300.346363636363</v>
      </c>
      <c r="H229" s="41">
        <f>'B) D RI'!T230</f>
        <v>905946.46</v>
      </c>
      <c r="I229" s="10">
        <f t="shared" si="21"/>
        <v>22369.048395061727</v>
      </c>
      <c r="J229" s="31">
        <f t="shared" si="22"/>
        <v>46750.799327729648</v>
      </c>
      <c r="K229" s="10">
        <f t="shared" si="23"/>
        <v>22369.048395061727</v>
      </c>
      <c r="L229" s="10">
        <f t="shared" si="24"/>
        <v>24381.750932667921</v>
      </c>
      <c r="M229" s="10">
        <f>'D) Ecrêtage'!C228</f>
        <v>12300.346363636363</v>
      </c>
      <c r="N229" s="10">
        <f t="shared" si="25"/>
        <v>14664.787539945961</v>
      </c>
      <c r="O229" s="57">
        <f t="shared" si="26"/>
        <v>37033.835935007686</v>
      </c>
    </row>
    <row r="230" spans="1:15" s="215" customFormat="1" x14ac:dyDescent="0.25">
      <c r="A230" s="303">
        <f>'A) Base RI'!A231</f>
        <v>5762</v>
      </c>
      <c r="B230" s="220" t="str">
        <f>'A) Base RI'!B231</f>
        <v>Sergey</v>
      </c>
      <c r="C230" s="490">
        <v>0</v>
      </c>
      <c r="D230" s="216">
        <f>'B) D RI'!AA231</f>
        <v>145</v>
      </c>
      <c r="E230" s="217">
        <f>'B) D RI'!S231</f>
        <v>78</v>
      </c>
      <c r="F230" s="10">
        <f>'B) D RI'!R231</f>
        <v>312680.32999999996</v>
      </c>
      <c r="G230" s="10">
        <f>'B) D RI'!U231</f>
        <v>4008.7221794871789</v>
      </c>
      <c r="H230" s="41">
        <f>'B) D RI'!T231</f>
        <v>292736.73</v>
      </c>
      <c r="I230" s="10">
        <f t="shared" si="21"/>
        <v>7506.07</v>
      </c>
      <c r="J230" s="31">
        <f t="shared" si="22"/>
        <v>12670.777387889344</v>
      </c>
      <c r="K230" s="10">
        <f t="shared" si="23"/>
        <v>7506.07</v>
      </c>
      <c r="L230" s="10">
        <f t="shared" si="24"/>
        <v>5164.7073878893443</v>
      </c>
      <c r="M230" s="10">
        <f>'D) Ecrêtage'!C229</f>
        <v>4008.7221794871789</v>
      </c>
      <c r="N230" s="10">
        <f t="shared" si="25"/>
        <v>4779.3011132305483</v>
      </c>
      <c r="O230" s="57">
        <f t="shared" si="26"/>
        <v>12285.371113230547</v>
      </c>
    </row>
    <row r="231" spans="1:15" s="215" customFormat="1" x14ac:dyDescent="0.25">
      <c r="A231" s="303">
        <f>'A) Base RI'!A232</f>
        <v>5763</v>
      </c>
      <c r="B231" s="220" t="str">
        <f>'A) Base RI'!B232</f>
        <v>Valeyres-sous-Rances</v>
      </c>
      <c r="C231" s="490">
        <v>0</v>
      </c>
      <c r="D231" s="216">
        <f>'B) D RI'!AA232</f>
        <v>620</v>
      </c>
      <c r="E231" s="217">
        <f>'B) D RI'!S232</f>
        <v>68</v>
      </c>
      <c r="F231" s="10">
        <f>'B) D RI'!R232</f>
        <v>1490289.1400000001</v>
      </c>
      <c r="G231" s="10">
        <f>'B) D RI'!U232</f>
        <v>21916.016764705884</v>
      </c>
      <c r="H231" s="41">
        <f>'B) D RI'!T232</f>
        <v>1394974.79</v>
      </c>
      <c r="I231" s="10">
        <f t="shared" si="21"/>
        <v>41028.670294117648</v>
      </c>
      <c r="J231" s="31">
        <f t="shared" si="22"/>
        <v>54178.496417182017</v>
      </c>
      <c r="K231" s="10">
        <f t="shared" si="23"/>
        <v>41028.670294117648</v>
      </c>
      <c r="L231" s="10">
        <f t="shared" si="24"/>
        <v>13149.826123064369</v>
      </c>
      <c r="M231" s="10">
        <f>'D) Ecrêtage'!C230</f>
        <v>21916.016764705884</v>
      </c>
      <c r="N231" s="10">
        <f t="shared" si="25"/>
        <v>26128.835731524206</v>
      </c>
      <c r="O231" s="57">
        <f t="shared" si="26"/>
        <v>67157.506025641851</v>
      </c>
    </row>
    <row r="232" spans="1:15" s="215" customFormat="1" x14ac:dyDescent="0.25">
      <c r="A232" s="303">
        <f>'A) Base RI'!A233</f>
        <v>5764</v>
      </c>
      <c r="B232" s="220" t="str">
        <f>'A) Base RI'!B233</f>
        <v>Vallorbe</v>
      </c>
      <c r="C232" s="490">
        <v>0</v>
      </c>
      <c r="D232" s="216">
        <f>'B) D RI'!AA233</f>
        <v>3857</v>
      </c>
      <c r="E232" s="217">
        <f>'B) D RI'!S233</f>
        <v>73</v>
      </c>
      <c r="F232" s="10">
        <f>'B) D RI'!R233</f>
        <v>6426994.8099999996</v>
      </c>
      <c r="G232" s="10">
        <f>'B) D RI'!U233</f>
        <v>88041.024794520548</v>
      </c>
      <c r="H232" s="41">
        <f>'B) D RI'!T233</f>
        <v>5936696.5599999996</v>
      </c>
      <c r="I232" s="10">
        <f t="shared" si="21"/>
        <v>162649.22082191778</v>
      </c>
      <c r="J232" s="31">
        <f t="shared" si="22"/>
        <v>337042.67851785652</v>
      </c>
      <c r="K232" s="10">
        <f t="shared" si="23"/>
        <v>162649.22082191778</v>
      </c>
      <c r="L232" s="10">
        <f t="shared" si="24"/>
        <v>174393.45769593873</v>
      </c>
      <c r="M232" s="10">
        <f>'D) Ecrêtage'!C231</f>
        <v>88041.024794520548</v>
      </c>
      <c r="N232" s="10">
        <f t="shared" si="25"/>
        <v>104964.76158002012</v>
      </c>
      <c r="O232" s="57">
        <f t="shared" si="26"/>
        <v>267613.98240193789</v>
      </c>
    </row>
    <row r="233" spans="1:15" s="215" customFormat="1" x14ac:dyDescent="0.25">
      <c r="A233" s="303">
        <f>'A) Base RI'!A234</f>
        <v>5765</v>
      </c>
      <c r="B233" s="220" t="str">
        <f>'A) Base RI'!B234</f>
        <v>Vaulion</v>
      </c>
      <c r="C233" s="490">
        <v>0</v>
      </c>
      <c r="D233" s="216">
        <f>'B) D RI'!AA234</f>
        <v>496</v>
      </c>
      <c r="E233" s="217">
        <f>'B) D RI'!S234</f>
        <v>81</v>
      </c>
      <c r="F233" s="10">
        <f>'B) D RI'!R234</f>
        <v>969524.11999999988</v>
      </c>
      <c r="G233" s="10">
        <f>'B) D RI'!U234</f>
        <v>11969.433580246912</v>
      </c>
      <c r="H233" s="41">
        <f>'B) D RI'!T234</f>
        <v>905972.11999999988</v>
      </c>
      <c r="I233" s="10">
        <f t="shared" si="21"/>
        <v>22369.681975308638</v>
      </c>
      <c r="J233" s="31">
        <f t="shared" si="22"/>
        <v>43342.797133745618</v>
      </c>
      <c r="K233" s="10">
        <f t="shared" si="23"/>
        <v>22369.681975308638</v>
      </c>
      <c r="L233" s="10">
        <f t="shared" si="24"/>
        <v>20973.11515843698</v>
      </c>
      <c r="M233" s="10">
        <f>'D) Ecrêtage'!C232</f>
        <v>11969.433580246912</v>
      </c>
      <c r="N233" s="10">
        <f t="shared" si="25"/>
        <v>14270.264855852713</v>
      </c>
      <c r="O233" s="57">
        <f t="shared" si="26"/>
        <v>36639.946831161353</v>
      </c>
    </row>
    <row r="234" spans="1:15" s="215" customFormat="1" x14ac:dyDescent="0.25">
      <c r="A234" s="303">
        <f>'A) Base RI'!A235</f>
        <v>5766</v>
      </c>
      <c r="B234" s="220" t="str">
        <f>'A) Base RI'!B235</f>
        <v>Vuiteboeuf</v>
      </c>
      <c r="C234" s="490">
        <v>0</v>
      </c>
      <c r="D234" s="216">
        <f>'B) D RI'!AA235</f>
        <v>576</v>
      </c>
      <c r="E234" s="217">
        <f>'B) D RI'!S235</f>
        <v>77</v>
      </c>
      <c r="F234" s="10">
        <f>'B) D RI'!R235</f>
        <v>1075165.99</v>
      </c>
      <c r="G234" s="10">
        <f>'B) D RI'!U235</f>
        <v>13963.194675324676</v>
      </c>
      <c r="H234" s="41">
        <f>'B) D RI'!T235</f>
        <v>990517.34</v>
      </c>
      <c r="I234" s="10">
        <f t="shared" si="21"/>
        <v>25727.723116883117</v>
      </c>
      <c r="J234" s="31">
        <f t="shared" si="22"/>
        <v>50333.570864994908</v>
      </c>
      <c r="K234" s="10">
        <f t="shared" si="23"/>
        <v>25727.723116883117</v>
      </c>
      <c r="L234" s="10">
        <f t="shared" si="24"/>
        <v>24605.847748111792</v>
      </c>
      <c r="M234" s="10">
        <f>'D) Ecrêtage'!C233</f>
        <v>13963.194675324676</v>
      </c>
      <c r="N234" s="10">
        <f t="shared" si="25"/>
        <v>16647.277827711961</v>
      </c>
      <c r="O234" s="57">
        <f t="shared" si="26"/>
        <v>42375.000944595078</v>
      </c>
    </row>
    <row r="235" spans="1:15" s="215" customFormat="1" x14ac:dyDescent="0.25">
      <c r="A235" s="303">
        <f>'A) Base RI'!A236</f>
        <v>5785</v>
      </c>
      <c r="B235" s="220" t="str">
        <f>'A) Base RI'!B236</f>
        <v>Corcelles-le-Jorat</v>
      </c>
      <c r="C235" s="490">
        <v>0</v>
      </c>
      <c r="D235" s="216">
        <f>'B) D RI'!AA236</f>
        <v>458</v>
      </c>
      <c r="E235" s="217">
        <f>'B) D RI'!S236</f>
        <v>77</v>
      </c>
      <c r="F235" s="10">
        <f>'B) D RI'!R236</f>
        <v>1307621.7600000002</v>
      </c>
      <c r="G235" s="10">
        <f>'B) D RI'!U236</f>
        <v>16982.100779220782</v>
      </c>
      <c r="H235" s="41">
        <f>'B) D RI'!T236</f>
        <v>1236946.9100000001</v>
      </c>
      <c r="I235" s="10">
        <f t="shared" si="21"/>
        <v>32128.491168831173</v>
      </c>
      <c r="J235" s="31">
        <f t="shared" si="22"/>
        <v>40022.1796114022</v>
      </c>
      <c r="K235" s="10">
        <f t="shared" si="23"/>
        <v>32128.491168831173</v>
      </c>
      <c r="L235" s="10">
        <f t="shared" si="24"/>
        <v>7893.6884425710268</v>
      </c>
      <c r="M235" s="10">
        <f>'D) Ecrêtage'!C234</f>
        <v>16982.100779220782</v>
      </c>
      <c r="N235" s="10">
        <f t="shared" si="25"/>
        <v>20246.494899156638</v>
      </c>
      <c r="O235" s="57">
        <f t="shared" si="26"/>
        <v>52374.986067987811</v>
      </c>
    </row>
    <row r="236" spans="1:15" s="215" customFormat="1" x14ac:dyDescent="0.25">
      <c r="A236" s="303">
        <f>'A) Base RI'!A237</f>
        <v>5788</v>
      </c>
      <c r="B236" s="220" t="str">
        <f>'A) Base RI'!B237</f>
        <v>Essertes</v>
      </c>
      <c r="C236" s="490">
        <v>0</v>
      </c>
      <c r="D236" s="216">
        <f>'B) D RI'!AA237</f>
        <v>380</v>
      </c>
      <c r="E236" s="217">
        <f>'B) D RI'!S237</f>
        <v>72</v>
      </c>
      <c r="F236" s="10">
        <f>'B) D RI'!R237</f>
        <v>890877.35</v>
      </c>
      <c r="G236" s="10">
        <f>'B) D RI'!U237</f>
        <v>12373.296527777777</v>
      </c>
      <c r="H236" s="41">
        <f>'B) D RI'!T237</f>
        <v>814802.54999999993</v>
      </c>
      <c r="I236" s="10">
        <f t="shared" si="21"/>
        <v>22633.404166666664</v>
      </c>
      <c r="J236" s="31">
        <f t="shared" si="22"/>
        <v>33206.17522343414</v>
      </c>
      <c r="K236" s="10">
        <f t="shared" si="23"/>
        <v>22633.404166666664</v>
      </c>
      <c r="L236" s="10">
        <f t="shared" si="24"/>
        <v>10572.771056767477</v>
      </c>
      <c r="M236" s="10">
        <f>'D) Ecrêtage'!C235</f>
        <v>12373.296527777777</v>
      </c>
      <c r="N236" s="10">
        <f t="shared" si="25"/>
        <v>14751.760591477312</v>
      </c>
      <c r="O236" s="57">
        <f t="shared" si="26"/>
        <v>37385.164758143976</v>
      </c>
    </row>
    <row r="237" spans="1:15" s="215" customFormat="1" x14ac:dyDescent="0.25">
      <c r="A237" s="303">
        <f>'A) Base RI'!A238</f>
        <v>5790</v>
      </c>
      <c r="B237" s="220" t="str">
        <f>'A) Base RI'!B238</f>
        <v>Maracon</v>
      </c>
      <c r="C237" s="490">
        <v>0</v>
      </c>
      <c r="D237" s="216">
        <f>'B) D RI'!AA238</f>
        <v>538</v>
      </c>
      <c r="E237" s="217">
        <f>'B) D RI'!S238</f>
        <v>76</v>
      </c>
      <c r="F237" s="10">
        <f>'B) D RI'!R238</f>
        <v>1096899.52</v>
      </c>
      <c r="G237" s="10">
        <f>'B) D RI'!U238</f>
        <v>14432.888421052632</v>
      </c>
      <c r="H237" s="41">
        <f>'B) D RI'!T238</f>
        <v>1015130.77</v>
      </c>
      <c r="I237" s="10">
        <f t="shared" si="21"/>
        <v>26713.967631578947</v>
      </c>
      <c r="J237" s="31">
        <f t="shared" si="22"/>
        <v>47012.953342651497</v>
      </c>
      <c r="K237" s="10">
        <f t="shared" si="23"/>
        <v>26713.967631578947</v>
      </c>
      <c r="L237" s="10">
        <f t="shared" si="24"/>
        <v>20298.98571107255</v>
      </c>
      <c r="M237" s="10">
        <f>'D) Ecrêtage'!C236</f>
        <v>14432.888421052632</v>
      </c>
      <c r="N237" s="10">
        <f t="shared" si="25"/>
        <v>17207.258724697498</v>
      </c>
      <c r="O237" s="57">
        <f t="shared" si="26"/>
        <v>43921.226356276442</v>
      </c>
    </row>
    <row r="238" spans="1:15" s="215" customFormat="1" x14ac:dyDescent="0.25">
      <c r="A238" s="303">
        <f>'A) Base RI'!A239</f>
        <v>5792</v>
      </c>
      <c r="B238" s="220" t="str">
        <f>'A) Base RI'!B239</f>
        <v>Montpreveyres</v>
      </c>
      <c r="C238" s="490">
        <v>0</v>
      </c>
      <c r="D238" s="216">
        <f>'B) D RI'!AA239</f>
        <v>657</v>
      </c>
      <c r="E238" s="217">
        <f>'B) D RI'!S239</f>
        <v>77</v>
      </c>
      <c r="F238" s="10">
        <f>'B) D RI'!R239</f>
        <v>1551141.77</v>
      </c>
      <c r="G238" s="10">
        <f>'B) D RI'!U239</f>
        <v>20144.698311688313</v>
      </c>
      <c r="H238" s="41">
        <f>'B) D RI'!T239</f>
        <v>1433432.1700000002</v>
      </c>
      <c r="I238" s="10">
        <f t="shared" si="21"/>
        <v>37232.004415584423</v>
      </c>
      <c r="J238" s="31">
        <f t="shared" si="22"/>
        <v>57411.729267884817</v>
      </c>
      <c r="K238" s="10">
        <f t="shared" si="23"/>
        <v>37232.004415584423</v>
      </c>
      <c r="L238" s="10">
        <f t="shared" si="24"/>
        <v>20179.724852300395</v>
      </c>
      <c r="M238" s="10">
        <f>'D) Ecrêtage'!C237</f>
        <v>20144.698311688313</v>
      </c>
      <c r="N238" s="10">
        <f t="shared" si="25"/>
        <v>24017.024566931184</v>
      </c>
      <c r="O238" s="57">
        <f t="shared" si="26"/>
        <v>61249.028982515607</v>
      </c>
    </row>
    <row r="239" spans="1:15" s="215" customFormat="1" x14ac:dyDescent="0.25">
      <c r="A239" s="303">
        <f>'A) Base RI'!A240</f>
        <v>5798</v>
      </c>
      <c r="B239" s="220" t="str">
        <f>'A) Base RI'!B240</f>
        <v>Ropraz</v>
      </c>
      <c r="C239" s="490">
        <v>0</v>
      </c>
      <c r="D239" s="216">
        <f>'B) D RI'!AA240</f>
        <v>488</v>
      </c>
      <c r="E239" s="217">
        <f>'B) D RI'!S240</f>
        <v>77.5</v>
      </c>
      <c r="F239" s="10">
        <f>'B) D RI'!R240</f>
        <v>1113877.0999999999</v>
      </c>
      <c r="G239" s="10">
        <f>'B) D RI'!U240</f>
        <v>14372.607741935482</v>
      </c>
      <c r="H239" s="41">
        <f>'B) D RI'!T240</f>
        <v>1032936.35</v>
      </c>
      <c r="I239" s="10">
        <f t="shared" si="21"/>
        <v>26656.421935483871</v>
      </c>
      <c r="J239" s="31">
        <f t="shared" si="22"/>
        <v>42643.71976062069</v>
      </c>
      <c r="K239" s="10">
        <f t="shared" si="23"/>
        <v>26656.421935483871</v>
      </c>
      <c r="L239" s="10">
        <f t="shared" si="24"/>
        <v>15987.297825136819</v>
      </c>
      <c r="M239" s="10">
        <f>'D) Ecrêtage'!C238</f>
        <v>14372.607741935482</v>
      </c>
      <c r="N239" s="10">
        <f t="shared" si="25"/>
        <v>17135.390557258732</v>
      </c>
      <c r="O239" s="57">
        <f t="shared" si="26"/>
        <v>43791.812492742603</v>
      </c>
    </row>
    <row r="240" spans="1:15" s="215" customFormat="1" x14ac:dyDescent="0.25">
      <c r="A240" s="303">
        <f>'A) Base RI'!A241</f>
        <v>5799</v>
      </c>
      <c r="B240" s="220" t="str">
        <f>'A) Base RI'!B241</f>
        <v>Servion</v>
      </c>
      <c r="C240" s="490">
        <v>0</v>
      </c>
      <c r="D240" s="216">
        <f>'B) D RI'!AA241</f>
        <v>1997</v>
      </c>
      <c r="E240" s="217">
        <f>'B) D RI'!S241</f>
        <v>69</v>
      </c>
      <c r="F240" s="10">
        <f>'B) D RI'!R241</f>
        <v>4907985.080000001</v>
      </c>
      <c r="G240" s="10">
        <f>'B) D RI'!U241</f>
        <v>71130.218550724647</v>
      </c>
      <c r="H240" s="41">
        <f>'B) D RI'!T241</f>
        <v>4486598.6800000006</v>
      </c>
      <c r="I240" s="10">
        <f t="shared" si="21"/>
        <v>130046.33855072466</v>
      </c>
      <c r="J240" s="31">
        <f t="shared" si="22"/>
        <v>174507.18926631048</v>
      </c>
      <c r="K240" s="10">
        <f t="shared" si="23"/>
        <v>130046.33855072466</v>
      </c>
      <c r="L240" s="10">
        <f t="shared" si="24"/>
        <v>44460.850715585824</v>
      </c>
      <c r="M240" s="10">
        <f>'D) Ecrêtage'!C239</f>
        <v>71130.218550724647</v>
      </c>
      <c r="N240" s="10">
        <f t="shared" si="25"/>
        <v>84803.265849493066</v>
      </c>
      <c r="O240" s="57">
        <f t="shared" si="26"/>
        <v>214849.60440021771</v>
      </c>
    </row>
    <row r="241" spans="1:15" s="215" customFormat="1" x14ac:dyDescent="0.25">
      <c r="A241" s="303">
        <f>'A) Base RI'!A242</f>
        <v>5803</v>
      </c>
      <c r="B241" s="220" t="str">
        <f>'A) Base RI'!B242</f>
        <v>Vulliens</v>
      </c>
      <c r="C241" s="490">
        <v>0</v>
      </c>
      <c r="D241" s="216">
        <f>'B) D RI'!AA242</f>
        <v>614</v>
      </c>
      <c r="E241" s="217">
        <f>'B) D RI'!S242</f>
        <v>78</v>
      </c>
      <c r="F241" s="10">
        <f>'B) D RI'!R242</f>
        <v>1362812.4600000004</v>
      </c>
      <c r="G241" s="10">
        <f>'B) D RI'!U242</f>
        <v>17471.95461538462</v>
      </c>
      <c r="H241" s="41">
        <f>'B) D RI'!T242</f>
        <v>1258040.6100000003</v>
      </c>
      <c r="I241" s="10">
        <f t="shared" si="21"/>
        <v>32257.451538461548</v>
      </c>
      <c r="J241" s="31">
        <f t="shared" si="22"/>
        <v>53654.188387338327</v>
      </c>
      <c r="K241" s="10">
        <f t="shared" si="23"/>
        <v>32257.451538461548</v>
      </c>
      <c r="L241" s="10">
        <f t="shared" si="24"/>
        <v>21396.736848876779</v>
      </c>
      <c r="M241" s="10">
        <f>'D) Ecrêtage'!C240</f>
        <v>17471.95461538462</v>
      </c>
      <c r="N241" s="10">
        <f t="shared" si="25"/>
        <v>20830.511171593254</v>
      </c>
      <c r="O241" s="57">
        <f t="shared" si="26"/>
        <v>53087.962710054802</v>
      </c>
    </row>
    <row r="242" spans="1:15" s="215" customFormat="1" x14ac:dyDescent="0.25">
      <c r="A242" s="303">
        <f>'A) Base RI'!A243</f>
        <v>5804</v>
      </c>
      <c r="B242" s="220" t="str">
        <f>'A) Base RI'!B243</f>
        <v>Jorat-Menthue</v>
      </c>
      <c r="C242" s="490">
        <v>0</v>
      </c>
      <c r="D242" s="216">
        <f>'B) D RI'!AA243</f>
        <v>1591</v>
      </c>
      <c r="E242" s="217">
        <f>'B) D RI'!S243</f>
        <v>72</v>
      </c>
      <c r="F242" s="10">
        <f>'B) D RI'!R243</f>
        <v>3186187.99</v>
      </c>
      <c r="G242" s="10">
        <f>'B) D RI'!U243</f>
        <v>44252.610972222225</v>
      </c>
      <c r="H242" s="41">
        <f>'B) D RI'!T243</f>
        <v>2913796.0900000003</v>
      </c>
      <c r="I242" s="10">
        <f t="shared" si="21"/>
        <v>80938.780277777783</v>
      </c>
      <c r="J242" s="31">
        <f t="shared" si="22"/>
        <v>139029.01258022033</v>
      </c>
      <c r="K242" s="10">
        <f t="shared" si="23"/>
        <v>80938.780277777783</v>
      </c>
      <c r="L242" s="10">
        <f t="shared" si="24"/>
        <v>58090.232302442542</v>
      </c>
      <c r="M242" s="10">
        <f>'D) Ecrêtage'!C241</f>
        <v>44252.610972222225</v>
      </c>
      <c r="N242" s="10">
        <f t="shared" si="25"/>
        <v>52759.094647450984</v>
      </c>
      <c r="O242" s="57">
        <f t="shared" si="26"/>
        <v>133697.87492522877</v>
      </c>
    </row>
    <row r="243" spans="1:15" s="215" customFormat="1" x14ac:dyDescent="0.25">
      <c r="A243" s="303">
        <f>'A) Base RI'!A244</f>
        <v>5805</v>
      </c>
      <c r="B243" s="220" t="str">
        <f>'A) Base RI'!B244</f>
        <v>Oron</v>
      </c>
      <c r="C243" s="490">
        <v>0</v>
      </c>
      <c r="D243" s="216">
        <f>'B) D RI'!AA244</f>
        <v>5669</v>
      </c>
      <c r="E243" s="217">
        <f>'B) D RI'!S244</f>
        <v>69</v>
      </c>
      <c r="F243" s="10">
        <f>'B) D RI'!R244</f>
        <v>10952912.562727273</v>
      </c>
      <c r="G243" s="10">
        <f>'B) D RI'!U244</f>
        <v>158737.86322793149</v>
      </c>
      <c r="H243" s="41">
        <f>'B) D RI'!T244</f>
        <v>9981615.2899999991</v>
      </c>
      <c r="I243" s="10">
        <f t="shared" si="21"/>
        <v>289322.18231884053</v>
      </c>
      <c r="J243" s="31">
        <f t="shared" si="22"/>
        <v>495383.70353065303</v>
      </c>
      <c r="K243" s="10">
        <f t="shared" si="23"/>
        <v>289322.18231884053</v>
      </c>
      <c r="L243" s="10">
        <f t="shared" si="24"/>
        <v>206061.52121181251</v>
      </c>
      <c r="M243" s="10">
        <f>'D) Ecrêtage'!C242</f>
        <v>158737.86322793149</v>
      </c>
      <c r="N243" s="10">
        <f t="shared" si="25"/>
        <v>189251.3405691146</v>
      </c>
      <c r="O243" s="57">
        <f t="shared" si="26"/>
        <v>478573.52288795513</v>
      </c>
    </row>
    <row r="244" spans="1:15" s="215" customFormat="1" x14ac:dyDescent="0.25">
      <c r="A244" s="303">
        <f>'A) Base RI'!A245</f>
        <v>5806</v>
      </c>
      <c r="B244" s="220" t="str">
        <f>'A) Base RI'!B245</f>
        <v>Jorat-Mézières</v>
      </c>
      <c r="C244" s="490">
        <v>0</v>
      </c>
      <c r="D244" s="216">
        <f>'B) D RI'!AA245</f>
        <v>2949</v>
      </c>
      <c r="E244" s="217">
        <f>'B) D RI'!S245</f>
        <v>76</v>
      </c>
      <c r="F244" s="10">
        <f>'B) D RI'!R245</f>
        <v>6999643.4900000012</v>
      </c>
      <c r="G244" s="10">
        <f>'B) D RI'!U245</f>
        <v>92100.572236842127</v>
      </c>
      <c r="H244" s="41">
        <f>'B) D RI'!T245</f>
        <v>6477683.6400000015</v>
      </c>
      <c r="I244" s="10">
        <f t="shared" si="21"/>
        <v>170465.35894736846</v>
      </c>
      <c r="J244" s="31">
        <f t="shared" si="22"/>
        <v>257697.39666817707</v>
      </c>
      <c r="K244" s="10">
        <f t="shared" si="23"/>
        <v>170465.35894736846</v>
      </c>
      <c r="L244" s="10">
        <f t="shared" si="24"/>
        <v>87232.037720808614</v>
      </c>
      <c r="M244" s="10">
        <f>'D) Ecrêtage'!C243</f>
        <v>92100.572236842127</v>
      </c>
      <c r="N244" s="10">
        <f t="shared" si="25"/>
        <v>109804.65787155653</v>
      </c>
      <c r="O244" s="57">
        <f t="shared" si="26"/>
        <v>280270.01681892498</v>
      </c>
    </row>
    <row r="245" spans="1:15" s="215" customFormat="1" x14ac:dyDescent="0.25">
      <c r="A245" s="303">
        <f>'A) Base RI'!A246</f>
        <v>5812</v>
      </c>
      <c r="B245" s="220" t="str">
        <f>'A) Base RI'!B246</f>
        <v>Champtauroz</v>
      </c>
      <c r="C245" s="490">
        <v>0</v>
      </c>
      <c r="D245" s="216">
        <f>'B) D RI'!AA246</f>
        <v>130</v>
      </c>
      <c r="E245" s="217">
        <f>'B) D RI'!S246</f>
        <v>77</v>
      </c>
      <c r="F245" s="10">
        <f>'B) D RI'!R246</f>
        <v>284736.79750000004</v>
      </c>
      <c r="G245" s="10">
        <f>'B) D RI'!U246</f>
        <v>3697.8804870129875</v>
      </c>
      <c r="H245" s="41">
        <f>'B) D RI'!T246</f>
        <v>265515.36000000004</v>
      </c>
      <c r="I245" s="10">
        <f t="shared" si="21"/>
        <v>6896.5028571428584</v>
      </c>
      <c r="J245" s="31">
        <f t="shared" si="22"/>
        <v>11360.007313280101</v>
      </c>
      <c r="K245" s="10">
        <f t="shared" si="23"/>
        <v>6896.5028571428584</v>
      </c>
      <c r="L245" s="10">
        <f t="shared" si="24"/>
        <v>4463.5044561372424</v>
      </c>
      <c r="M245" s="10">
        <f>'D) Ecrêtage'!C244</f>
        <v>3697.8804870129875</v>
      </c>
      <c r="N245" s="10">
        <f t="shared" si="25"/>
        <v>4408.707697083556</v>
      </c>
      <c r="O245" s="57">
        <f t="shared" si="26"/>
        <v>11305.210554226414</v>
      </c>
    </row>
    <row r="246" spans="1:15" s="215" customFormat="1" x14ac:dyDescent="0.25">
      <c r="A246" s="303">
        <f>'A) Base RI'!A247</f>
        <v>5813</v>
      </c>
      <c r="B246" s="220" t="str">
        <f>'A) Base RI'!B247</f>
        <v>Chevroux</v>
      </c>
      <c r="C246" s="490">
        <v>0</v>
      </c>
      <c r="D246" s="216">
        <f>'B) D RI'!AA247</f>
        <v>492</v>
      </c>
      <c r="E246" s="217">
        <f>'B) D RI'!S247</f>
        <v>70</v>
      </c>
      <c r="F246" s="10">
        <f>'B) D RI'!R247</f>
        <v>1030247.39</v>
      </c>
      <c r="G246" s="10">
        <f>'B) D RI'!U247</f>
        <v>14717.819857142857</v>
      </c>
      <c r="H246" s="41">
        <f>'B) D RI'!T247</f>
        <v>936882.14</v>
      </c>
      <c r="I246" s="10">
        <f t="shared" si="21"/>
        <v>26768.061142857143</v>
      </c>
      <c r="J246" s="31">
        <f t="shared" si="22"/>
        <v>42993.258447183151</v>
      </c>
      <c r="K246" s="10">
        <f t="shared" si="23"/>
        <v>26768.061142857143</v>
      </c>
      <c r="L246" s="10">
        <f t="shared" si="24"/>
        <v>16225.197304326008</v>
      </c>
      <c r="M246" s="10">
        <f>'D) Ecrêtage'!C245</f>
        <v>14717.819857142857</v>
      </c>
      <c r="N246" s="10">
        <f t="shared" si="25"/>
        <v>17546.961270478459</v>
      </c>
      <c r="O246" s="57">
        <f t="shared" si="26"/>
        <v>44315.022413335602</v>
      </c>
    </row>
    <row r="247" spans="1:15" s="215" customFormat="1" x14ac:dyDescent="0.25">
      <c r="A247" s="303">
        <f>'A) Base RI'!A248</f>
        <v>5816</v>
      </c>
      <c r="B247" s="220" t="str">
        <f>'A) Base RI'!B248</f>
        <v>Corcelles-près-Payerne</v>
      </c>
      <c r="C247" s="490">
        <v>0</v>
      </c>
      <c r="D247" s="216">
        <f>'B) D RI'!AA248</f>
        <v>2571</v>
      </c>
      <c r="E247" s="217">
        <f>'B) D RI'!S248</f>
        <v>70</v>
      </c>
      <c r="F247" s="10">
        <f>'B) D RI'!R248</f>
        <v>4252739.6928571435</v>
      </c>
      <c r="G247" s="10">
        <f>'B) D RI'!U248</f>
        <v>60753.42418367348</v>
      </c>
      <c r="H247" s="41">
        <f>'B) D RI'!T248</f>
        <v>3866923.1500000004</v>
      </c>
      <c r="I247" s="10">
        <f t="shared" si="21"/>
        <v>110483.51857142858</v>
      </c>
      <c r="J247" s="31">
        <f t="shared" si="22"/>
        <v>224665.99078802415</v>
      </c>
      <c r="K247" s="10">
        <f t="shared" si="23"/>
        <v>110483.51857142858</v>
      </c>
      <c r="L247" s="10">
        <f t="shared" si="24"/>
        <v>114182.47221659558</v>
      </c>
      <c r="M247" s="10">
        <f>'D) Ecrêtage'!C246</f>
        <v>60753.42418367348</v>
      </c>
      <c r="N247" s="10">
        <f t="shared" si="25"/>
        <v>72431.786198449627</v>
      </c>
      <c r="O247" s="57">
        <f t="shared" si="26"/>
        <v>182915.30476987822</v>
      </c>
    </row>
    <row r="248" spans="1:15" s="215" customFormat="1" x14ac:dyDescent="0.25">
      <c r="A248" s="303">
        <f>'A) Base RI'!A249</f>
        <v>5817</v>
      </c>
      <c r="B248" s="220" t="str">
        <f>'A) Base RI'!B249</f>
        <v>Grandcour</v>
      </c>
      <c r="C248" s="490">
        <v>0</v>
      </c>
      <c r="D248" s="216">
        <f>'B) D RI'!AA249</f>
        <v>953</v>
      </c>
      <c r="E248" s="217">
        <f>'B) D RI'!S249</f>
        <v>77</v>
      </c>
      <c r="F248" s="10">
        <f>'B) D RI'!R249</f>
        <v>1682012.0899999999</v>
      </c>
      <c r="G248" s="10">
        <f>'B) D RI'!U249</f>
        <v>21844.312857142857</v>
      </c>
      <c r="H248" s="41">
        <f>'B) D RI'!T249</f>
        <v>1545051.24</v>
      </c>
      <c r="I248" s="10">
        <f t="shared" si="21"/>
        <v>40131.201038961037</v>
      </c>
      <c r="J248" s="31">
        <f t="shared" si="22"/>
        <v>83277.5920735072</v>
      </c>
      <c r="K248" s="10">
        <f t="shared" si="23"/>
        <v>40131.201038961037</v>
      </c>
      <c r="L248" s="10">
        <f t="shared" si="24"/>
        <v>43146.391034546163</v>
      </c>
      <c r="M248" s="10">
        <f>'D) Ecrêtage'!C247</f>
        <v>21844.312857142857</v>
      </c>
      <c r="N248" s="10">
        <f t="shared" si="25"/>
        <v>26043.348498961037</v>
      </c>
      <c r="O248" s="57">
        <f t="shared" si="26"/>
        <v>66174.549537922081</v>
      </c>
    </row>
    <row r="249" spans="1:15" s="215" customFormat="1" x14ac:dyDescent="0.25">
      <c r="A249" s="303">
        <f>'A) Base RI'!A250</f>
        <v>5819</v>
      </c>
      <c r="B249" s="220" t="str">
        <f>'A) Base RI'!B250</f>
        <v>Henniez</v>
      </c>
      <c r="C249" s="490">
        <v>0</v>
      </c>
      <c r="D249" s="216">
        <f>'B) D RI'!AA250</f>
        <v>376</v>
      </c>
      <c r="E249" s="217">
        <f>'B) D RI'!S250</f>
        <v>69</v>
      </c>
      <c r="F249" s="10">
        <f>'B) D RI'!R250</f>
        <v>864208.99000000022</v>
      </c>
      <c r="G249" s="10">
        <f>'B) D RI'!U250</f>
        <v>12524.767971014497</v>
      </c>
      <c r="H249" s="41">
        <f>'B) D RI'!T250</f>
        <v>779336.19000000018</v>
      </c>
      <c r="I249" s="10">
        <f t="shared" si="21"/>
        <v>22589.4547826087</v>
      </c>
      <c r="J249" s="31">
        <f t="shared" si="22"/>
        <v>32856.63653687168</v>
      </c>
      <c r="K249" s="10">
        <f t="shared" si="23"/>
        <v>22589.4547826087</v>
      </c>
      <c r="L249" s="10">
        <f t="shared" si="24"/>
        <v>10267.18175426298</v>
      </c>
      <c r="M249" s="10">
        <f>'D) Ecrêtage'!C248</f>
        <v>12524.767971014497</v>
      </c>
      <c r="N249" s="10">
        <f t="shared" si="25"/>
        <v>14932.348720280117</v>
      </c>
      <c r="O249" s="57">
        <f t="shared" si="26"/>
        <v>37521.803502888819</v>
      </c>
    </row>
    <row r="250" spans="1:15" s="215" customFormat="1" x14ac:dyDescent="0.25">
      <c r="A250" s="303">
        <f>'A) Base RI'!A251</f>
        <v>5821</v>
      </c>
      <c r="B250" s="220" t="str">
        <f>'A) Base RI'!B251</f>
        <v>Missy</v>
      </c>
      <c r="C250" s="490">
        <v>0</v>
      </c>
      <c r="D250" s="216">
        <f>'B) D RI'!AA251</f>
        <v>362</v>
      </c>
      <c r="E250" s="217">
        <f>'B) D RI'!S251</f>
        <v>72</v>
      </c>
      <c r="F250" s="10">
        <f>'B) D RI'!R251</f>
        <v>601864.38</v>
      </c>
      <c r="G250" s="10">
        <f>'B) D RI'!U251</f>
        <v>8359.2275000000009</v>
      </c>
      <c r="H250" s="41">
        <f>'B) D RI'!T251</f>
        <v>547971.42999999993</v>
      </c>
      <c r="I250" s="10">
        <f t="shared" si="21"/>
        <v>15221.428611111109</v>
      </c>
      <c r="J250" s="31">
        <f t="shared" si="22"/>
        <v>31633.25113390305</v>
      </c>
      <c r="K250" s="10">
        <f t="shared" si="23"/>
        <v>15221.428611111109</v>
      </c>
      <c r="L250" s="10">
        <f t="shared" si="24"/>
        <v>16411.822522791939</v>
      </c>
      <c r="M250" s="10">
        <f>'D) Ecrêtage'!C249</f>
        <v>8359.2275000000009</v>
      </c>
      <c r="N250" s="10">
        <f t="shared" si="25"/>
        <v>9966.0848289586975</v>
      </c>
      <c r="O250" s="57">
        <f t="shared" si="26"/>
        <v>25187.513440069808</v>
      </c>
    </row>
    <row r="251" spans="1:15" s="215" customFormat="1" x14ac:dyDescent="0.25">
      <c r="A251" s="303">
        <f>'A) Base RI'!A252</f>
        <v>5822</v>
      </c>
      <c r="B251" s="220" t="str">
        <f>'A) Base RI'!B252</f>
        <v>Payerne</v>
      </c>
      <c r="C251" s="490">
        <v>0</v>
      </c>
      <c r="D251" s="216">
        <f>'B) D RI'!AA252</f>
        <v>10072</v>
      </c>
      <c r="E251" s="217">
        <f>'B) D RI'!S252</f>
        <v>75</v>
      </c>
      <c r="F251" s="10">
        <f>'B) D RI'!R252</f>
        <v>18499654.02</v>
      </c>
      <c r="G251" s="10">
        <f>'B) D RI'!U252</f>
        <v>246662.05359999998</v>
      </c>
      <c r="H251" s="41">
        <f>'B) D RI'!T252</f>
        <v>16885324.869999997</v>
      </c>
      <c r="I251" s="10">
        <f t="shared" si="21"/>
        <v>450275.32986666658</v>
      </c>
      <c r="J251" s="31">
        <f t="shared" si="22"/>
        <v>880138.41276428604</v>
      </c>
      <c r="K251" s="10">
        <f t="shared" si="23"/>
        <v>450275.32986666658</v>
      </c>
      <c r="L251" s="10">
        <f t="shared" si="24"/>
        <v>429863.08289761946</v>
      </c>
      <c r="M251" s="10">
        <f>'D) Ecrêtage'!C250</f>
        <v>246662.05359999998</v>
      </c>
      <c r="N251" s="10">
        <f t="shared" si="25"/>
        <v>294076.8091624204</v>
      </c>
      <c r="O251" s="57">
        <f t="shared" si="26"/>
        <v>744352.13902908703</v>
      </c>
    </row>
    <row r="252" spans="1:15" s="215" customFormat="1" x14ac:dyDescent="0.25">
      <c r="A252" s="303">
        <f>'A) Base RI'!A253</f>
        <v>5827</v>
      </c>
      <c r="B252" s="220" t="str">
        <f>'A) Base RI'!B253</f>
        <v>Trey</v>
      </c>
      <c r="C252" s="490">
        <v>0</v>
      </c>
      <c r="D252" s="216">
        <f>'B) D RI'!AA253</f>
        <v>285</v>
      </c>
      <c r="E252" s="217">
        <f>'B) D RI'!S253</f>
        <v>80</v>
      </c>
      <c r="F252" s="10">
        <f>'B) D RI'!R253</f>
        <v>541511.92999999993</v>
      </c>
      <c r="G252" s="10">
        <f>'B) D RI'!U253</f>
        <v>6768.899124999999</v>
      </c>
      <c r="H252" s="41">
        <f>'B) D RI'!T253</f>
        <v>503103.02999999997</v>
      </c>
      <c r="I252" s="10">
        <f t="shared" si="21"/>
        <v>12577.57575</v>
      </c>
      <c r="J252" s="31">
        <f t="shared" si="22"/>
        <v>24904.631417575605</v>
      </c>
      <c r="K252" s="10">
        <f t="shared" si="23"/>
        <v>12577.57575</v>
      </c>
      <c r="L252" s="10">
        <f t="shared" si="24"/>
        <v>12327.055667575605</v>
      </c>
      <c r="M252" s="10">
        <f>'D) Ecrêtage'!C251</f>
        <v>6768.899124999999</v>
      </c>
      <c r="N252" s="10">
        <f t="shared" si="25"/>
        <v>8070.0546645505565</v>
      </c>
      <c r="O252" s="57">
        <f t="shared" si="26"/>
        <v>20647.630414550556</v>
      </c>
    </row>
    <row r="253" spans="1:15" s="215" customFormat="1" x14ac:dyDescent="0.25">
      <c r="A253" s="303">
        <f>'A) Base RI'!A254</f>
        <v>5828</v>
      </c>
      <c r="B253" s="220" t="str">
        <f>'A) Base RI'!B254</f>
        <v>Treytorrens (Payerne)</v>
      </c>
      <c r="C253" s="490">
        <v>0</v>
      </c>
      <c r="D253" s="216">
        <f>'B) D RI'!AA254</f>
        <v>111</v>
      </c>
      <c r="E253" s="217">
        <f>'B) D RI'!S254</f>
        <v>84</v>
      </c>
      <c r="F253" s="10">
        <f>'B) D RI'!R254</f>
        <v>203657.22333333339</v>
      </c>
      <c r="G253" s="10">
        <f>'B) D RI'!U254</f>
        <v>2424.4907539682545</v>
      </c>
      <c r="H253" s="41">
        <f>'B) D RI'!T254</f>
        <v>187932.29000000004</v>
      </c>
      <c r="I253" s="10">
        <f t="shared" si="21"/>
        <v>4474.5783333333338</v>
      </c>
      <c r="J253" s="31">
        <f t="shared" si="22"/>
        <v>9699.6985521083934</v>
      </c>
      <c r="K253" s="10">
        <f t="shared" si="23"/>
        <v>4474.5783333333338</v>
      </c>
      <c r="L253" s="10">
        <f t="shared" si="24"/>
        <v>5225.1202187750596</v>
      </c>
      <c r="M253" s="10">
        <f>'D) Ecrêtage'!C252</f>
        <v>2424.4907539682545</v>
      </c>
      <c r="N253" s="10">
        <f t="shared" si="25"/>
        <v>2890.5398879350578</v>
      </c>
      <c r="O253" s="57">
        <f t="shared" si="26"/>
        <v>7365.1182212683916</v>
      </c>
    </row>
    <row r="254" spans="1:15" s="215" customFormat="1" x14ac:dyDescent="0.25">
      <c r="A254" s="303">
        <f>'A) Base RI'!A255</f>
        <v>5830</v>
      </c>
      <c r="B254" s="220" t="str">
        <f>'A) Base RI'!B255</f>
        <v>Villarzel</v>
      </c>
      <c r="C254" s="490">
        <v>0</v>
      </c>
      <c r="D254" s="216">
        <f>'B) D RI'!AA255</f>
        <v>451</v>
      </c>
      <c r="E254" s="217">
        <f>'B) D RI'!S255</f>
        <v>77</v>
      </c>
      <c r="F254" s="10">
        <f>'B) D RI'!R255</f>
        <v>1051265.76</v>
      </c>
      <c r="G254" s="10">
        <f>'B) D RI'!U255</f>
        <v>13652.802077922079</v>
      </c>
      <c r="H254" s="41">
        <f>'B) D RI'!T255</f>
        <v>991952.91000000015</v>
      </c>
      <c r="I254" s="10">
        <f t="shared" si="21"/>
        <v>25765.010649350654</v>
      </c>
      <c r="J254" s="31">
        <f t="shared" si="22"/>
        <v>39410.48690991789</v>
      </c>
      <c r="K254" s="10">
        <f t="shared" si="23"/>
        <v>25765.010649350654</v>
      </c>
      <c r="L254" s="10">
        <f t="shared" si="24"/>
        <v>13645.476260567237</v>
      </c>
      <c r="M254" s="10">
        <f>'D) Ecrêtage'!C253</f>
        <v>13652.802077922079</v>
      </c>
      <c r="N254" s="10">
        <f t="shared" si="25"/>
        <v>16277.219834195803</v>
      </c>
      <c r="O254" s="57">
        <f t="shared" si="26"/>
        <v>42042.23048354646</v>
      </c>
    </row>
    <row r="255" spans="1:15" s="215" customFormat="1" x14ac:dyDescent="0.25">
      <c r="A255" s="303">
        <f>'A) Base RI'!A256</f>
        <v>5831</v>
      </c>
      <c r="B255" s="220" t="str">
        <f>'A) Base RI'!B256</f>
        <v>Valbroye</v>
      </c>
      <c r="C255" s="490">
        <v>0</v>
      </c>
      <c r="D255" s="216">
        <f>'B) D RI'!AA256</f>
        <v>3296</v>
      </c>
      <c r="E255" s="217">
        <f>'B) D RI'!S256</f>
        <v>73</v>
      </c>
      <c r="F255" s="10">
        <f>'B) D RI'!R256</f>
        <v>6611863.7299999995</v>
      </c>
      <c r="G255" s="10">
        <f>'B) D RI'!U256</f>
        <v>90573.475753424646</v>
      </c>
      <c r="H255" s="41">
        <f>'B) D RI'!T256</f>
        <v>5824843.3799999999</v>
      </c>
      <c r="I255" s="10">
        <f t="shared" si="21"/>
        <v>159584.75013698629</v>
      </c>
      <c r="J255" s="31">
        <f t="shared" si="22"/>
        <v>288019.87772747088</v>
      </c>
      <c r="K255" s="10">
        <f t="shared" si="23"/>
        <v>159584.75013698629</v>
      </c>
      <c r="L255" s="10">
        <f t="shared" si="24"/>
        <v>128435.1275904846</v>
      </c>
      <c r="M255" s="10">
        <f>'D) Ecrêtage'!C254</f>
        <v>90573.475753424646</v>
      </c>
      <c r="N255" s="10">
        <f t="shared" si="25"/>
        <v>107984.01438557135</v>
      </c>
      <c r="O255" s="57">
        <f t="shared" si="26"/>
        <v>267568.76452255761</v>
      </c>
    </row>
    <row r="256" spans="1:15" s="215" customFormat="1" x14ac:dyDescent="0.25">
      <c r="A256" s="303">
        <f>'A) Base RI'!A257</f>
        <v>5841</v>
      </c>
      <c r="B256" s="220" t="str">
        <f>'A) Base RI'!B257</f>
        <v>Château-d'Oex</v>
      </c>
      <c r="C256" s="490">
        <v>0</v>
      </c>
      <c r="D256" s="216">
        <f>'B) D RI'!AA257</f>
        <v>3468</v>
      </c>
      <c r="E256" s="217">
        <f>'B) D RI'!S257</f>
        <v>83</v>
      </c>
      <c r="F256" s="10">
        <f>'B) D RI'!R257</f>
        <v>9847420.0599999987</v>
      </c>
      <c r="G256" s="10">
        <f>'B) D RI'!U257</f>
        <v>118643.61518072287</v>
      </c>
      <c r="H256" s="41">
        <f>'B) D RI'!T257</f>
        <v>8829643.209999999</v>
      </c>
      <c r="I256" s="10">
        <f t="shared" si="21"/>
        <v>212762.48698795179</v>
      </c>
      <c r="J256" s="31">
        <f t="shared" si="22"/>
        <v>303050.04124965688</v>
      </c>
      <c r="K256" s="10">
        <f t="shared" si="23"/>
        <v>212762.48698795179</v>
      </c>
      <c r="L256" s="10">
        <f t="shared" si="24"/>
        <v>90287.554261705081</v>
      </c>
      <c r="M256" s="10">
        <f>'D) Ecrêtage'!C255</f>
        <v>118643.61518072287</v>
      </c>
      <c r="N256" s="10">
        <f t="shared" si="25"/>
        <v>141449.95255906312</v>
      </c>
      <c r="O256" s="57">
        <f t="shared" si="26"/>
        <v>354212.43954701489</v>
      </c>
    </row>
    <row r="257" spans="1:15" s="215" customFormat="1" x14ac:dyDescent="0.25">
      <c r="A257" s="303">
        <f>'A) Base RI'!A258</f>
        <v>5842</v>
      </c>
      <c r="B257" s="220" t="str">
        <f>'A) Base RI'!B258</f>
        <v>Rossinière</v>
      </c>
      <c r="C257" s="490">
        <v>0</v>
      </c>
      <c r="D257" s="216">
        <f>'B) D RI'!AA258</f>
        <v>548</v>
      </c>
      <c r="E257" s="217">
        <f>'B) D RI'!S258</f>
        <v>81</v>
      </c>
      <c r="F257" s="10">
        <f>'B) D RI'!R258</f>
        <v>1111925.5333333332</v>
      </c>
      <c r="G257" s="10">
        <f>'B) D RI'!U258</f>
        <v>13727.475720164608</v>
      </c>
      <c r="H257" s="41">
        <f>'B) D RI'!T258</f>
        <v>1016818.25</v>
      </c>
      <c r="I257" s="10">
        <f t="shared" si="21"/>
        <v>25106.623456790123</v>
      </c>
      <c r="J257" s="31">
        <f t="shared" si="22"/>
        <v>47886.800059057656</v>
      </c>
      <c r="K257" s="10">
        <f t="shared" si="23"/>
        <v>25106.623456790123</v>
      </c>
      <c r="L257" s="10">
        <f t="shared" si="24"/>
        <v>22780.176602267533</v>
      </c>
      <c r="M257" s="10">
        <f>'D) Ecrêtage'!C256</f>
        <v>13727.475720164608</v>
      </c>
      <c r="N257" s="10">
        <f t="shared" si="25"/>
        <v>16366.247660400599</v>
      </c>
      <c r="O257" s="57">
        <f t="shared" si="26"/>
        <v>41472.87111719072</v>
      </c>
    </row>
    <row r="258" spans="1:15" s="215" customFormat="1" x14ac:dyDescent="0.25">
      <c r="A258" s="303">
        <f>'A) Base RI'!A259</f>
        <v>5843</v>
      </c>
      <c r="B258" s="220" t="str">
        <f>'A) Base RI'!B259</f>
        <v>Rougemont</v>
      </c>
      <c r="C258" s="490">
        <v>0</v>
      </c>
      <c r="D258" s="216">
        <f>'B) D RI'!AA259</f>
        <v>858</v>
      </c>
      <c r="E258" s="217">
        <f>'B) D RI'!S259</f>
        <v>74</v>
      </c>
      <c r="F258" s="10">
        <f>'B) D RI'!R259</f>
        <v>6380636.5166666666</v>
      </c>
      <c r="G258" s="10">
        <f>'B) D RI'!U259</f>
        <v>86224.81779279279</v>
      </c>
      <c r="H258" s="41">
        <f>'B) D RI'!T259</f>
        <v>5556018</v>
      </c>
      <c r="I258" s="10">
        <f t="shared" si="21"/>
        <v>150162.64864864864</v>
      </c>
      <c r="J258" s="31">
        <f t="shared" si="22"/>
        <v>74976.048267648672</v>
      </c>
      <c r="K258" s="10">
        <f t="shared" si="23"/>
        <v>74976.048267648672</v>
      </c>
      <c r="L258" s="10">
        <f t="shared" si="24"/>
        <v>0</v>
      </c>
      <c r="M258" s="10">
        <f>'D) Ecrêtage'!C257</f>
        <v>86224.81779279279</v>
      </c>
      <c r="N258" s="10">
        <f t="shared" si="25"/>
        <v>102799.43313954311</v>
      </c>
      <c r="O258" s="57">
        <f t="shared" si="26"/>
        <v>177775.48140719178</v>
      </c>
    </row>
    <row r="259" spans="1:15" s="215" customFormat="1" x14ac:dyDescent="0.25">
      <c r="A259" s="303">
        <f>'A) Base RI'!A260</f>
        <v>5851</v>
      </c>
      <c r="B259" s="220" t="str">
        <f>'A) Base RI'!B260</f>
        <v>Allaman</v>
      </c>
      <c r="C259" s="490">
        <v>0</v>
      </c>
      <c r="D259" s="216">
        <f>'B) D RI'!AA260</f>
        <v>451</v>
      </c>
      <c r="E259" s="217">
        <f>'B) D RI'!S260</f>
        <v>62</v>
      </c>
      <c r="F259" s="10">
        <f>'B) D RI'!R260</f>
        <v>1467048.53</v>
      </c>
      <c r="G259" s="10">
        <f>'B) D RI'!U260</f>
        <v>23662.073064516131</v>
      </c>
      <c r="H259" s="41">
        <f>'B) D RI'!T260</f>
        <v>1239948.53</v>
      </c>
      <c r="I259" s="10">
        <f t="shared" si="21"/>
        <v>39998.339677419353</v>
      </c>
      <c r="J259" s="31">
        <f t="shared" si="22"/>
        <v>39410.48690991789</v>
      </c>
      <c r="K259" s="10">
        <f t="shared" si="23"/>
        <v>39410.48690991789</v>
      </c>
      <c r="L259" s="10">
        <f t="shared" si="24"/>
        <v>0</v>
      </c>
      <c r="M259" s="10">
        <f>'D) Ecrêtage'!C258</f>
        <v>23662.073064516131</v>
      </c>
      <c r="N259" s="10">
        <f t="shared" si="25"/>
        <v>28210.528710934883</v>
      </c>
      <c r="O259" s="57">
        <f t="shared" si="26"/>
        <v>67621.015620852777</v>
      </c>
    </row>
    <row r="260" spans="1:15" s="215" customFormat="1" x14ac:dyDescent="0.25">
      <c r="A260" s="303">
        <f>'A) Base RI'!A261</f>
        <v>5852</v>
      </c>
      <c r="B260" s="220" t="str">
        <f>'A) Base RI'!B261</f>
        <v>Bursinel</v>
      </c>
      <c r="C260" s="490">
        <v>0</v>
      </c>
      <c r="D260" s="216">
        <f>'B) D RI'!AA261</f>
        <v>473</v>
      </c>
      <c r="E260" s="217">
        <f>'B) D RI'!S261</f>
        <v>65.5</v>
      </c>
      <c r="F260" s="10">
        <f>'B) D RI'!R261</f>
        <v>2599488.2766666673</v>
      </c>
      <c r="G260" s="10">
        <f>'B) D RI'!U261</f>
        <v>39686.843918575076</v>
      </c>
      <c r="H260" s="41">
        <f>'B) D RI'!T261</f>
        <v>2410580.4600000004</v>
      </c>
      <c r="I260" s="10">
        <f t="shared" si="21"/>
        <v>73605.510229007647</v>
      </c>
      <c r="J260" s="31">
        <f t="shared" si="22"/>
        <v>41332.949686011445</v>
      </c>
      <c r="K260" s="10">
        <f t="shared" si="23"/>
        <v>41332.949686011445</v>
      </c>
      <c r="L260" s="10">
        <f t="shared" si="24"/>
        <v>0</v>
      </c>
      <c r="M260" s="10">
        <f>'D) Ecrêtage'!C259</f>
        <v>39686.843918575076</v>
      </c>
      <c r="N260" s="10">
        <f t="shared" si="25"/>
        <v>47315.670387743696</v>
      </c>
      <c r="O260" s="57">
        <f t="shared" si="26"/>
        <v>88648.620073755141</v>
      </c>
    </row>
    <row r="261" spans="1:15" s="215" customFormat="1" x14ac:dyDescent="0.25">
      <c r="A261" s="303">
        <f>'A) Base RI'!A262</f>
        <v>5853</v>
      </c>
      <c r="B261" s="220" t="str">
        <f>'A) Base RI'!B262</f>
        <v>Bursins</v>
      </c>
      <c r="C261" s="490">
        <v>0</v>
      </c>
      <c r="D261" s="216">
        <f>'B) D RI'!AA262</f>
        <v>782</v>
      </c>
      <c r="E261" s="217">
        <f>'B) D RI'!S262</f>
        <v>71</v>
      </c>
      <c r="F261" s="10">
        <f>'B) D RI'!R262</f>
        <v>2586514.2999999998</v>
      </c>
      <c r="G261" s="10">
        <f>'B) D RI'!U262</f>
        <v>36429.778873239433</v>
      </c>
      <c r="H261" s="41">
        <f>'B) D RI'!T262</f>
        <v>2372826.85</v>
      </c>
      <c r="I261" s="10">
        <f t="shared" si="21"/>
        <v>66840.192957746476</v>
      </c>
      <c r="J261" s="31">
        <f t="shared" si="22"/>
        <v>68334.813222961835</v>
      </c>
      <c r="K261" s="10">
        <f t="shared" si="23"/>
        <v>66840.192957746476</v>
      </c>
      <c r="L261" s="10">
        <f t="shared" si="24"/>
        <v>1494.6202652153588</v>
      </c>
      <c r="M261" s="10">
        <f>'D) Ecrêtage'!C260</f>
        <v>36429.778873239433</v>
      </c>
      <c r="N261" s="10">
        <f t="shared" si="25"/>
        <v>43432.51413493789</v>
      </c>
      <c r="O261" s="57">
        <f t="shared" si="26"/>
        <v>110272.70709268437</v>
      </c>
    </row>
    <row r="262" spans="1:15" s="215" customFormat="1" x14ac:dyDescent="0.25">
      <c r="A262" s="303">
        <f>'A) Base RI'!A263</f>
        <v>5854</v>
      </c>
      <c r="B262" s="220" t="str">
        <f>'A) Base RI'!B263</f>
        <v>Burtigny</v>
      </c>
      <c r="C262" s="490">
        <v>0</v>
      </c>
      <c r="D262" s="216">
        <f>'B) D RI'!AA263</f>
        <v>390</v>
      </c>
      <c r="E262" s="217">
        <f>'B) D RI'!S263</f>
        <v>80</v>
      </c>
      <c r="F262" s="10">
        <f>'B) D RI'!R263</f>
        <v>887429.40666666662</v>
      </c>
      <c r="G262" s="10">
        <f>'B) D RI'!U263</f>
        <v>11092.867583333333</v>
      </c>
      <c r="H262" s="41">
        <f>'B) D RI'!T263</f>
        <v>816043.94</v>
      </c>
      <c r="I262" s="10">
        <f t="shared" si="21"/>
        <v>20401.0985</v>
      </c>
      <c r="J262" s="31">
        <f t="shared" si="22"/>
        <v>34080.021939840306</v>
      </c>
      <c r="K262" s="10">
        <f t="shared" si="23"/>
        <v>20401.0985</v>
      </c>
      <c r="L262" s="10">
        <f t="shared" si="24"/>
        <v>13678.923439840306</v>
      </c>
      <c r="M262" s="10">
        <f>'D) Ecrêtage'!C261</f>
        <v>11092.867583333333</v>
      </c>
      <c r="N262" s="10">
        <f t="shared" si="25"/>
        <v>13225.200454456592</v>
      </c>
      <c r="O262" s="57">
        <f t="shared" si="26"/>
        <v>33626.298954456593</v>
      </c>
    </row>
    <row r="263" spans="1:15" s="215" customFormat="1" x14ac:dyDescent="0.25">
      <c r="A263" s="303">
        <f>'A) Base RI'!A264</f>
        <v>5855</v>
      </c>
      <c r="B263" s="220" t="str">
        <f>'A) Base RI'!B264</f>
        <v>Dully</v>
      </c>
      <c r="C263" s="490">
        <v>0</v>
      </c>
      <c r="D263" s="216">
        <f>'B) D RI'!AA264</f>
        <v>639</v>
      </c>
      <c r="E263" s="217">
        <f>'B) D RI'!S264</f>
        <v>49</v>
      </c>
      <c r="F263" s="10">
        <f>'B) D RI'!R264</f>
        <v>3904115.6700000004</v>
      </c>
      <c r="G263" s="10">
        <f>'B) D RI'!U264</f>
        <v>79675.83</v>
      </c>
      <c r="H263" s="41">
        <f>'B) D RI'!T264</f>
        <v>3543330.47</v>
      </c>
      <c r="I263" s="10">
        <f t="shared" ref="I263:I314" si="27">+H263/E263*$I$5</f>
        <v>144625.73346938775</v>
      </c>
      <c r="J263" s="31">
        <f t="shared" ref="J263:J314" si="28">+$I$315/$D$315*D263</f>
        <v>55838.80517835373</v>
      </c>
      <c r="K263" s="10">
        <f t="shared" ref="K263:K314" si="29">IF(C263=1,0,IF(J263&gt;I263,I263,J263))</f>
        <v>55838.80517835373</v>
      </c>
      <c r="L263" s="10">
        <f t="shared" ref="L263:L314" si="30">+J263-K263</f>
        <v>0</v>
      </c>
      <c r="M263" s="10">
        <f>'D) Ecrêtage'!C262</f>
        <v>79675.83</v>
      </c>
      <c r="N263" s="10">
        <f t="shared" ref="N263:N314" si="31">+$N$5*M263</f>
        <v>94991.562389908897</v>
      </c>
      <c r="O263" s="57">
        <f t="shared" ref="O263:O314" si="32">+N263+K263</f>
        <v>150830.36756826262</v>
      </c>
    </row>
    <row r="264" spans="1:15" s="215" customFormat="1" x14ac:dyDescent="0.25">
      <c r="A264" s="303">
        <f>'A) Base RI'!A265</f>
        <v>5856</v>
      </c>
      <c r="B264" s="220" t="str">
        <f>'A) Base RI'!B265</f>
        <v>Essertines-sur-Rolle</v>
      </c>
      <c r="C264" s="490">
        <v>0</v>
      </c>
      <c r="D264" s="216">
        <f>'B) D RI'!AA265</f>
        <v>722</v>
      </c>
      <c r="E264" s="217">
        <f>'B) D RI'!S265</f>
        <v>68</v>
      </c>
      <c r="F264" s="10">
        <f>'B) D RI'!R265</f>
        <v>2482324.7400000002</v>
      </c>
      <c r="G264" s="10">
        <f>'B) D RI'!U265</f>
        <v>36504.775588235294</v>
      </c>
      <c r="H264" s="41">
        <f>'B) D RI'!T265</f>
        <v>2297089.9900000002</v>
      </c>
      <c r="I264" s="10">
        <f t="shared" si="27"/>
        <v>67561.470294117651</v>
      </c>
      <c r="J264" s="31">
        <f t="shared" si="28"/>
        <v>63091.732924524869</v>
      </c>
      <c r="K264" s="10">
        <f t="shared" si="29"/>
        <v>63091.732924524869</v>
      </c>
      <c r="L264" s="10">
        <f t="shared" si="30"/>
        <v>0</v>
      </c>
      <c r="M264" s="10">
        <f>'D) Ecrêtage'!C263</f>
        <v>36504.775588235294</v>
      </c>
      <c r="N264" s="10">
        <f t="shared" si="31"/>
        <v>43521.927136742423</v>
      </c>
      <c r="O264" s="57">
        <f t="shared" si="32"/>
        <v>106613.66006126729</v>
      </c>
    </row>
    <row r="265" spans="1:15" s="215" customFormat="1" x14ac:dyDescent="0.25">
      <c r="A265" s="303">
        <f>'A) Base RI'!A266</f>
        <v>5857</v>
      </c>
      <c r="B265" s="220" t="str">
        <f>'A) Base RI'!B266</f>
        <v>Gilly</v>
      </c>
      <c r="C265" s="490">
        <v>0</v>
      </c>
      <c r="D265" s="216">
        <f>'B) D RI'!AA266</f>
        <v>1370</v>
      </c>
      <c r="E265" s="217">
        <f>'B) D RI'!S266</f>
        <v>66</v>
      </c>
      <c r="F265" s="10">
        <f>'B) D RI'!R266</f>
        <v>5632739.7300000004</v>
      </c>
      <c r="G265" s="10">
        <f>'B) D RI'!U266</f>
        <v>85344.541363636366</v>
      </c>
      <c r="H265" s="41">
        <f>'B) D RI'!T266</f>
        <v>5236282.83</v>
      </c>
      <c r="I265" s="10">
        <f t="shared" si="27"/>
        <v>158675.23727272727</v>
      </c>
      <c r="J265" s="31">
        <f t="shared" si="28"/>
        <v>119717.00014764414</v>
      </c>
      <c r="K265" s="10">
        <f t="shared" si="29"/>
        <v>119717.00014764414</v>
      </c>
      <c r="L265" s="10">
        <f t="shared" si="30"/>
        <v>0</v>
      </c>
      <c r="M265" s="10">
        <f>'D) Ecrêtage'!C264</f>
        <v>85344.541363636366</v>
      </c>
      <c r="N265" s="10">
        <f t="shared" si="31"/>
        <v>101749.94506592557</v>
      </c>
      <c r="O265" s="57">
        <f t="shared" si="32"/>
        <v>221466.94521356971</v>
      </c>
    </row>
    <row r="266" spans="1:15" s="215" customFormat="1" x14ac:dyDescent="0.25">
      <c r="A266" s="303">
        <f>'A) Base RI'!A267</f>
        <v>5858</v>
      </c>
      <c r="B266" s="220" t="str">
        <f>'A) Base RI'!B267</f>
        <v>Luins</v>
      </c>
      <c r="C266" s="490">
        <v>0</v>
      </c>
      <c r="D266" s="216">
        <f>'B) D RI'!AA267</f>
        <v>621</v>
      </c>
      <c r="E266" s="217">
        <f>'B) D RI'!S267</f>
        <v>60</v>
      </c>
      <c r="F266" s="10">
        <f>'B) D RI'!R267</f>
        <v>2801928.6766666663</v>
      </c>
      <c r="G266" s="10">
        <f>'B) D RI'!U267</f>
        <v>46698.811277777771</v>
      </c>
      <c r="H266" s="41">
        <f>'B) D RI'!T267</f>
        <v>2648596.0599999996</v>
      </c>
      <c r="I266" s="10">
        <f t="shared" si="27"/>
        <v>88286.535333333319</v>
      </c>
      <c r="J266" s="31">
        <f t="shared" si="28"/>
        <v>54265.881088822636</v>
      </c>
      <c r="K266" s="10">
        <f t="shared" si="29"/>
        <v>54265.881088822636</v>
      </c>
      <c r="L266" s="10">
        <f t="shared" si="30"/>
        <v>0</v>
      </c>
      <c r="M266" s="10">
        <f>'D) Ecrêtage'!C265</f>
        <v>46698.811277777771</v>
      </c>
      <c r="N266" s="10">
        <f t="shared" si="31"/>
        <v>55675.517218052308</v>
      </c>
      <c r="O266" s="57">
        <f t="shared" si="32"/>
        <v>109941.39830687494</v>
      </c>
    </row>
    <row r="267" spans="1:15" s="215" customFormat="1" x14ac:dyDescent="0.25">
      <c r="A267" s="303">
        <f>'A) Base RI'!A268</f>
        <v>5859</v>
      </c>
      <c r="B267" s="220" t="str">
        <f>'A) Base RI'!B268</f>
        <v>Mont-sur-Rolle</v>
      </c>
      <c r="C267" s="490">
        <v>0</v>
      </c>
      <c r="D267" s="216">
        <f>'B) D RI'!AA268</f>
        <v>2677</v>
      </c>
      <c r="E267" s="217">
        <f>'B) D RI'!S268</f>
        <v>65</v>
      </c>
      <c r="F267" s="10">
        <f>'B) D RI'!R268</f>
        <v>8866180.0700000003</v>
      </c>
      <c r="G267" s="10">
        <f>'B) D RI'!U268</f>
        <v>136402.77030769232</v>
      </c>
      <c r="H267" s="41">
        <f>'B) D RI'!T268</f>
        <v>8227442.5199999996</v>
      </c>
      <c r="I267" s="10">
        <f t="shared" si="27"/>
        <v>253152.07753846151</v>
      </c>
      <c r="J267" s="31">
        <f t="shared" si="28"/>
        <v>233928.76598192946</v>
      </c>
      <c r="K267" s="10">
        <f t="shared" si="29"/>
        <v>233928.76598192946</v>
      </c>
      <c r="L267" s="10">
        <f t="shared" si="30"/>
        <v>0</v>
      </c>
      <c r="M267" s="10">
        <f>'D) Ecrêtage'!C266</f>
        <v>136402.77030769232</v>
      </c>
      <c r="N267" s="10">
        <f t="shared" si="31"/>
        <v>162622.871526278</v>
      </c>
      <c r="O267" s="57">
        <f t="shared" si="32"/>
        <v>396551.63750820747</v>
      </c>
    </row>
    <row r="268" spans="1:15" s="215" customFormat="1" x14ac:dyDescent="0.25">
      <c r="A268" s="303">
        <f>'A) Base RI'!A269</f>
        <v>5860</v>
      </c>
      <c r="B268" s="220" t="str">
        <f>'A) Base RI'!B269</f>
        <v>Perroy</v>
      </c>
      <c r="C268" s="490">
        <v>0</v>
      </c>
      <c r="D268" s="216">
        <f>'B) D RI'!AA269</f>
        <v>1497</v>
      </c>
      <c r="E268" s="217">
        <f>'B) D RI'!S269</f>
        <v>60</v>
      </c>
      <c r="F268" s="10">
        <f>'B) D RI'!R269</f>
        <v>6155004.9446153846</v>
      </c>
      <c r="G268" s="10">
        <f>'B) D RI'!U269</f>
        <v>102583.41574358974</v>
      </c>
      <c r="H268" s="41">
        <f>'B) D RI'!T269</f>
        <v>5629718.7599999998</v>
      </c>
      <c r="I268" s="10">
        <f t="shared" si="27"/>
        <v>187657.29199999999</v>
      </c>
      <c r="J268" s="31">
        <f t="shared" si="28"/>
        <v>130814.85344600239</v>
      </c>
      <c r="K268" s="10">
        <f t="shared" si="29"/>
        <v>130814.85344600239</v>
      </c>
      <c r="L268" s="10">
        <f t="shared" si="30"/>
        <v>0</v>
      </c>
      <c r="M268" s="10">
        <f>'D) Ecrêtage'!C267</f>
        <v>102583.41574358974</v>
      </c>
      <c r="N268" s="10">
        <f t="shared" si="31"/>
        <v>122302.57201935853</v>
      </c>
      <c r="O268" s="57">
        <f t="shared" si="32"/>
        <v>253117.42546536092</v>
      </c>
    </row>
    <row r="269" spans="1:15" s="215" customFormat="1" x14ac:dyDescent="0.25">
      <c r="A269" s="303">
        <f>'A) Base RI'!A270</f>
        <v>5861</v>
      </c>
      <c r="B269" s="220" t="str">
        <f>'A) Base RI'!B270</f>
        <v>Rolle</v>
      </c>
      <c r="C269" s="490">
        <v>0</v>
      </c>
      <c r="D269" s="216">
        <f>'B) D RI'!AA270</f>
        <v>6245</v>
      </c>
      <c r="E269" s="217">
        <f>'B) D RI'!S270</f>
        <v>59.5</v>
      </c>
      <c r="F269" s="10">
        <f>'B) D RI'!R270</f>
        <v>45365487.369999997</v>
      </c>
      <c r="G269" s="10">
        <f>'B) D RI'!U270</f>
        <v>762445.16588235286</v>
      </c>
      <c r="H269" s="41">
        <f>'B) D RI'!T270</f>
        <v>43292067.770000003</v>
      </c>
      <c r="I269" s="10">
        <f t="shared" si="27"/>
        <v>1455195.5552941177</v>
      </c>
      <c r="J269" s="31">
        <f t="shared" si="28"/>
        <v>545717.27439564792</v>
      </c>
      <c r="K269" s="10">
        <f t="shared" si="29"/>
        <v>545717.27439564792</v>
      </c>
      <c r="L269" s="10">
        <f t="shared" si="30"/>
        <v>0</v>
      </c>
      <c r="M269" s="10">
        <f>'D) Ecrêtage'!C268</f>
        <v>762445.16588235286</v>
      </c>
      <c r="N269" s="10">
        <f t="shared" si="31"/>
        <v>909006.62777906377</v>
      </c>
      <c r="O269" s="57">
        <f t="shared" si="32"/>
        <v>1454723.9021747117</v>
      </c>
    </row>
    <row r="270" spans="1:15" s="215" customFormat="1" x14ac:dyDescent="0.25">
      <c r="A270" s="303">
        <f>'A) Base RI'!A271</f>
        <v>5862</v>
      </c>
      <c r="B270" s="220" t="str">
        <f>'A) Base RI'!B271</f>
        <v>Tartegnin</v>
      </c>
      <c r="C270" s="490">
        <v>0</v>
      </c>
      <c r="D270" s="216">
        <f>'B) D RI'!AA271</f>
        <v>233</v>
      </c>
      <c r="E270" s="217">
        <f>'B) D RI'!S271</f>
        <v>81</v>
      </c>
      <c r="F270" s="10">
        <f>'B) D RI'!R271</f>
        <v>887429.37000000011</v>
      </c>
      <c r="G270" s="10">
        <f>'B) D RI'!U271</f>
        <v>10955.91814814815</v>
      </c>
      <c r="H270" s="41">
        <f>'B) D RI'!T271</f>
        <v>837791.67000000016</v>
      </c>
      <c r="I270" s="10">
        <f t="shared" si="27"/>
        <v>20686.21407407408</v>
      </c>
      <c r="J270" s="31">
        <f t="shared" si="28"/>
        <v>20360.628492263564</v>
      </c>
      <c r="K270" s="10">
        <f t="shared" si="29"/>
        <v>20360.628492263564</v>
      </c>
      <c r="L270" s="10">
        <f t="shared" si="30"/>
        <v>0</v>
      </c>
      <c r="M270" s="10">
        <f>'D) Ecrêtage'!C269</f>
        <v>10955.91814814815</v>
      </c>
      <c r="N270" s="10">
        <f t="shared" si="31"/>
        <v>13061.925835081356</v>
      </c>
      <c r="O270" s="57">
        <f t="shared" si="32"/>
        <v>33422.554327344922</v>
      </c>
    </row>
    <row r="271" spans="1:15" s="215" customFormat="1" x14ac:dyDescent="0.25">
      <c r="A271" s="303">
        <f>'A) Base RI'!A272</f>
        <v>5863</v>
      </c>
      <c r="B271" s="220" t="str">
        <f>'A) Base RI'!B272</f>
        <v>Vinzel</v>
      </c>
      <c r="C271" s="490">
        <v>0</v>
      </c>
      <c r="D271" s="216">
        <f>'B) D RI'!AA272</f>
        <v>355</v>
      </c>
      <c r="E271" s="217">
        <f>'B) D RI'!S272</f>
        <v>67</v>
      </c>
      <c r="F271" s="10">
        <f>'B) D RI'!R272</f>
        <v>1198323.9899999998</v>
      </c>
      <c r="G271" s="10">
        <f>'B) D RI'!U272</f>
        <v>17885.432686567161</v>
      </c>
      <c r="H271" s="41">
        <f>'B) D RI'!T272</f>
        <v>1114652.0899999999</v>
      </c>
      <c r="I271" s="10">
        <f t="shared" si="27"/>
        <v>33273.196716417908</v>
      </c>
      <c r="J271" s="31">
        <f t="shared" si="28"/>
        <v>31021.558432418737</v>
      </c>
      <c r="K271" s="10">
        <f t="shared" si="29"/>
        <v>31021.558432418737</v>
      </c>
      <c r="L271" s="10">
        <f t="shared" si="30"/>
        <v>0</v>
      </c>
      <c r="M271" s="10">
        <f>'D) Ecrêtage'!C270</f>
        <v>17885.432686567161</v>
      </c>
      <c r="N271" s="10">
        <f t="shared" si="31"/>
        <v>21323.470303560822</v>
      </c>
      <c r="O271" s="57">
        <f t="shared" si="32"/>
        <v>52345.028735979562</v>
      </c>
    </row>
    <row r="272" spans="1:15" s="215" customFormat="1" x14ac:dyDescent="0.25">
      <c r="A272" s="303">
        <f>'A) Base RI'!A273</f>
        <v>5871</v>
      </c>
      <c r="B272" s="220" t="str">
        <f>'A) Base RI'!B273</f>
        <v>L'Abbaye</v>
      </c>
      <c r="C272" s="490">
        <v>0</v>
      </c>
      <c r="D272" s="216">
        <f>'B) D RI'!AA273</f>
        <v>1481</v>
      </c>
      <c r="E272" s="217">
        <f>'B) D RI'!S273</f>
        <v>77.599999999999994</v>
      </c>
      <c r="F272" s="10">
        <f>'B) D RI'!R273</f>
        <v>3628818.5799999991</v>
      </c>
      <c r="G272" s="10">
        <f>'B) D RI'!U273</f>
        <v>46763.12603092783</v>
      </c>
      <c r="H272" s="41">
        <f>'B) D RI'!T273</f>
        <v>3364980.3299999991</v>
      </c>
      <c r="I272" s="10">
        <f t="shared" si="27"/>
        <v>86726.297164948439</v>
      </c>
      <c r="J272" s="31">
        <f t="shared" si="28"/>
        <v>129416.69869975254</v>
      </c>
      <c r="K272" s="10">
        <f t="shared" si="29"/>
        <v>86726.297164948439</v>
      </c>
      <c r="L272" s="10">
        <f t="shared" si="30"/>
        <v>42690.401534804099</v>
      </c>
      <c r="M272" s="10">
        <f>'D) Ecrêtage'!C271</f>
        <v>46763.12603092783</v>
      </c>
      <c r="N272" s="10">
        <f t="shared" si="31"/>
        <v>55752.194911732375</v>
      </c>
      <c r="O272" s="57">
        <f t="shared" si="32"/>
        <v>142478.49207668082</v>
      </c>
    </row>
    <row r="273" spans="1:15" s="215" customFormat="1" x14ac:dyDescent="0.25">
      <c r="A273" s="303">
        <f>'A) Base RI'!A274</f>
        <v>5872</v>
      </c>
      <c r="B273" s="220" t="str">
        <f>'A) Base RI'!B274</f>
        <v>Le Chenit</v>
      </c>
      <c r="C273" s="490">
        <v>0</v>
      </c>
      <c r="D273" s="216">
        <f>'B) D RI'!AA274</f>
        <v>4657</v>
      </c>
      <c r="E273" s="217">
        <f>'B) D RI'!S274</f>
        <v>68.39</v>
      </c>
      <c r="F273" s="10">
        <f>'B) D RI'!R274</f>
        <v>18405715.699999996</v>
      </c>
      <c r="G273" s="10">
        <f>'B) D RI'!U274</f>
        <v>269128.75712823507</v>
      </c>
      <c r="H273" s="41">
        <f>'B) D RI'!T274</f>
        <v>17638640.599999998</v>
      </c>
      <c r="I273" s="10">
        <f t="shared" si="27"/>
        <v>515825.13817809615</v>
      </c>
      <c r="J273" s="31">
        <f t="shared" si="28"/>
        <v>406950.41583034949</v>
      </c>
      <c r="K273" s="10">
        <f t="shared" si="29"/>
        <v>406950.41583034949</v>
      </c>
      <c r="L273" s="10">
        <f t="shared" si="30"/>
        <v>0</v>
      </c>
      <c r="M273" s="10">
        <f>'D) Ecrêtage'!C272</f>
        <v>269128.75712823507</v>
      </c>
      <c r="N273" s="10">
        <f t="shared" si="31"/>
        <v>320862.18773830635</v>
      </c>
      <c r="O273" s="57">
        <f t="shared" si="32"/>
        <v>727812.6035686559</v>
      </c>
    </row>
    <row r="274" spans="1:15" s="215" customFormat="1" x14ac:dyDescent="0.25">
      <c r="A274" s="303">
        <f>'A) Base RI'!A275</f>
        <v>5873</v>
      </c>
      <c r="B274" s="220" t="str">
        <f>'A) Base RI'!B275</f>
        <v>Le Lieu</v>
      </c>
      <c r="C274" s="490">
        <v>0</v>
      </c>
      <c r="D274" s="216">
        <f>'B) D RI'!AA275</f>
        <v>900</v>
      </c>
      <c r="E274" s="217">
        <f>'B) D RI'!S275</f>
        <v>70</v>
      </c>
      <c r="F274" s="10">
        <f>'B) D RI'!R275</f>
        <v>2027605.4933333334</v>
      </c>
      <c r="G274" s="10">
        <f>'B) D RI'!U275</f>
        <v>28965.792761904762</v>
      </c>
      <c r="H274" s="41">
        <f>'B) D RI'!T275</f>
        <v>1886244.6600000001</v>
      </c>
      <c r="I274" s="10">
        <f t="shared" si="27"/>
        <v>53892.704571428578</v>
      </c>
      <c r="J274" s="31">
        <f t="shared" si="28"/>
        <v>78646.204476554543</v>
      </c>
      <c r="K274" s="10">
        <f t="shared" si="29"/>
        <v>53892.704571428578</v>
      </c>
      <c r="L274" s="10">
        <f t="shared" si="30"/>
        <v>24753.499905125966</v>
      </c>
      <c r="M274" s="10">
        <f>'D) Ecrêtage'!C273</f>
        <v>28965.792761904762</v>
      </c>
      <c r="N274" s="10">
        <f t="shared" si="31"/>
        <v>34533.758987081121</v>
      </c>
      <c r="O274" s="57">
        <f t="shared" si="32"/>
        <v>88426.463558509698</v>
      </c>
    </row>
    <row r="275" spans="1:15" s="215" customFormat="1" x14ac:dyDescent="0.25">
      <c r="A275" s="303">
        <f>'A) Base RI'!A276</f>
        <v>5881</v>
      </c>
      <c r="B275" s="220" t="str">
        <f>'A) Base RI'!B276</f>
        <v>Blonay</v>
      </c>
      <c r="C275" s="490">
        <v>1</v>
      </c>
      <c r="D275" s="216">
        <f>'B) D RI'!AA276</f>
        <v>6151</v>
      </c>
      <c r="E275" s="217">
        <f>'B) D RI'!S276</f>
        <v>70</v>
      </c>
      <c r="F275" s="10">
        <f>'B) D RI'!R276</f>
        <v>24912910.760000002</v>
      </c>
      <c r="G275" s="10">
        <f>'B) D RI'!U276</f>
        <v>355898.72514285718</v>
      </c>
      <c r="H275" s="41">
        <f>'B) D RI'!T276</f>
        <v>23189545.110000003</v>
      </c>
      <c r="I275" s="10">
        <f t="shared" si="27"/>
        <v>662558.43171428575</v>
      </c>
      <c r="J275" s="31">
        <f t="shared" si="28"/>
        <v>537503.11526143004</v>
      </c>
      <c r="K275" s="10">
        <f t="shared" si="29"/>
        <v>0</v>
      </c>
      <c r="L275" s="10">
        <f t="shared" si="30"/>
        <v>537503.11526143004</v>
      </c>
      <c r="M275" s="10">
        <f>'D) Ecrêtage'!C274</f>
        <v>355898.72514285718</v>
      </c>
      <c r="N275" s="10">
        <f t="shared" si="31"/>
        <v>424311.56291558879</v>
      </c>
      <c r="O275" s="57">
        <f t="shared" si="32"/>
        <v>424311.56291558879</v>
      </c>
    </row>
    <row r="276" spans="1:15" s="215" customFormat="1" x14ac:dyDescent="0.25">
      <c r="A276" s="303">
        <f>'A) Base RI'!A277</f>
        <v>5882</v>
      </c>
      <c r="B276" s="220" t="str">
        <f>'A) Base RI'!B277</f>
        <v>Chardonne</v>
      </c>
      <c r="C276" s="490">
        <v>1</v>
      </c>
      <c r="D276" s="216">
        <f>'B) D RI'!AA277</f>
        <v>3032</v>
      </c>
      <c r="E276" s="217">
        <f>'B) D RI'!S277</f>
        <v>68</v>
      </c>
      <c r="F276" s="10">
        <f>'B) D RI'!R277</f>
        <v>12517627.759999998</v>
      </c>
      <c r="G276" s="10">
        <f>'B) D RI'!U277</f>
        <v>184082.76117647055</v>
      </c>
      <c r="H276" s="41">
        <f>'B) D RI'!T277</f>
        <v>11445662.089999998</v>
      </c>
      <c r="I276" s="10">
        <f t="shared" si="27"/>
        <v>336637.1202941176</v>
      </c>
      <c r="J276" s="31">
        <f t="shared" si="28"/>
        <v>264950.32441434823</v>
      </c>
      <c r="K276" s="10">
        <f t="shared" si="29"/>
        <v>0</v>
      </c>
      <c r="L276" s="10">
        <f t="shared" si="30"/>
        <v>264950.32441434823</v>
      </c>
      <c r="M276" s="10">
        <f>'D) Ecrêtage'!C275</f>
        <v>184082.76117647055</v>
      </c>
      <c r="N276" s="10">
        <f t="shared" si="31"/>
        <v>219468.1761482924</v>
      </c>
      <c r="O276" s="57">
        <f t="shared" si="32"/>
        <v>219468.1761482924</v>
      </c>
    </row>
    <row r="277" spans="1:15" s="215" customFormat="1" x14ac:dyDescent="0.25">
      <c r="A277" s="303">
        <f>'A) Base RI'!A278</f>
        <v>5883</v>
      </c>
      <c r="B277" s="220" t="str">
        <f>'A) Base RI'!B278</f>
        <v>Corseaux</v>
      </c>
      <c r="C277" s="490">
        <v>1</v>
      </c>
      <c r="D277" s="216">
        <f>'B) D RI'!AA278</f>
        <v>2287</v>
      </c>
      <c r="E277" s="217">
        <f>'B) D RI'!S278</f>
        <v>69</v>
      </c>
      <c r="F277" s="10">
        <f>'B) D RI'!R278</f>
        <v>11354361.110000001</v>
      </c>
      <c r="G277" s="10">
        <f>'B) D RI'!U278</f>
        <v>164555.95811594205</v>
      </c>
      <c r="H277" s="41">
        <f>'B) D RI'!T278</f>
        <v>10678655.710000001</v>
      </c>
      <c r="I277" s="10">
        <f t="shared" si="27"/>
        <v>309526.25246376812</v>
      </c>
      <c r="J277" s="31">
        <f t="shared" si="28"/>
        <v>199848.74404208915</v>
      </c>
      <c r="K277" s="10">
        <f t="shared" si="29"/>
        <v>0</v>
      </c>
      <c r="L277" s="10">
        <f t="shared" si="30"/>
        <v>199848.74404208915</v>
      </c>
      <c r="M277" s="10">
        <f>'D) Ecrêtage'!C276</f>
        <v>164555.95811594205</v>
      </c>
      <c r="N277" s="10">
        <f t="shared" si="31"/>
        <v>196187.82210366361</v>
      </c>
      <c r="O277" s="57">
        <f t="shared" si="32"/>
        <v>196187.82210366361</v>
      </c>
    </row>
    <row r="278" spans="1:15" s="215" customFormat="1" x14ac:dyDescent="0.25">
      <c r="A278" s="303">
        <f>'A) Base RI'!A279</f>
        <v>5884</v>
      </c>
      <c r="B278" s="220" t="str">
        <f>'A) Base RI'!B279</f>
        <v>Corsier-sur-Vevey</v>
      </c>
      <c r="C278" s="490">
        <v>1</v>
      </c>
      <c r="D278" s="216">
        <f>'B) D RI'!AA279</f>
        <v>3363</v>
      </c>
      <c r="E278" s="217">
        <f>'B) D RI'!S279</f>
        <v>66</v>
      </c>
      <c r="F278" s="10">
        <f>'B) D RI'!R279</f>
        <v>8389010.663333334</v>
      </c>
      <c r="G278" s="10">
        <f>'B) D RI'!U279</f>
        <v>127106.22217171718</v>
      </c>
      <c r="H278" s="41">
        <f>'B) D RI'!T279</f>
        <v>7410283.8800000008</v>
      </c>
      <c r="I278" s="10">
        <f t="shared" si="27"/>
        <v>224554.05696969701</v>
      </c>
      <c r="J278" s="31">
        <f t="shared" si="28"/>
        <v>293874.65072739217</v>
      </c>
      <c r="K278" s="10">
        <f t="shared" si="29"/>
        <v>0</v>
      </c>
      <c r="L278" s="10">
        <f t="shared" si="30"/>
        <v>293874.65072739217</v>
      </c>
      <c r="M278" s="10">
        <f>'D) Ecrêtage'!C277</f>
        <v>127106.22217171718</v>
      </c>
      <c r="N278" s="10">
        <f t="shared" si="31"/>
        <v>151539.28906131626</v>
      </c>
      <c r="O278" s="57">
        <f t="shared" si="32"/>
        <v>151539.28906131626</v>
      </c>
    </row>
    <row r="279" spans="1:15" s="215" customFormat="1" x14ac:dyDescent="0.25">
      <c r="A279" s="303">
        <f>'A) Base RI'!A280</f>
        <v>5885</v>
      </c>
      <c r="B279" s="220" t="str">
        <f>'A) Base RI'!B280</f>
        <v>Jongny</v>
      </c>
      <c r="C279" s="490">
        <v>1</v>
      </c>
      <c r="D279" s="216">
        <f>'B) D RI'!AA280</f>
        <v>1544</v>
      </c>
      <c r="E279" s="217">
        <f>'B) D RI'!S280</f>
        <v>71</v>
      </c>
      <c r="F279" s="10">
        <f>'B) D RI'!R280</f>
        <v>5617572.915000001</v>
      </c>
      <c r="G279" s="10">
        <f>'B) D RI'!U280</f>
        <v>79120.74528169015</v>
      </c>
      <c r="H279" s="41">
        <f>'B) D RI'!T280</f>
        <v>5206005.790000001</v>
      </c>
      <c r="I279" s="10">
        <f t="shared" si="27"/>
        <v>146648.05042253525</v>
      </c>
      <c r="J279" s="31">
        <f t="shared" si="28"/>
        <v>134921.93301311135</v>
      </c>
      <c r="K279" s="10">
        <f t="shared" si="29"/>
        <v>0</v>
      </c>
      <c r="L279" s="10">
        <f t="shared" si="30"/>
        <v>134921.93301311135</v>
      </c>
      <c r="M279" s="10">
        <f>'D) Ecrêtage'!C278</f>
        <v>79120.74528169015</v>
      </c>
      <c r="N279" s="10">
        <f t="shared" si="31"/>
        <v>94329.776191371464</v>
      </c>
      <c r="O279" s="57">
        <f t="shared" si="32"/>
        <v>94329.776191371464</v>
      </c>
    </row>
    <row r="280" spans="1:15" s="215" customFormat="1" x14ac:dyDescent="0.25">
      <c r="A280" s="303">
        <f>'A) Base RI'!A281</f>
        <v>5886</v>
      </c>
      <c r="B280" s="220" t="str">
        <f>'A) Base RI'!B281</f>
        <v>Montreux</v>
      </c>
      <c r="C280" s="490">
        <v>1</v>
      </c>
      <c r="D280" s="216">
        <f>'B) D RI'!AA281</f>
        <v>26065</v>
      </c>
      <c r="E280" s="217">
        <f>'B) D RI'!S281</f>
        <v>65</v>
      </c>
      <c r="F280" s="10">
        <f>'B) D RI'!R281</f>
        <v>74233873.093333334</v>
      </c>
      <c r="G280" s="10">
        <f>'B) D RI'!U281</f>
        <v>1142059.586051282</v>
      </c>
      <c r="H280" s="41">
        <f>'B) D RI'!T281</f>
        <v>66941035.830000006</v>
      </c>
      <c r="I280" s="10">
        <f t="shared" si="27"/>
        <v>2059724.1793846155</v>
      </c>
      <c r="J280" s="31">
        <f t="shared" si="28"/>
        <v>2277681.4663126604</v>
      </c>
      <c r="K280" s="10">
        <f t="shared" si="29"/>
        <v>0</v>
      </c>
      <c r="L280" s="10">
        <f t="shared" si="30"/>
        <v>2277681.4663126604</v>
      </c>
      <c r="M280" s="10">
        <f>'D) Ecrêtage'!C279</f>
        <v>1142059.586051282</v>
      </c>
      <c r="N280" s="10">
        <f t="shared" si="31"/>
        <v>1361592.64887964</v>
      </c>
      <c r="O280" s="57">
        <f t="shared" si="32"/>
        <v>1361592.64887964</v>
      </c>
    </row>
    <row r="281" spans="1:15" s="215" customFormat="1" x14ac:dyDescent="0.25">
      <c r="A281" s="303">
        <f>'A) Base RI'!A282</f>
        <v>5888</v>
      </c>
      <c r="B281" s="220" t="str">
        <f>'A) Base RI'!B282</f>
        <v>Saint-Légier-La Chiésaz</v>
      </c>
      <c r="C281" s="490">
        <v>1</v>
      </c>
      <c r="D281" s="216">
        <f>'B) D RI'!AA282</f>
        <v>5243</v>
      </c>
      <c r="E281" s="217">
        <f>'B) D RI'!S282</f>
        <v>70</v>
      </c>
      <c r="F281" s="10">
        <f>'B) D RI'!R282</f>
        <v>23677434.911666669</v>
      </c>
      <c r="G281" s="10">
        <f>'B) D RI'!U282</f>
        <v>338249.0701666667</v>
      </c>
      <c r="H281" s="41">
        <f>'B) D RI'!T282</f>
        <v>22080944.670000002</v>
      </c>
      <c r="I281" s="10">
        <f t="shared" si="27"/>
        <v>630884.13342857151</v>
      </c>
      <c r="J281" s="31">
        <f t="shared" si="28"/>
        <v>458157.83341175056</v>
      </c>
      <c r="K281" s="10">
        <f t="shared" si="29"/>
        <v>0</v>
      </c>
      <c r="L281" s="10">
        <f t="shared" si="30"/>
        <v>458157.83341175056</v>
      </c>
      <c r="M281" s="10">
        <f>'D) Ecrêtage'!C280</f>
        <v>338249.0701666667</v>
      </c>
      <c r="N281" s="10">
        <f t="shared" si="31"/>
        <v>403269.19282881136</v>
      </c>
      <c r="O281" s="57">
        <f t="shared" si="32"/>
        <v>403269.19282881136</v>
      </c>
    </row>
    <row r="282" spans="1:15" s="215" customFormat="1" x14ac:dyDescent="0.25">
      <c r="A282" s="303">
        <f>'A) Base RI'!A283</f>
        <v>5889</v>
      </c>
      <c r="B282" s="220" t="str">
        <f>'A) Base RI'!B283</f>
        <v>La Tour-de-Peilz</v>
      </c>
      <c r="C282" s="490">
        <v>1</v>
      </c>
      <c r="D282" s="216">
        <f>'B) D RI'!AA283</f>
        <v>11906</v>
      </c>
      <c r="E282" s="217">
        <f>'B) D RI'!S283</f>
        <v>64</v>
      </c>
      <c r="F282" s="10">
        <f>'B) D RI'!R283</f>
        <v>44362031.439999998</v>
      </c>
      <c r="G282" s="10">
        <f>'B) D RI'!U283</f>
        <v>693156.74124999996</v>
      </c>
      <c r="H282" s="41">
        <f>'B) D RI'!T283</f>
        <v>41719977.189999998</v>
      </c>
      <c r="I282" s="10">
        <f t="shared" si="27"/>
        <v>1303749.2871874999</v>
      </c>
      <c r="J282" s="31">
        <f t="shared" si="28"/>
        <v>1040401.9005531761</v>
      </c>
      <c r="K282" s="10">
        <f t="shared" si="29"/>
        <v>0</v>
      </c>
      <c r="L282" s="10">
        <f t="shared" si="30"/>
        <v>1040401.9005531761</v>
      </c>
      <c r="M282" s="10">
        <f>'D) Ecrêtage'!C281</f>
        <v>693156.74124999996</v>
      </c>
      <c r="N282" s="10">
        <f t="shared" si="31"/>
        <v>826399.19574650563</v>
      </c>
      <c r="O282" s="57">
        <f t="shared" si="32"/>
        <v>826399.19574650563</v>
      </c>
    </row>
    <row r="283" spans="1:15" s="215" customFormat="1" x14ac:dyDescent="0.25">
      <c r="A283" s="303">
        <f>'A) Base RI'!A284</f>
        <v>5890</v>
      </c>
      <c r="B283" s="220" t="str">
        <f>'A) Base RI'!B284</f>
        <v>Vevey</v>
      </c>
      <c r="C283" s="490">
        <v>1</v>
      </c>
      <c r="D283" s="216">
        <f>'B) D RI'!AA284</f>
        <v>19871</v>
      </c>
      <c r="E283" s="217">
        <f>'B) D RI'!S284</f>
        <v>76</v>
      </c>
      <c r="F283" s="10">
        <f>'B) D RI'!R284</f>
        <v>74239812.430000007</v>
      </c>
      <c r="G283" s="10">
        <f>'B) D RI'!U284</f>
        <v>976839.63723684219</v>
      </c>
      <c r="H283" s="41">
        <f>'B) D RI'!T284</f>
        <v>69958216.790000007</v>
      </c>
      <c r="I283" s="10">
        <f t="shared" si="27"/>
        <v>1841005.7050000001</v>
      </c>
      <c r="J283" s="31">
        <f t="shared" si="28"/>
        <v>1736420.8101706838</v>
      </c>
      <c r="K283" s="10">
        <f t="shared" si="29"/>
        <v>0</v>
      </c>
      <c r="L283" s="10">
        <f t="shared" si="30"/>
        <v>1736420.8101706838</v>
      </c>
      <c r="M283" s="10">
        <f>'D) Ecrêtage'!C282</f>
        <v>976839.63723684219</v>
      </c>
      <c r="N283" s="10">
        <f t="shared" si="31"/>
        <v>1164613.2000823771</v>
      </c>
      <c r="O283" s="57">
        <f t="shared" si="32"/>
        <v>1164613.2000823771</v>
      </c>
    </row>
    <row r="284" spans="1:15" s="215" customFormat="1" x14ac:dyDescent="0.25">
      <c r="A284" s="303">
        <f>'A) Base RI'!A285</f>
        <v>5891</v>
      </c>
      <c r="B284" s="220" t="str">
        <f>'A) Base RI'!B285</f>
        <v>Veytaux</v>
      </c>
      <c r="C284" s="490">
        <v>1</v>
      </c>
      <c r="D284" s="216">
        <f>'B) D RI'!AA285</f>
        <v>922</v>
      </c>
      <c r="E284" s="217">
        <f>'B) D RI'!S285</f>
        <v>71</v>
      </c>
      <c r="F284" s="10">
        <f>'B) D RI'!R285</f>
        <v>2641055.96</v>
      </c>
      <c r="G284" s="10">
        <f>'B) D RI'!U285</f>
        <v>37197.97126760563</v>
      </c>
      <c r="H284" s="41">
        <f>'B) D RI'!T285</f>
        <v>2338594.2600000002</v>
      </c>
      <c r="I284" s="10">
        <f t="shared" si="27"/>
        <v>65875.894647887326</v>
      </c>
      <c r="J284" s="31">
        <f t="shared" si="28"/>
        <v>80568.667252648098</v>
      </c>
      <c r="K284" s="10">
        <f t="shared" si="29"/>
        <v>0</v>
      </c>
      <c r="L284" s="10">
        <f t="shared" si="30"/>
        <v>80568.667252648098</v>
      </c>
      <c r="M284" s="10">
        <f>'D) Ecrêtage'!C283</f>
        <v>37197.97126760563</v>
      </c>
      <c r="N284" s="10">
        <f t="shared" si="31"/>
        <v>44348.372755511911</v>
      </c>
      <c r="O284" s="57">
        <f t="shared" si="32"/>
        <v>44348.372755511911</v>
      </c>
    </row>
    <row r="285" spans="1:15" s="215" customFormat="1" x14ac:dyDescent="0.25">
      <c r="A285" s="303">
        <f>'A) Base RI'!A286</f>
        <v>5902</v>
      </c>
      <c r="B285" s="220" t="str">
        <f>'A) Base RI'!B286</f>
        <v>Belmont-sur-Yverdon</v>
      </c>
      <c r="C285" s="490">
        <v>0</v>
      </c>
      <c r="D285" s="216">
        <f>'B) D RI'!AA286</f>
        <v>374</v>
      </c>
      <c r="E285" s="217">
        <f>'B) D RI'!S286</f>
        <v>76</v>
      </c>
      <c r="F285" s="10">
        <f>'B) D RI'!R286</f>
        <v>819104.45000000019</v>
      </c>
      <c r="G285" s="10">
        <f>'B) D RI'!U286</f>
        <v>10777.690131578949</v>
      </c>
      <c r="H285" s="41">
        <f>'B) D RI'!T286</f>
        <v>763071.05000000016</v>
      </c>
      <c r="I285" s="10">
        <f t="shared" si="27"/>
        <v>20080.817105263162</v>
      </c>
      <c r="J285" s="31">
        <f t="shared" si="28"/>
        <v>32681.867193590446</v>
      </c>
      <c r="K285" s="10">
        <f t="shared" si="29"/>
        <v>20080.817105263162</v>
      </c>
      <c r="L285" s="10">
        <f t="shared" si="30"/>
        <v>12601.050088327283</v>
      </c>
      <c r="M285" s="10">
        <f>'D) Ecrêtage'!C284</f>
        <v>10777.690131578949</v>
      </c>
      <c r="N285" s="10">
        <f t="shared" si="31"/>
        <v>12849.4378352003</v>
      </c>
      <c r="O285" s="57">
        <f t="shared" si="32"/>
        <v>32930.254940463463</v>
      </c>
    </row>
    <row r="286" spans="1:15" s="215" customFormat="1" x14ac:dyDescent="0.25">
      <c r="A286" s="303">
        <f>'A) Base RI'!A287</f>
        <v>5903</v>
      </c>
      <c r="B286" s="220" t="str">
        <f>'A) Base RI'!B287</f>
        <v>Bioley-Magnoux</v>
      </c>
      <c r="C286" s="490">
        <v>0</v>
      </c>
      <c r="D286" s="216">
        <f>'B) D RI'!AA287</f>
        <v>228</v>
      </c>
      <c r="E286" s="217">
        <f>'B) D RI'!S287</f>
        <v>74</v>
      </c>
      <c r="F286" s="10">
        <f>'B) D RI'!R287</f>
        <v>479725.14571428573</v>
      </c>
      <c r="G286" s="10">
        <f>'B) D RI'!U287</f>
        <v>6482.7722393822396</v>
      </c>
      <c r="H286" s="41">
        <f>'B) D RI'!T287</f>
        <v>443107.36</v>
      </c>
      <c r="I286" s="10">
        <f t="shared" si="27"/>
        <v>11975.874594594594</v>
      </c>
      <c r="J286" s="31">
        <f t="shared" si="28"/>
        <v>19923.705134060485</v>
      </c>
      <c r="K286" s="10">
        <f t="shared" si="29"/>
        <v>11975.874594594594</v>
      </c>
      <c r="L286" s="10">
        <f t="shared" si="30"/>
        <v>7947.830539465891</v>
      </c>
      <c r="M286" s="10">
        <f>'D) Ecrêtage'!C285</f>
        <v>6482.7722393822396</v>
      </c>
      <c r="N286" s="10">
        <f t="shared" si="31"/>
        <v>7728.9268732669298</v>
      </c>
      <c r="O286" s="57">
        <f t="shared" si="32"/>
        <v>19704.801467861522</v>
      </c>
    </row>
    <row r="287" spans="1:15" s="215" customFormat="1" x14ac:dyDescent="0.25">
      <c r="A287" s="303">
        <f>'A) Base RI'!A288</f>
        <v>5904</v>
      </c>
      <c r="B287" s="220" t="str">
        <f>'A) Base RI'!B288</f>
        <v>Chamblon</v>
      </c>
      <c r="C287" s="490">
        <v>1</v>
      </c>
      <c r="D287" s="216">
        <f>'B) D RI'!AA288</f>
        <v>540</v>
      </c>
      <c r="E287" s="217">
        <f>'B) D RI'!S288</f>
        <v>66</v>
      </c>
      <c r="F287" s="10">
        <f>'B) D RI'!R288</f>
        <v>1450509.08</v>
      </c>
      <c r="G287" s="10">
        <f>'B) D RI'!U288</f>
        <v>21977.410303030305</v>
      </c>
      <c r="H287" s="41">
        <f>'B) D RI'!T288</f>
        <v>1351494.1300000001</v>
      </c>
      <c r="I287" s="10">
        <f t="shared" si="27"/>
        <v>40954.367575757577</v>
      </c>
      <c r="J287" s="31">
        <f t="shared" si="28"/>
        <v>47187.722685932727</v>
      </c>
      <c r="K287" s="10">
        <f t="shared" si="29"/>
        <v>0</v>
      </c>
      <c r="L287" s="10">
        <f t="shared" si="30"/>
        <v>47187.722685932727</v>
      </c>
      <c r="M287" s="10">
        <f>'D) Ecrêtage'!C286</f>
        <v>21977.410303030305</v>
      </c>
      <c r="N287" s="10">
        <f t="shared" si="31"/>
        <v>26202.030678173414</v>
      </c>
      <c r="O287" s="57">
        <f t="shared" si="32"/>
        <v>26202.030678173414</v>
      </c>
    </row>
    <row r="288" spans="1:15" s="215" customFormat="1" x14ac:dyDescent="0.25">
      <c r="A288" s="303">
        <f>'A) Base RI'!A289</f>
        <v>5905</v>
      </c>
      <c r="B288" s="220" t="str">
        <f>'A) Base RI'!B289</f>
        <v>Champvent</v>
      </c>
      <c r="C288" s="490">
        <v>0</v>
      </c>
      <c r="D288" s="216">
        <f>'B) D RI'!AA289</f>
        <v>689</v>
      </c>
      <c r="E288" s="217">
        <f>'B) D RI'!S289</f>
        <v>71</v>
      </c>
      <c r="F288" s="10">
        <f>'B) D RI'!R289</f>
        <v>1679955.2599999998</v>
      </c>
      <c r="G288" s="10">
        <f>'B) D RI'!U289</f>
        <v>23661.341690140842</v>
      </c>
      <c r="H288" s="41">
        <f>'B) D RI'!T289</f>
        <v>1578111.9599999997</v>
      </c>
      <c r="I288" s="10">
        <f t="shared" si="27"/>
        <v>44453.858028169008</v>
      </c>
      <c r="J288" s="31">
        <f t="shared" si="28"/>
        <v>60208.038760384537</v>
      </c>
      <c r="K288" s="10">
        <f t="shared" si="29"/>
        <v>44453.858028169008</v>
      </c>
      <c r="L288" s="10">
        <f t="shared" si="30"/>
        <v>15754.180732215529</v>
      </c>
      <c r="M288" s="10">
        <f>'D) Ecrêtage'!C287</f>
        <v>23661.341690140842</v>
      </c>
      <c r="N288" s="10">
        <f t="shared" si="31"/>
        <v>28209.656747698344</v>
      </c>
      <c r="O288" s="57">
        <f t="shared" si="32"/>
        <v>72663.514775867356</v>
      </c>
    </row>
    <row r="289" spans="1:15" s="215" customFormat="1" x14ac:dyDescent="0.25">
      <c r="A289" s="303">
        <f>'A) Base RI'!A290</f>
        <v>5907</v>
      </c>
      <c r="B289" s="220" t="str">
        <f>'A) Base RI'!B290</f>
        <v>Chavannes-le-Chêne</v>
      </c>
      <c r="C289" s="490">
        <v>0</v>
      </c>
      <c r="D289" s="216">
        <f>'B) D RI'!AA290</f>
        <v>311</v>
      </c>
      <c r="E289" s="217">
        <f>'B) D RI'!S290</f>
        <v>78</v>
      </c>
      <c r="F289" s="10">
        <f>'B) D RI'!R290</f>
        <v>739560.63999999978</v>
      </c>
      <c r="G289" s="10">
        <f>'B) D RI'!U290</f>
        <v>9481.5466666666634</v>
      </c>
      <c r="H289" s="41">
        <f>'B) D RI'!T290</f>
        <v>689879.43999999983</v>
      </c>
      <c r="I289" s="10">
        <f t="shared" si="27"/>
        <v>17689.216410256406</v>
      </c>
      <c r="J289" s="31">
        <f t="shared" si="28"/>
        <v>27176.632880231627</v>
      </c>
      <c r="K289" s="10">
        <f t="shared" si="29"/>
        <v>17689.216410256406</v>
      </c>
      <c r="L289" s="10">
        <f t="shared" si="30"/>
        <v>9487.4164699752218</v>
      </c>
      <c r="M289" s="10">
        <f>'D) Ecrêtage'!C288</f>
        <v>9481.5466666666634</v>
      </c>
      <c r="N289" s="10">
        <f t="shared" si="31"/>
        <v>11304.142444948475</v>
      </c>
      <c r="O289" s="57">
        <f t="shared" si="32"/>
        <v>28993.358855204882</v>
      </c>
    </row>
    <row r="290" spans="1:15" s="215" customFormat="1" x14ac:dyDescent="0.25">
      <c r="A290" s="303">
        <f>'A) Base RI'!A291</f>
        <v>5908</v>
      </c>
      <c r="B290" s="220" t="str">
        <f>'A) Base RI'!B291</f>
        <v>Chêne-Pâquier</v>
      </c>
      <c r="C290" s="490">
        <v>0</v>
      </c>
      <c r="D290" s="216">
        <f>'B) D RI'!AA291</f>
        <v>153</v>
      </c>
      <c r="E290" s="217">
        <f>'B) D RI'!S291</f>
        <v>79</v>
      </c>
      <c r="F290" s="10">
        <f>'B) D RI'!R291</f>
        <v>266657.05000000005</v>
      </c>
      <c r="G290" s="10">
        <f>'B) D RI'!U291</f>
        <v>3375.4056962025325</v>
      </c>
      <c r="H290" s="41">
        <f>'B) D RI'!T291</f>
        <v>248462.45000000004</v>
      </c>
      <c r="I290" s="10">
        <f t="shared" si="27"/>
        <v>6290.1886075949378</v>
      </c>
      <c r="J290" s="31">
        <f t="shared" si="28"/>
        <v>13369.854761014272</v>
      </c>
      <c r="K290" s="10">
        <f t="shared" si="29"/>
        <v>6290.1886075949378</v>
      </c>
      <c r="L290" s="10">
        <f t="shared" si="30"/>
        <v>7079.6661534193345</v>
      </c>
      <c r="M290" s="10">
        <f>'D) Ecrêtage'!C289</f>
        <v>3375.4056962025325</v>
      </c>
      <c r="N290" s="10">
        <f t="shared" si="31"/>
        <v>4024.2450035610136</v>
      </c>
      <c r="O290" s="57">
        <f t="shared" si="32"/>
        <v>10314.433611155951</v>
      </c>
    </row>
    <row r="291" spans="1:15" s="215" customFormat="1" x14ac:dyDescent="0.25">
      <c r="A291" s="303">
        <f>'A) Base RI'!A292</f>
        <v>5909</v>
      </c>
      <c r="B291" s="220" t="str">
        <f>'A) Base RI'!B292</f>
        <v>Cheseaux-Noréaz</v>
      </c>
      <c r="C291" s="490">
        <v>1</v>
      </c>
      <c r="D291" s="216">
        <f>'B) D RI'!AA292</f>
        <v>725</v>
      </c>
      <c r="E291" s="217">
        <f>'B) D RI'!S292</f>
        <v>70</v>
      </c>
      <c r="F291" s="10">
        <f>'B) D RI'!R292</f>
        <v>2264453.94</v>
      </c>
      <c r="G291" s="10">
        <f>'B) D RI'!U292</f>
        <v>32349.342000000001</v>
      </c>
      <c r="H291" s="41">
        <f>'B) D RI'!T292</f>
        <v>2102398.9899999998</v>
      </c>
      <c r="I291" s="10">
        <f t="shared" si="27"/>
        <v>60068.542571428567</v>
      </c>
      <c r="J291" s="31">
        <f t="shared" si="28"/>
        <v>63353.886939446718</v>
      </c>
      <c r="K291" s="10">
        <f t="shared" si="29"/>
        <v>0</v>
      </c>
      <c r="L291" s="10">
        <f t="shared" si="30"/>
        <v>63353.886939446718</v>
      </c>
      <c r="M291" s="10">
        <f>'D) Ecrêtage'!C290</f>
        <v>32349.342000000001</v>
      </c>
      <c r="N291" s="10">
        <f t="shared" si="31"/>
        <v>38567.712929573499</v>
      </c>
      <c r="O291" s="57">
        <f t="shared" si="32"/>
        <v>38567.712929573499</v>
      </c>
    </row>
    <row r="292" spans="1:15" s="215" customFormat="1" x14ac:dyDescent="0.25">
      <c r="A292" s="303">
        <f>'A) Base RI'!A293</f>
        <v>5910</v>
      </c>
      <c r="B292" s="220" t="str">
        <f>'A) Base RI'!B293</f>
        <v>Cronay</v>
      </c>
      <c r="C292" s="490">
        <v>0</v>
      </c>
      <c r="D292" s="216">
        <f>'B) D RI'!AA293</f>
        <v>394</v>
      </c>
      <c r="E292" s="217">
        <f>'B) D RI'!S293</f>
        <v>79</v>
      </c>
      <c r="F292" s="10">
        <f>'B) D RI'!R293</f>
        <v>805845.64999999991</v>
      </c>
      <c r="G292" s="10">
        <f>'B) D RI'!U293</f>
        <v>10200.577848101264</v>
      </c>
      <c r="H292" s="41">
        <f>'B) D RI'!T293</f>
        <v>752196.04999999993</v>
      </c>
      <c r="I292" s="10">
        <f t="shared" si="27"/>
        <v>19042.937974683544</v>
      </c>
      <c r="J292" s="31">
        <f t="shared" si="28"/>
        <v>34429.560626402767</v>
      </c>
      <c r="K292" s="10">
        <f t="shared" si="29"/>
        <v>19042.937974683544</v>
      </c>
      <c r="L292" s="10">
        <f t="shared" si="30"/>
        <v>15386.622651719223</v>
      </c>
      <c r="M292" s="10">
        <f>'D) Ecrêtage'!C291</f>
        <v>10200.577848101264</v>
      </c>
      <c r="N292" s="10">
        <f t="shared" si="31"/>
        <v>12161.389810072062</v>
      </c>
      <c r="O292" s="57">
        <f t="shared" si="32"/>
        <v>31204.327784755606</v>
      </c>
    </row>
    <row r="293" spans="1:15" s="215" customFormat="1" x14ac:dyDescent="0.25">
      <c r="A293" s="303">
        <f>'A) Base RI'!A294</f>
        <v>5911</v>
      </c>
      <c r="B293" s="220" t="str">
        <f>'A) Base RI'!B294</f>
        <v>Cuarny</v>
      </c>
      <c r="C293" s="490">
        <v>0</v>
      </c>
      <c r="D293" s="216">
        <f>'B) D RI'!AA294</f>
        <v>239</v>
      </c>
      <c r="E293" s="217">
        <f>'B) D RI'!S294</f>
        <v>79</v>
      </c>
      <c r="F293" s="10">
        <f>'B) D RI'!R294</f>
        <v>619121.84000000008</v>
      </c>
      <c r="G293" s="10">
        <f>'B) D RI'!U294</f>
        <v>7836.9853164556971</v>
      </c>
      <c r="H293" s="41">
        <f>'B) D RI'!T294</f>
        <v>584747.69000000006</v>
      </c>
      <c r="I293" s="10">
        <f t="shared" si="27"/>
        <v>14803.738987341774</v>
      </c>
      <c r="J293" s="31">
        <f t="shared" si="28"/>
        <v>20884.936522107262</v>
      </c>
      <c r="K293" s="10">
        <f t="shared" si="29"/>
        <v>14803.738987341774</v>
      </c>
      <c r="L293" s="10">
        <f t="shared" si="30"/>
        <v>6081.1975347654879</v>
      </c>
      <c r="M293" s="10">
        <f>'D) Ecrêtage'!C292</f>
        <v>7836.9853164556971</v>
      </c>
      <c r="N293" s="10">
        <f t="shared" si="31"/>
        <v>9343.45434038028</v>
      </c>
      <c r="O293" s="57">
        <f t="shared" si="32"/>
        <v>24147.193327722052</v>
      </c>
    </row>
    <row r="294" spans="1:15" s="215" customFormat="1" x14ac:dyDescent="0.25">
      <c r="A294" s="303">
        <f>'A) Base RI'!A295</f>
        <v>5912</v>
      </c>
      <c r="B294" s="220" t="str">
        <f>'A) Base RI'!B295</f>
        <v>Démoret</v>
      </c>
      <c r="C294" s="490">
        <v>0</v>
      </c>
      <c r="D294" s="216">
        <f>'B) D RI'!AA295</f>
        <v>156</v>
      </c>
      <c r="E294" s="217">
        <f>'B) D RI'!S295</f>
        <v>81</v>
      </c>
      <c r="F294" s="10">
        <f>'B) D RI'!R295</f>
        <v>321204.00000000006</v>
      </c>
      <c r="G294" s="10">
        <f>'B) D RI'!U295</f>
        <v>3965.4814814814822</v>
      </c>
      <c r="H294" s="41">
        <f>'B) D RI'!T295</f>
        <v>300760.50000000006</v>
      </c>
      <c r="I294" s="10">
        <f t="shared" si="27"/>
        <v>7426.185185185187</v>
      </c>
      <c r="J294" s="31">
        <f t="shared" si="28"/>
        <v>13632.008775936121</v>
      </c>
      <c r="K294" s="10">
        <f t="shared" si="29"/>
        <v>7426.185185185187</v>
      </c>
      <c r="L294" s="10">
        <f t="shared" si="30"/>
        <v>6205.8235907509343</v>
      </c>
      <c r="M294" s="10">
        <f>'D) Ecrêtage'!C293</f>
        <v>3965.4814814814822</v>
      </c>
      <c r="N294" s="10">
        <f t="shared" si="31"/>
        <v>4727.7484471034259</v>
      </c>
      <c r="O294" s="57">
        <f t="shared" si="32"/>
        <v>12153.933632288612</v>
      </c>
    </row>
    <row r="295" spans="1:15" s="215" customFormat="1" x14ac:dyDescent="0.25">
      <c r="A295" s="303">
        <f>'A) Base RI'!A296</f>
        <v>5913</v>
      </c>
      <c r="B295" s="220" t="str">
        <f>'A) Base RI'!B296</f>
        <v>Donneloye</v>
      </c>
      <c r="C295" s="490">
        <v>0</v>
      </c>
      <c r="D295" s="216">
        <f>'B) D RI'!AA296</f>
        <v>823</v>
      </c>
      <c r="E295" s="217">
        <f>'B) D RI'!S296</f>
        <v>73</v>
      </c>
      <c r="F295" s="10">
        <f>'B) D RI'!R296</f>
        <v>1577029.8099999996</v>
      </c>
      <c r="G295" s="10">
        <f>'B) D RI'!U296</f>
        <v>21603.148082191776</v>
      </c>
      <c r="H295" s="41">
        <f>'B) D RI'!T296</f>
        <v>1461175.2099999997</v>
      </c>
      <c r="I295" s="10">
        <f t="shared" si="27"/>
        <v>40032.197534246567</v>
      </c>
      <c r="J295" s="31">
        <f t="shared" si="28"/>
        <v>71917.584760227095</v>
      </c>
      <c r="K295" s="10">
        <f t="shared" si="29"/>
        <v>40032.197534246567</v>
      </c>
      <c r="L295" s="10">
        <f t="shared" si="30"/>
        <v>31885.387225980528</v>
      </c>
      <c r="M295" s="10">
        <f>'D) Ecrêtage'!C294</f>
        <v>21603.148082191776</v>
      </c>
      <c r="N295" s="10">
        <f t="shared" si="31"/>
        <v>25755.825686007422</v>
      </c>
      <c r="O295" s="57">
        <f t="shared" si="32"/>
        <v>65788.023220253992</v>
      </c>
    </row>
    <row r="296" spans="1:15" s="215" customFormat="1" x14ac:dyDescent="0.25">
      <c r="A296" s="303">
        <f>'A) Base RI'!A297</f>
        <v>5914</v>
      </c>
      <c r="B296" s="220" t="str">
        <f>'A) Base RI'!B297</f>
        <v>Ependes</v>
      </c>
      <c r="C296" s="490">
        <v>1</v>
      </c>
      <c r="D296" s="216">
        <f>'B) D RI'!AA297</f>
        <v>357</v>
      </c>
      <c r="E296" s="217">
        <f>'B) D RI'!S297</f>
        <v>75</v>
      </c>
      <c r="F296" s="10">
        <f>'B) D RI'!R297</f>
        <v>758658.58999999985</v>
      </c>
      <c r="G296" s="10">
        <f>'B) D RI'!U297</f>
        <v>10115.447866666666</v>
      </c>
      <c r="H296" s="41">
        <f>'B) D RI'!T297</f>
        <v>699831.33999999985</v>
      </c>
      <c r="I296" s="10">
        <f t="shared" si="27"/>
        <v>18662.169066666662</v>
      </c>
      <c r="J296" s="31">
        <f t="shared" si="28"/>
        <v>31196.327775699971</v>
      </c>
      <c r="K296" s="10">
        <f t="shared" si="29"/>
        <v>0</v>
      </c>
      <c r="L296" s="10">
        <f t="shared" si="30"/>
        <v>31196.327775699971</v>
      </c>
      <c r="M296" s="10">
        <f>'D) Ecrêtage'!C295</f>
        <v>10115.447866666666</v>
      </c>
      <c r="N296" s="10">
        <f t="shared" si="31"/>
        <v>12059.895668841322</v>
      </c>
      <c r="O296" s="57">
        <f t="shared" si="32"/>
        <v>12059.895668841322</v>
      </c>
    </row>
    <row r="297" spans="1:15" s="215" customFormat="1" x14ac:dyDescent="0.25">
      <c r="A297" s="303">
        <f>'A) Base RI'!A298</f>
        <v>5919</v>
      </c>
      <c r="B297" s="220" t="str">
        <f>'A) Base RI'!B298</f>
        <v>Mathod</v>
      </c>
      <c r="C297" s="490">
        <v>1</v>
      </c>
      <c r="D297" s="216">
        <f>'B) D RI'!AA298</f>
        <v>601</v>
      </c>
      <c r="E297" s="217">
        <f>'B) D RI'!S298</f>
        <v>72</v>
      </c>
      <c r="F297" s="10">
        <f>'B) D RI'!R298</f>
        <v>1258231.8933333331</v>
      </c>
      <c r="G297" s="10">
        <f>'B) D RI'!U298</f>
        <v>17475.442962962959</v>
      </c>
      <c r="H297" s="41">
        <f>'B) D RI'!T298</f>
        <v>1132519.1099999999</v>
      </c>
      <c r="I297" s="10">
        <f t="shared" si="27"/>
        <v>31458.864166666663</v>
      </c>
      <c r="J297" s="31">
        <f t="shared" si="28"/>
        <v>52518.187656010312</v>
      </c>
      <c r="K297" s="10">
        <f t="shared" si="29"/>
        <v>0</v>
      </c>
      <c r="L297" s="10">
        <f t="shared" si="30"/>
        <v>52518.187656010312</v>
      </c>
      <c r="M297" s="10">
        <f>'D) Ecrêtage'!C296</f>
        <v>17475.442962962959</v>
      </c>
      <c r="N297" s="10">
        <f t="shared" si="31"/>
        <v>20834.670068797404</v>
      </c>
      <c r="O297" s="57">
        <f t="shared" si="32"/>
        <v>20834.670068797404</v>
      </c>
    </row>
    <row r="298" spans="1:15" s="215" customFormat="1" x14ac:dyDescent="0.25">
      <c r="A298" s="303">
        <f>'A) Base RI'!A299</f>
        <v>5921</v>
      </c>
      <c r="B298" s="220" t="str">
        <f>'A) Base RI'!B299</f>
        <v>Molondin</v>
      </c>
      <c r="C298" s="490">
        <v>0</v>
      </c>
      <c r="D298" s="216">
        <f>'B) D RI'!AA299</f>
        <v>240</v>
      </c>
      <c r="E298" s="217">
        <f>'B) D RI'!S299</f>
        <v>81</v>
      </c>
      <c r="F298" s="10">
        <f>'B) D RI'!R299</f>
        <v>458914.79</v>
      </c>
      <c r="G298" s="10">
        <f>'B) D RI'!U299</f>
        <v>5665.6146913580242</v>
      </c>
      <c r="H298" s="41">
        <f>'B) D RI'!T299</f>
        <v>426949.54</v>
      </c>
      <c r="I298" s="10">
        <f t="shared" si="27"/>
        <v>10541.963950617283</v>
      </c>
      <c r="J298" s="31">
        <f t="shared" si="28"/>
        <v>20972.321193747877</v>
      </c>
      <c r="K298" s="10">
        <f t="shared" si="29"/>
        <v>10541.963950617283</v>
      </c>
      <c r="L298" s="10">
        <f t="shared" si="30"/>
        <v>10430.357243130595</v>
      </c>
      <c r="M298" s="10">
        <f>'D) Ecrêtage'!C297</f>
        <v>5665.6146913580242</v>
      </c>
      <c r="N298" s="10">
        <f t="shared" si="31"/>
        <v>6754.6907441230314</v>
      </c>
      <c r="O298" s="57">
        <f t="shared" si="32"/>
        <v>17296.654694740315</v>
      </c>
    </row>
    <row r="299" spans="1:15" s="215" customFormat="1" x14ac:dyDescent="0.25">
      <c r="A299" s="303">
        <f>'A) Base RI'!A300</f>
        <v>5922</v>
      </c>
      <c r="B299" s="220" t="str">
        <f>'A) Base RI'!B300</f>
        <v>Montagny-près-Yverdon</v>
      </c>
      <c r="C299" s="490">
        <v>0</v>
      </c>
      <c r="D299" s="216">
        <f>'B) D RI'!AA300</f>
        <v>747</v>
      </c>
      <c r="E299" s="217">
        <f>'B) D RI'!S300</f>
        <v>65</v>
      </c>
      <c r="F299" s="10">
        <f>'B) D RI'!R300</f>
        <v>2445259.1524999999</v>
      </c>
      <c r="G299" s="10">
        <f>'B) D RI'!U300</f>
        <v>37619.371576923077</v>
      </c>
      <c r="H299" s="41">
        <f>'B) D RI'!T300</f>
        <v>2055320.54</v>
      </c>
      <c r="I299" s="10">
        <f t="shared" si="27"/>
        <v>63240.631999999998</v>
      </c>
      <c r="J299" s="31">
        <f t="shared" si="28"/>
        <v>65276.349715540273</v>
      </c>
      <c r="K299" s="10">
        <f t="shared" si="29"/>
        <v>63240.631999999998</v>
      </c>
      <c r="L299" s="10">
        <f t="shared" si="30"/>
        <v>2035.7177155402751</v>
      </c>
      <c r="M299" s="10">
        <f>'D) Ecrêtage'!C298</f>
        <v>37619.371576923077</v>
      </c>
      <c r="N299" s="10">
        <f t="shared" si="31"/>
        <v>44850.77698241052</v>
      </c>
      <c r="O299" s="57">
        <f t="shared" si="32"/>
        <v>108091.40898241052</v>
      </c>
    </row>
    <row r="300" spans="1:15" s="215" customFormat="1" x14ac:dyDescent="0.25">
      <c r="A300" s="303">
        <f>'A) Base RI'!A301</f>
        <v>5923</v>
      </c>
      <c r="B300" s="220" t="str">
        <f>'A) Base RI'!B301</f>
        <v>Oppens</v>
      </c>
      <c r="C300" s="490">
        <v>0</v>
      </c>
      <c r="D300" s="216">
        <f>'B) D RI'!AA301</f>
        <v>202</v>
      </c>
      <c r="E300" s="217">
        <f>'B) D RI'!S301</f>
        <v>81</v>
      </c>
      <c r="F300" s="10">
        <f>'B) D RI'!R301</f>
        <v>437359.70999999996</v>
      </c>
      <c r="G300" s="10">
        <f>'B) D RI'!U301</f>
        <v>5399.502592592592</v>
      </c>
      <c r="H300" s="41">
        <f>'B) D RI'!T301</f>
        <v>411529.70999999996</v>
      </c>
      <c r="I300" s="10">
        <f t="shared" si="27"/>
        <v>10161.227407407407</v>
      </c>
      <c r="J300" s="31">
        <f t="shared" si="28"/>
        <v>17651.703671404466</v>
      </c>
      <c r="K300" s="10">
        <f t="shared" si="29"/>
        <v>10161.227407407407</v>
      </c>
      <c r="L300" s="10">
        <f t="shared" si="30"/>
        <v>7490.4762639970595</v>
      </c>
      <c r="M300" s="10">
        <f>'D) Ecrêtage'!C299</f>
        <v>5399.502592592592</v>
      </c>
      <c r="N300" s="10">
        <f t="shared" si="31"/>
        <v>6437.4250936417484</v>
      </c>
      <c r="O300" s="57">
        <f t="shared" si="32"/>
        <v>16598.652501049153</v>
      </c>
    </row>
    <row r="301" spans="1:15" s="215" customFormat="1" x14ac:dyDescent="0.25">
      <c r="A301" s="303">
        <f>'A) Base RI'!A302</f>
        <v>5924</v>
      </c>
      <c r="B301" s="220" t="str">
        <f>'A) Base RI'!B302</f>
        <v>Orges</v>
      </c>
      <c r="C301" s="490">
        <v>0</v>
      </c>
      <c r="D301" s="216">
        <f>'B) D RI'!AA302</f>
        <v>332</v>
      </c>
      <c r="E301" s="217">
        <f>'B) D RI'!S302</f>
        <v>74</v>
      </c>
      <c r="F301" s="10">
        <f>'B) D RI'!R302</f>
        <v>881440.14</v>
      </c>
      <c r="G301" s="10">
        <f>'B) D RI'!U302</f>
        <v>11911.353243243244</v>
      </c>
      <c r="H301" s="41">
        <f>'B) D RI'!T302</f>
        <v>828284.39</v>
      </c>
      <c r="I301" s="10">
        <f t="shared" si="27"/>
        <v>22386.064594594594</v>
      </c>
      <c r="J301" s="31">
        <f t="shared" si="28"/>
        <v>29011.710984684567</v>
      </c>
      <c r="K301" s="10">
        <f t="shared" si="29"/>
        <v>22386.064594594594</v>
      </c>
      <c r="L301" s="10">
        <f t="shared" si="30"/>
        <v>6625.6463900899726</v>
      </c>
      <c r="M301" s="10">
        <f>'D) Ecrêtage'!C300</f>
        <v>11911.353243243244</v>
      </c>
      <c r="N301" s="10">
        <f t="shared" si="31"/>
        <v>14201.019992559653</v>
      </c>
      <c r="O301" s="57">
        <f t="shared" si="32"/>
        <v>36587.084587154248</v>
      </c>
    </row>
    <row r="302" spans="1:15" s="215" customFormat="1" x14ac:dyDescent="0.25">
      <c r="A302" s="303">
        <f>'A) Base RI'!A303</f>
        <v>5925</v>
      </c>
      <c r="B302" s="220" t="str">
        <f>'A) Base RI'!B303</f>
        <v>Orzens</v>
      </c>
      <c r="C302" s="490">
        <v>0</v>
      </c>
      <c r="D302" s="216">
        <f>'B) D RI'!AA303</f>
        <v>208</v>
      </c>
      <c r="E302" s="217">
        <f>'B) D RI'!S303</f>
        <v>79</v>
      </c>
      <c r="F302" s="10">
        <f>'B) D RI'!R303</f>
        <v>422522.68000000005</v>
      </c>
      <c r="G302" s="10">
        <f>'B) D RI'!U303</f>
        <v>5348.3883544303808</v>
      </c>
      <c r="H302" s="41">
        <f>'B) D RI'!T303</f>
        <v>390661.58000000007</v>
      </c>
      <c r="I302" s="10">
        <f t="shared" si="27"/>
        <v>9890.1665822784835</v>
      </c>
      <c r="J302" s="31">
        <f t="shared" si="28"/>
        <v>18176.011701248161</v>
      </c>
      <c r="K302" s="10">
        <f t="shared" si="29"/>
        <v>9890.1665822784835</v>
      </c>
      <c r="L302" s="10">
        <f t="shared" si="30"/>
        <v>8285.8451189696771</v>
      </c>
      <c r="M302" s="10">
        <f>'D) Ecrêtage'!C301</f>
        <v>5348.3883544303808</v>
      </c>
      <c r="N302" s="10">
        <f t="shared" si="31"/>
        <v>6376.4853915589665</v>
      </c>
      <c r="O302" s="57">
        <f t="shared" si="32"/>
        <v>16266.65197383745</v>
      </c>
    </row>
    <row r="303" spans="1:15" s="215" customFormat="1" x14ac:dyDescent="0.25">
      <c r="A303" s="303">
        <f>'A) Base RI'!A304</f>
        <v>5926</v>
      </c>
      <c r="B303" s="220" t="str">
        <f>'A) Base RI'!B304</f>
        <v>Pomy</v>
      </c>
      <c r="C303" s="490">
        <v>1</v>
      </c>
      <c r="D303" s="216">
        <f>'B) D RI'!AA304</f>
        <v>793</v>
      </c>
      <c r="E303" s="217">
        <f>'B) D RI'!S304</f>
        <v>71</v>
      </c>
      <c r="F303" s="10">
        <f>'B) D RI'!R304</f>
        <v>1957040.8</v>
      </c>
      <c r="G303" s="10">
        <f>'B) D RI'!U304</f>
        <v>27563.954929577467</v>
      </c>
      <c r="H303" s="41">
        <f>'B) D RI'!T304</f>
        <v>1835622.8</v>
      </c>
      <c r="I303" s="10">
        <f t="shared" si="27"/>
        <v>51707.684507042257</v>
      </c>
      <c r="J303" s="31">
        <f t="shared" si="28"/>
        <v>69296.04461100862</v>
      </c>
      <c r="K303" s="10">
        <f t="shared" si="29"/>
        <v>0</v>
      </c>
      <c r="L303" s="10">
        <f t="shared" si="30"/>
        <v>69296.04461100862</v>
      </c>
      <c r="M303" s="10">
        <f>'D) Ecrêtage'!C302</f>
        <v>27563.954929577467</v>
      </c>
      <c r="N303" s="10">
        <f t="shared" si="31"/>
        <v>32862.452068658647</v>
      </c>
      <c r="O303" s="57">
        <f t="shared" si="32"/>
        <v>32862.452068658647</v>
      </c>
    </row>
    <row r="304" spans="1:15" s="215" customFormat="1" x14ac:dyDescent="0.25">
      <c r="A304" s="303">
        <f>'A) Base RI'!A305</f>
        <v>5928</v>
      </c>
      <c r="B304" s="220" t="str">
        <f>'A) Base RI'!B305</f>
        <v>Rovray</v>
      </c>
      <c r="C304" s="490">
        <v>0</v>
      </c>
      <c r="D304" s="216">
        <f>'B) D RI'!AA305</f>
        <v>185</v>
      </c>
      <c r="E304" s="217">
        <f>'B) D RI'!S305</f>
        <v>73</v>
      </c>
      <c r="F304" s="10">
        <f>'B) D RI'!R305</f>
        <v>438147.41</v>
      </c>
      <c r="G304" s="10">
        <f>'B) D RI'!U305</f>
        <v>6002.0193150684927</v>
      </c>
      <c r="H304" s="41">
        <f>'B) D RI'!T305</f>
        <v>415184.41</v>
      </c>
      <c r="I304" s="10">
        <f t="shared" si="27"/>
        <v>11374.915342465752</v>
      </c>
      <c r="J304" s="31">
        <f t="shared" si="28"/>
        <v>16166.164253513991</v>
      </c>
      <c r="K304" s="10">
        <f t="shared" si="29"/>
        <v>11374.915342465752</v>
      </c>
      <c r="L304" s="10">
        <f t="shared" si="30"/>
        <v>4791.2489110482384</v>
      </c>
      <c r="M304" s="10">
        <f>'D) Ecrêtage'!C303</f>
        <v>6002.0193150684927</v>
      </c>
      <c r="N304" s="10">
        <f t="shared" si="31"/>
        <v>7155.7609407114678</v>
      </c>
      <c r="O304" s="57">
        <f t="shared" si="32"/>
        <v>18530.676283177221</v>
      </c>
    </row>
    <row r="305" spans="1:15" s="215" customFormat="1" x14ac:dyDescent="0.25">
      <c r="A305" s="303">
        <f>'A) Base RI'!A306</f>
        <v>5929</v>
      </c>
      <c r="B305" s="220" t="str">
        <f>'A) Base RI'!B306</f>
        <v>Suchy</v>
      </c>
      <c r="C305" s="490">
        <v>1</v>
      </c>
      <c r="D305" s="216">
        <f>'B) D RI'!AA306</f>
        <v>645</v>
      </c>
      <c r="E305" s="217">
        <f>'B) D RI'!S306</f>
        <v>70</v>
      </c>
      <c r="F305" s="10">
        <f>'B) D RI'!R306</f>
        <v>1208092.2150000001</v>
      </c>
      <c r="G305" s="10">
        <f>'B) D RI'!U306</f>
        <v>17258.460214285715</v>
      </c>
      <c r="H305" s="41">
        <f>'B) D RI'!T306</f>
        <v>1100328.3400000001</v>
      </c>
      <c r="I305" s="10">
        <f t="shared" si="27"/>
        <v>31437.952571428574</v>
      </c>
      <c r="J305" s="31">
        <f t="shared" si="28"/>
        <v>56363.113208197421</v>
      </c>
      <c r="K305" s="10">
        <f t="shared" si="29"/>
        <v>0</v>
      </c>
      <c r="L305" s="10">
        <f t="shared" si="30"/>
        <v>56363.113208197421</v>
      </c>
      <c r="M305" s="10">
        <f>'D) Ecrêtage'!C304</f>
        <v>17258.460214285715</v>
      </c>
      <c r="N305" s="10">
        <f t="shared" si="31"/>
        <v>20575.977686069687</v>
      </c>
      <c r="O305" s="57">
        <f t="shared" si="32"/>
        <v>20575.977686069687</v>
      </c>
    </row>
    <row r="306" spans="1:15" s="215" customFormat="1" x14ac:dyDescent="0.25">
      <c r="A306" s="303">
        <f>'A) Base RI'!A307</f>
        <v>5930</v>
      </c>
      <c r="B306" s="220" t="str">
        <f>'A) Base RI'!B307</f>
        <v>Suscévaz</v>
      </c>
      <c r="C306" s="490">
        <v>1</v>
      </c>
      <c r="D306" s="216">
        <f>'B) D RI'!AA307</f>
        <v>215</v>
      </c>
      <c r="E306" s="217">
        <f>'B) D RI'!S307</f>
        <v>72</v>
      </c>
      <c r="F306" s="10">
        <f>'B) D RI'!R307</f>
        <v>421393.4599999999</v>
      </c>
      <c r="G306" s="10">
        <f>'B) D RI'!U307</f>
        <v>5852.6869444444428</v>
      </c>
      <c r="H306" s="41">
        <f>'B) D RI'!T307</f>
        <v>390350.30999999994</v>
      </c>
      <c r="I306" s="10">
        <f t="shared" si="27"/>
        <v>10843.064166666665</v>
      </c>
      <c r="J306" s="31">
        <f t="shared" si="28"/>
        <v>18787.704402732474</v>
      </c>
      <c r="K306" s="10">
        <f t="shared" si="29"/>
        <v>0</v>
      </c>
      <c r="L306" s="10">
        <f t="shared" si="30"/>
        <v>18787.704402732474</v>
      </c>
      <c r="M306" s="10">
        <f>'D) Ecrêtage'!C305</f>
        <v>5852.6869444444428</v>
      </c>
      <c r="N306" s="10">
        <f t="shared" si="31"/>
        <v>6977.7230689884191</v>
      </c>
      <c r="O306" s="57">
        <f t="shared" si="32"/>
        <v>6977.7230689884191</v>
      </c>
    </row>
    <row r="307" spans="1:15" s="215" customFormat="1" x14ac:dyDescent="0.25">
      <c r="A307" s="303">
        <f>'A) Base RI'!A308</f>
        <v>5931</v>
      </c>
      <c r="B307" s="220" t="str">
        <f>'A) Base RI'!B308</f>
        <v>Treycovagnes</v>
      </c>
      <c r="C307" s="490">
        <v>1</v>
      </c>
      <c r="D307" s="216">
        <f>'B) D RI'!AA308</f>
        <v>492</v>
      </c>
      <c r="E307" s="217">
        <f>'B) D RI'!S308</f>
        <v>75</v>
      </c>
      <c r="F307" s="10">
        <f>'B) D RI'!R308</f>
        <v>915158.67999999993</v>
      </c>
      <c r="G307" s="10">
        <f>'B) D RI'!U308</f>
        <v>12202.115733333332</v>
      </c>
      <c r="H307" s="41">
        <f>'B) D RI'!T308</f>
        <v>839192.08</v>
      </c>
      <c r="I307" s="10">
        <f t="shared" si="27"/>
        <v>22378.455466666666</v>
      </c>
      <c r="J307" s="31">
        <f t="shared" si="28"/>
        <v>42993.258447183151</v>
      </c>
      <c r="K307" s="10">
        <f t="shared" si="29"/>
        <v>0</v>
      </c>
      <c r="L307" s="10">
        <f t="shared" si="30"/>
        <v>42993.258447183151</v>
      </c>
      <c r="M307" s="10">
        <f>'D) Ecrêtage'!C306</f>
        <v>12202.115733333332</v>
      </c>
      <c r="N307" s="10">
        <f t="shared" si="31"/>
        <v>14547.674470059768</v>
      </c>
      <c r="O307" s="57">
        <f t="shared" si="32"/>
        <v>14547.674470059768</v>
      </c>
    </row>
    <row r="308" spans="1:15" s="215" customFormat="1" x14ac:dyDescent="0.25">
      <c r="A308" s="303">
        <f>'A) Base RI'!A309</f>
        <v>5932</v>
      </c>
      <c r="B308" s="220" t="str">
        <f>'A) Base RI'!B309</f>
        <v>Ursins</v>
      </c>
      <c r="C308" s="490">
        <v>0</v>
      </c>
      <c r="D308" s="216">
        <f>'B) D RI'!AA309</f>
        <v>225</v>
      </c>
      <c r="E308" s="217">
        <f>'B) D RI'!S309</f>
        <v>77</v>
      </c>
      <c r="F308" s="10">
        <f>'B) D RI'!R309</f>
        <v>637434.94000000006</v>
      </c>
      <c r="G308" s="10">
        <f>'B) D RI'!U309</f>
        <v>8278.3758441558457</v>
      </c>
      <c r="H308" s="41">
        <f>'B) D RI'!T309</f>
        <v>604862.44000000006</v>
      </c>
      <c r="I308" s="10">
        <f t="shared" si="27"/>
        <v>15710.712727272728</v>
      </c>
      <c r="J308" s="31">
        <f t="shared" si="28"/>
        <v>19661.551119138636</v>
      </c>
      <c r="K308" s="10">
        <f t="shared" si="29"/>
        <v>15710.712727272728</v>
      </c>
      <c r="L308" s="10">
        <f t="shared" si="30"/>
        <v>3950.8383918659074</v>
      </c>
      <c r="M308" s="10">
        <f>'D) Ecrêtage'!C307</f>
        <v>8278.3758441558457</v>
      </c>
      <c r="N308" s="10">
        <f t="shared" si="31"/>
        <v>9869.6914169233605</v>
      </c>
      <c r="O308" s="57">
        <f t="shared" si="32"/>
        <v>25580.404144196087</v>
      </c>
    </row>
    <row r="309" spans="1:15" s="215" customFormat="1" x14ac:dyDescent="0.25">
      <c r="A309" s="303">
        <f>'A) Base RI'!A310</f>
        <v>5933</v>
      </c>
      <c r="B309" s="220" t="str">
        <f>'A) Base RI'!B310</f>
        <v>Valeyres-sous-Montagny</v>
      </c>
      <c r="C309" s="490">
        <v>0</v>
      </c>
      <c r="D309" s="216">
        <f>'B) D RI'!AA310</f>
        <v>709</v>
      </c>
      <c r="E309" s="217">
        <f>'B) D RI'!S310</f>
        <v>72</v>
      </c>
      <c r="F309" s="10">
        <f>'B) D RI'!R310</f>
        <v>1593766.2200000002</v>
      </c>
      <c r="G309" s="10">
        <f>'B) D RI'!U310</f>
        <v>22135.641944444447</v>
      </c>
      <c r="H309" s="41">
        <f>'B) D RI'!T310</f>
        <v>1472458.2200000002</v>
      </c>
      <c r="I309" s="10">
        <f t="shared" si="27"/>
        <v>40901.61722222223</v>
      </c>
      <c r="J309" s="31">
        <f t="shared" si="28"/>
        <v>61955.732193196862</v>
      </c>
      <c r="K309" s="10">
        <f t="shared" si="29"/>
        <v>40901.61722222223</v>
      </c>
      <c r="L309" s="10">
        <f t="shared" si="30"/>
        <v>21054.114970974631</v>
      </c>
      <c r="M309" s="10">
        <f>'D) Ecrêtage'!C308</f>
        <v>22135.641944444447</v>
      </c>
      <c r="N309" s="10">
        <f t="shared" si="31"/>
        <v>26390.678488148526</v>
      </c>
      <c r="O309" s="57">
        <f t="shared" si="32"/>
        <v>67292.295710370759</v>
      </c>
    </row>
    <row r="310" spans="1:15" s="215" customFormat="1" x14ac:dyDescent="0.25">
      <c r="A310" s="303">
        <f>'A) Base RI'!A311</f>
        <v>5934</v>
      </c>
      <c r="B310" s="220" t="str">
        <f>'A) Base RI'!B311</f>
        <v>Valeyres-sous-Ursins</v>
      </c>
      <c r="C310" s="490">
        <v>0</v>
      </c>
      <c r="D310" s="216">
        <f>'B) D RI'!AA311</f>
        <v>227</v>
      </c>
      <c r="E310" s="217">
        <f>'B) D RI'!S311</f>
        <v>79</v>
      </c>
      <c r="F310" s="10">
        <f>'B) D RI'!R311</f>
        <v>597481.1100000001</v>
      </c>
      <c r="G310" s="10">
        <f>'B) D RI'!U311</f>
        <v>7563.0520253164568</v>
      </c>
      <c r="H310" s="41">
        <f>'B) D RI'!T311</f>
        <v>568135.8600000001</v>
      </c>
      <c r="I310" s="10">
        <f t="shared" si="27"/>
        <v>14383.186329113927</v>
      </c>
      <c r="J310" s="31">
        <f t="shared" si="28"/>
        <v>19836.32046241987</v>
      </c>
      <c r="K310" s="10">
        <f t="shared" si="29"/>
        <v>14383.186329113927</v>
      </c>
      <c r="L310" s="10">
        <f t="shared" si="30"/>
        <v>5453.1341333059427</v>
      </c>
      <c r="M310" s="10">
        <f>'D) Ecrêtage'!C309</f>
        <v>7563.0520253164568</v>
      </c>
      <c r="N310" s="10">
        <f t="shared" si="31"/>
        <v>9016.8640643087747</v>
      </c>
      <c r="O310" s="57">
        <f t="shared" si="32"/>
        <v>23400.050393422702</v>
      </c>
    </row>
    <row r="311" spans="1:15" s="215" customFormat="1" x14ac:dyDescent="0.25">
      <c r="A311" s="303">
        <f>'A) Base RI'!A312</f>
        <v>5935</v>
      </c>
      <c r="B311" s="220" t="str">
        <f>'A) Base RI'!B312</f>
        <v>Villars-Epeney</v>
      </c>
      <c r="C311" s="490">
        <v>0</v>
      </c>
      <c r="D311" s="216">
        <f>'B) D RI'!AA312</f>
        <v>102</v>
      </c>
      <c r="E311" s="217">
        <f>'B) D RI'!S312</f>
        <v>60</v>
      </c>
      <c r="F311" s="10">
        <f>'B) D RI'!R312</f>
        <v>291534.61</v>
      </c>
      <c r="G311" s="10">
        <f>'B) D RI'!U312</f>
        <v>4858.9101666666666</v>
      </c>
      <c r="H311" s="41">
        <f>'B) D RI'!T312</f>
        <v>272816.65999999997</v>
      </c>
      <c r="I311" s="10">
        <f t="shared" si="27"/>
        <v>9093.8886666666658</v>
      </c>
      <c r="J311" s="31">
        <f t="shared" si="28"/>
        <v>8913.2365073428482</v>
      </c>
      <c r="K311" s="10">
        <f t="shared" si="29"/>
        <v>8913.2365073428482</v>
      </c>
      <c r="L311" s="10">
        <f t="shared" si="30"/>
        <v>0</v>
      </c>
      <c r="M311" s="10">
        <f>'D) Ecrêtage'!C310</f>
        <v>4858.9101666666666</v>
      </c>
      <c r="N311" s="10">
        <f t="shared" si="31"/>
        <v>5792.9169767529156</v>
      </c>
      <c r="O311" s="57">
        <f t="shared" si="32"/>
        <v>14706.153484095765</v>
      </c>
    </row>
    <row r="312" spans="1:15" s="215" customFormat="1" x14ac:dyDescent="0.25">
      <c r="A312" s="303">
        <f>'A) Base RI'!A313</f>
        <v>5937</v>
      </c>
      <c r="B312" s="220" t="str">
        <f>'A) Base RI'!B313</f>
        <v>Vugelles-La Mothe</v>
      </c>
      <c r="C312" s="490">
        <v>0</v>
      </c>
      <c r="D312" s="216">
        <f>'B) D RI'!AA313</f>
        <v>135</v>
      </c>
      <c r="E312" s="217">
        <f>'B) D RI'!S313</f>
        <v>70</v>
      </c>
      <c r="F312" s="10">
        <f>'B) D RI'!R313</f>
        <v>208907.17428571431</v>
      </c>
      <c r="G312" s="10">
        <f>'B) D RI'!U313</f>
        <v>2984.3882040816329</v>
      </c>
      <c r="H312" s="41">
        <f>'B) D RI'!T313</f>
        <v>192592.96000000002</v>
      </c>
      <c r="I312" s="10">
        <f t="shared" si="27"/>
        <v>5502.6560000000009</v>
      </c>
      <c r="J312" s="31">
        <f t="shared" si="28"/>
        <v>11796.930671483182</v>
      </c>
      <c r="K312" s="10">
        <f t="shared" si="29"/>
        <v>5502.6560000000009</v>
      </c>
      <c r="L312" s="10">
        <f t="shared" si="30"/>
        <v>6294.274671483181</v>
      </c>
      <c r="M312" s="10">
        <f>'D) Ecrêtage'!C311</f>
        <v>2984.3882040816329</v>
      </c>
      <c r="N312" s="10">
        <f t="shared" si="31"/>
        <v>3558.0639484236135</v>
      </c>
      <c r="O312" s="57">
        <f t="shared" si="32"/>
        <v>9060.7199484236153</v>
      </c>
    </row>
    <row r="313" spans="1:15" s="215" customFormat="1" x14ac:dyDescent="0.25">
      <c r="A313" s="303">
        <f>'A) Base RI'!A314</f>
        <v>5938</v>
      </c>
      <c r="B313" s="220" t="str">
        <f>'A) Base RI'!B314</f>
        <v>Yverdon-les-Bains</v>
      </c>
      <c r="C313" s="490">
        <v>1</v>
      </c>
      <c r="D313" s="216">
        <f>'B) D RI'!AA314</f>
        <v>30189</v>
      </c>
      <c r="E313" s="217">
        <f>'B) D RI'!S314</f>
        <v>76.5</v>
      </c>
      <c r="F313" s="10">
        <f>'B) D RI'!R314</f>
        <v>60314306.979999989</v>
      </c>
      <c r="G313" s="10">
        <f>'B) D RI'!U314</f>
        <v>788422.31346405216</v>
      </c>
      <c r="H313" s="41">
        <f>'B) D RI'!T314</f>
        <v>55418863.529999986</v>
      </c>
      <c r="I313" s="10">
        <f t="shared" si="27"/>
        <v>1448859.1772549015</v>
      </c>
      <c r="J313" s="31">
        <f t="shared" si="28"/>
        <v>2638055.8521585613</v>
      </c>
      <c r="K313" s="10">
        <f t="shared" si="29"/>
        <v>0</v>
      </c>
      <c r="L313" s="10">
        <f t="shared" si="30"/>
        <v>2638055.8521585613</v>
      </c>
      <c r="M313" s="10">
        <f>'D) Ecrêtage'!C312</f>
        <v>788422.31346405216</v>
      </c>
      <c r="N313" s="10">
        <f t="shared" si="31"/>
        <v>939977.24754190596</v>
      </c>
      <c r="O313" s="57">
        <f t="shared" si="32"/>
        <v>939977.24754190596</v>
      </c>
    </row>
    <row r="314" spans="1:15" s="215" customFormat="1" x14ac:dyDescent="0.25">
      <c r="A314" s="304">
        <f>'A) Base RI'!A315</f>
        <v>5939</v>
      </c>
      <c r="B314" s="220" t="str">
        <f>'A) Base RI'!B315</f>
        <v>Yvonand</v>
      </c>
      <c r="C314" s="490">
        <v>0</v>
      </c>
      <c r="D314" s="216">
        <f>'B) D RI'!AA315</f>
        <v>3434</v>
      </c>
      <c r="E314" s="217">
        <f>'B) D RI'!S315</f>
        <v>73</v>
      </c>
      <c r="F314" s="10">
        <f>'B) D RI'!R315</f>
        <v>6943961.7899999991</v>
      </c>
      <c r="G314" s="10">
        <f>'B) D RI'!U315</f>
        <v>95122.764246575331</v>
      </c>
      <c r="H314" s="41">
        <f>'B) D RI'!T315</f>
        <v>6342840.1899999995</v>
      </c>
      <c r="I314" s="18">
        <f t="shared" si="27"/>
        <v>173776.44356164383</v>
      </c>
      <c r="J314" s="110">
        <f t="shared" si="28"/>
        <v>300078.96241387591</v>
      </c>
      <c r="K314" s="10">
        <f t="shared" si="29"/>
        <v>173776.44356164383</v>
      </c>
      <c r="L314" s="18">
        <f t="shared" si="30"/>
        <v>126302.51885223208</v>
      </c>
      <c r="M314" s="18">
        <f>'D) Ecrêtage'!C313</f>
        <v>95122.764246575331</v>
      </c>
      <c r="N314" s="18">
        <f t="shared" si="31"/>
        <v>113407.79248398361</v>
      </c>
      <c r="O314" s="104">
        <f t="shared" si="32"/>
        <v>287184.23604562745</v>
      </c>
    </row>
    <row r="315" spans="1:15" s="215" customFormat="1" x14ac:dyDescent="0.25">
      <c r="A315" s="30"/>
      <c r="B315" s="123">
        <f>COUNTA(B6:B314)</f>
        <v>309</v>
      </c>
      <c r="C315" s="488">
        <f>SUM(C6:C314)</f>
        <v>52</v>
      </c>
      <c r="D315" s="222">
        <f>SUM(D6:D314)</f>
        <v>806088</v>
      </c>
      <c r="E315" s="222"/>
      <c r="F315" s="222">
        <f t="shared" ref="F315:M315" si="33">SUM(F6:F314)</f>
        <v>2590383224.5332093</v>
      </c>
      <c r="G315" s="222">
        <f t="shared" si="33"/>
        <v>37986675.400474928</v>
      </c>
      <c r="H315" s="222">
        <f t="shared" si="33"/>
        <v>2400839426.2100005</v>
      </c>
      <c r="I315" s="235">
        <f>SUM(I6:I314)</f>
        <v>70439735.193441004</v>
      </c>
      <c r="J315" s="222">
        <f t="shared" si="33"/>
        <v>70439735.193441004</v>
      </c>
      <c r="K315" s="362">
        <f t="shared" si="33"/>
        <v>22634150.707211271</v>
      </c>
      <c r="L315" s="224">
        <f t="shared" si="33"/>
        <v>47805584.486229695</v>
      </c>
      <c r="M315" s="222">
        <f t="shared" si="33"/>
        <v>37986675.400474928</v>
      </c>
      <c r="N315" s="230">
        <f>Paramètres!B67-K315</f>
        <v>45288685.995356828</v>
      </c>
      <c r="O315" s="225">
        <f>SUM(O6:O314)</f>
        <v>67922836.702568084</v>
      </c>
    </row>
    <row r="316" spans="1:15" s="215" customFormat="1" x14ac:dyDescent="0.25">
      <c r="A316" s="214"/>
      <c r="B316" s="214"/>
      <c r="C316" s="489"/>
      <c r="D316" s="464"/>
      <c r="E316" s="464"/>
      <c r="F316" s="464"/>
      <c r="G316" s="464"/>
      <c r="H316" s="464"/>
      <c r="I316" s="464"/>
      <c r="J316" s="464"/>
      <c r="K316" s="464"/>
      <c r="L316" s="464"/>
      <c r="M316" s="464"/>
      <c r="N316" s="464"/>
      <c r="O316" s="464"/>
    </row>
    <row r="317" spans="1:15" x14ac:dyDescent="0.25">
      <c r="I317" s="233"/>
      <c r="J317" s="233"/>
      <c r="K317" s="233"/>
      <c r="L317" s="233"/>
      <c r="M317" s="233"/>
      <c r="N317" s="233"/>
      <c r="O317" s="233"/>
    </row>
  </sheetData>
  <protectedRanges>
    <protectedRange sqref="C6:C314"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00B0F0"/>
  </sheetPr>
  <dimension ref="A1:Q317"/>
  <sheetViews>
    <sheetView workbookViewId="0">
      <selection sqref="A1:E1"/>
    </sheetView>
  </sheetViews>
  <sheetFormatPr baseColWidth="10" defaultColWidth="10.75" defaultRowHeight="15" x14ac:dyDescent="0.25"/>
  <cols>
    <col min="1" max="1" width="7.5" style="13" customWidth="1"/>
    <col min="2" max="2" width="20.25" style="13" bestFit="1" customWidth="1"/>
    <col min="3" max="3" width="6.125" style="15" bestFit="1" customWidth="1"/>
    <col min="4" max="4" width="6.5" style="156" bestFit="1" customWidth="1"/>
    <col min="5" max="5" width="8.625" style="156" bestFit="1" customWidth="1"/>
    <col min="6" max="6" width="9.5" style="13" bestFit="1" customWidth="1"/>
    <col min="7" max="7" width="10.625" style="13" customWidth="1"/>
    <col min="8" max="8" width="10.75" style="13" customWidth="1"/>
    <col min="9" max="10" width="9.375" style="13" bestFit="1" customWidth="1"/>
    <col min="11" max="11" width="9.625" style="13" bestFit="1" customWidth="1"/>
    <col min="12" max="12" width="11.25" style="13" bestFit="1" customWidth="1"/>
    <col min="13" max="13" width="8.625" style="13" bestFit="1" customWidth="1"/>
    <col min="14" max="14" width="9.5" style="13" bestFit="1" customWidth="1"/>
    <col min="15" max="15" width="10.75" style="13" customWidth="1"/>
    <col min="16" max="16" width="10.75" style="13"/>
    <col min="17" max="17" width="15.125" style="13" bestFit="1" customWidth="1"/>
    <col min="18" max="16384" width="10.75" style="13"/>
  </cols>
  <sheetData>
    <row r="1" spans="1:17" s="43" customFormat="1" ht="20.25" customHeight="1" x14ac:dyDescent="0.2">
      <c r="A1" s="601" t="s">
        <v>471</v>
      </c>
      <c r="B1" s="602"/>
      <c r="C1" s="602"/>
      <c r="D1" s="602"/>
      <c r="E1" s="602"/>
      <c r="F1" s="71"/>
      <c r="G1" s="71"/>
      <c r="H1" s="71"/>
      <c r="I1" s="71"/>
      <c r="J1" s="71"/>
      <c r="K1" s="71"/>
      <c r="L1" s="71"/>
      <c r="M1" s="71"/>
      <c r="N1" s="71"/>
    </row>
    <row r="2" spans="1:17" s="43" customFormat="1" ht="20.25" customHeight="1" x14ac:dyDescent="0.2">
      <c r="A2" s="272" t="str">
        <f>Paramètres!B5</f>
        <v>Décompte 2019</v>
      </c>
      <c r="C2" s="139"/>
      <c r="D2" s="273"/>
      <c r="E2" s="273"/>
      <c r="F2" s="71"/>
      <c r="G2" s="71"/>
      <c r="H2" s="71"/>
      <c r="I2" s="71"/>
      <c r="J2" s="71"/>
      <c r="K2" s="71"/>
      <c r="L2" s="71"/>
      <c r="M2" s="71"/>
      <c r="N2" s="71"/>
    </row>
    <row r="3" spans="1:17" x14ac:dyDescent="0.25">
      <c r="D3" s="13"/>
      <c r="E3" s="13"/>
    </row>
    <row r="4" spans="1:17" ht="53.25" customHeight="1" x14ac:dyDescent="0.25">
      <c r="A4" s="559" t="s">
        <v>46</v>
      </c>
      <c r="B4" s="559" t="s">
        <v>96</v>
      </c>
      <c r="C4" s="581" t="s">
        <v>361</v>
      </c>
      <c r="D4" s="597" t="s">
        <v>362</v>
      </c>
      <c r="E4" s="597" t="s">
        <v>550</v>
      </c>
      <c r="F4" s="597" t="s">
        <v>93</v>
      </c>
      <c r="G4" s="597" t="s">
        <v>145</v>
      </c>
      <c r="H4" s="597" t="s">
        <v>139</v>
      </c>
      <c r="I4" s="597" t="s">
        <v>412</v>
      </c>
      <c r="J4" s="597" t="s">
        <v>211</v>
      </c>
      <c r="K4" s="597" t="s">
        <v>126</v>
      </c>
      <c r="L4" s="597" t="s">
        <v>212</v>
      </c>
      <c r="M4" s="597" t="s">
        <v>490</v>
      </c>
      <c r="N4" s="599" t="s">
        <v>138</v>
      </c>
      <c r="O4" s="595" t="s">
        <v>608</v>
      </c>
    </row>
    <row r="5" spans="1:17" ht="14.25" customHeight="1" x14ac:dyDescent="0.25">
      <c r="A5" s="561"/>
      <c r="B5" s="561"/>
      <c r="C5" s="587"/>
      <c r="D5" s="603"/>
      <c r="E5" s="598"/>
      <c r="F5" s="603"/>
      <c r="G5" s="598"/>
      <c r="H5" s="598"/>
      <c r="I5" s="598"/>
      <c r="J5" s="603"/>
      <c r="K5" s="598"/>
      <c r="L5" s="598"/>
      <c r="M5" s="598"/>
      <c r="N5" s="600"/>
      <c r="O5" s="596"/>
    </row>
    <row r="6" spans="1:17" s="160" customFormat="1" x14ac:dyDescent="0.25">
      <c r="A6" s="305">
        <f>'B) D RI'!A7</f>
        <v>5401</v>
      </c>
      <c r="B6" s="158" t="str">
        <f>'B) D RI'!B7</f>
        <v>Aigle</v>
      </c>
      <c r="C6" s="310">
        <f>'B) D RI'!S7</f>
        <v>67.5</v>
      </c>
      <c r="D6" s="311">
        <f>'B) D RI'!AA7</f>
        <v>10217</v>
      </c>
      <c r="E6" s="308">
        <f>'D) Ecrêtage'!C5</f>
        <v>277789.63254320994</v>
      </c>
      <c r="F6" s="163">
        <f>'E) Fact soc'!G11</f>
        <v>5210182.734449177</v>
      </c>
      <c r="G6" s="309">
        <f>'H) Péréquation directe'!I16</f>
        <v>-3402725.6145400498</v>
      </c>
      <c r="H6" s="163">
        <f>+'I) Dépenses thématiques'!O5</f>
        <v>-2980978.384066138</v>
      </c>
      <c r="I6" s="309">
        <f>'K) Plafonnement aide'!J5</f>
        <v>0</v>
      </c>
      <c r="J6" s="163">
        <f>'J) Plafonnement effort'!I5</f>
        <v>0</v>
      </c>
      <c r="K6" s="309">
        <f>'L) Plafonnement taux'!Q6</f>
        <v>0</v>
      </c>
      <c r="L6" s="306">
        <f>F6+G6+H6+I6+J6+K6</f>
        <v>-1173521.2641570107</v>
      </c>
      <c r="M6" s="227">
        <f>'M) Police'!O6</f>
        <v>331187.90492672863</v>
      </c>
      <c r="N6" s="226">
        <f>L6+M6</f>
        <v>-842333.35923028202</v>
      </c>
      <c r="O6" s="399">
        <f>SUM(G6:K6)</f>
        <v>-6383703.9986061882</v>
      </c>
      <c r="P6" s="314"/>
      <c r="Q6" s="493"/>
    </row>
    <row r="7" spans="1:17" s="160" customFormat="1" x14ac:dyDescent="0.25">
      <c r="A7" s="157">
        <f>'B) D RI'!A8</f>
        <v>5402</v>
      </c>
      <c r="B7" s="158" t="str">
        <f>'B) D RI'!B8</f>
        <v>Bex</v>
      </c>
      <c r="C7" s="310">
        <f>'B) D RI'!S8</f>
        <v>71</v>
      </c>
      <c r="D7" s="159">
        <f>'B) D RI'!AA8</f>
        <v>7869</v>
      </c>
      <c r="E7" s="308">
        <f>'D) Ecrêtage'!C6</f>
        <v>185729.53788732394</v>
      </c>
      <c r="F7" s="312">
        <f>'E) Fact soc'!G12</f>
        <v>3363248.323230288</v>
      </c>
      <c r="G7" s="309">
        <f>'H) Péréquation directe'!I17</f>
        <v>-3542791.298948817</v>
      </c>
      <c r="H7" s="312">
        <f>+'I) Dépenses thématiques'!O6</f>
        <v>-1938370.0772425835</v>
      </c>
      <c r="I7" s="309">
        <f>'K) Plafonnement aide'!J6</f>
        <v>0</v>
      </c>
      <c r="J7" s="312">
        <f>'J) Plafonnement effort'!I6</f>
        <v>0</v>
      </c>
      <c r="K7" s="309">
        <f>'L) Plafonnement taux'!Q7</f>
        <v>0</v>
      </c>
      <c r="L7" s="307">
        <f t="shared" ref="L7:L61" si="0">F7+G7+H7+I7+J7+K7</f>
        <v>-2117913.0529611125</v>
      </c>
      <c r="M7" s="227">
        <f>'M) Police'!O7</f>
        <v>221431.50546248065</v>
      </c>
      <c r="N7" s="227">
        <f t="shared" ref="N7:N70" si="1">L7+M7</f>
        <v>-1896481.5474986318</v>
      </c>
      <c r="O7" s="399">
        <f t="shared" ref="O7:O70" si="2">SUM(G7:K7)</f>
        <v>-5481161.3761914</v>
      </c>
      <c r="P7" s="314"/>
      <c r="Q7" s="493"/>
    </row>
    <row r="8" spans="1:17" s="160" customFormat="1" x14ac:dyDescent="0.25">
      <c r="A8" s="157">
        <f>'B) D RI'!A9</f>
        <v>5403</v>
      </c>
      <c r="B8" s="158" t="str">
        <f>'B) D RI'!B9</f>
        <v>Chessel</v>
      </c>
      <c r="C8" s="310">
        <f>'B) D RI'!S9</f>
        <v>74</v>
      </c>
      <c r="D8" s="159">
        <f>'B) D RI'!AA9</f>
        <v>429</v>
      </c>
      <c r="E8" s="308">
        <f>'D) Ecrêtage'!C7</f>
        <v>10653.993243243245</v>
      </c>
      <c r="F8" s="312">
        <f>'E) Fact soc'!G13</f>
        <v>206354.19600788265</v>
      </c>
      <c r="G8" s="309">
        <f>'H) Péréquation directe'!I18</f>
        <v>-48075.693635283824</v>
      </c>
      <c r="H8" s="312">
        <f>+'I) Dépenses thématiques'!O7</f>
        <v>-48694.75422131391</v>
      </c>
      <c r="I8" s="309">
        <f>'K) Plafonnement aide'!J7</f>
        <v>0</v>
      </c>
      <c r="J8" s="312">
        <f>'J) Plafonnement effort'!I7</f>
        <v>0</v>
      </c>
      <c r="K8" s="309">
        <f>'L) Plafonnement taux'!Q8</f>
        <v>0</v>
      </c>
      <c r="L8" s="307">
        <f t="shared" si="0"/>
        <v>109583.74815128492</v>
      </c>
      <c r="M8" s="227">
        <f>'M) Police'!O8</f>
        <v>32082.884862760227</v>
      </c>
      <c r="N8" s="227">
        <f t="shared" si="1"/>
        <v>141666.63301404513</v>
      </c>
      <c r="O8" s="399">
        <f t="shared" si="2"/>
        <v>-96770.447856597733</v>
      </c>
      <c r="P8" s="314"/>
      <c r="Q8" s="493"/>
    </row>
    <row r="9" spans="1:17" s="160" customFormat="1" x14ac:dyDescent="0.25">
      <c r="A9" s="157">
        <f>'B) D RI'!A10</f>
        <v>5404</v>
      </c>
      <c r="B9" s="158" t="str">
        <f>'B) D RI'!B10</f>
        <v>Corbeyrier</v>
      </c>
      <c r="C9" s="310">
        <f>'B) D RI'!S10</f>
        <v>74</v>
      </c>
      <c r="D9" s="159">
        <f>'B) D RI'!AA10</f>
        <v>437</v>
      </c>
      <c r="E9" s="308">
        <f>'D) Ecrêtage'!C8</f>
        <v>14595.552612612611</v>
      </c>
      <c r="F9" s="312">
        <f>'E) Fact soc'!G14</f>
        <v>309847.84535203007</v>
      </c>
      <c r="G9" s="309">
        <f>'H) Péréquation directe'!I19</f>
        <v>107062.79349909286</v>
      </c>
      <c r="H9" s="312">
        <f>+'I) Dépenses thématiques'!O8</f>
        <v>-140399.93651511351</v>
      </c>
      <c r="I9" s="309">
        <f>'K) Plafonnement aide'!J8</f>
        <v>0</v>
      </c>
      <c r="J9" s="312">
        <f>'J) Plafonnement effort'!I8</f>
        <v>0</v>
      </c>
      <c r="K9" s="309">
        <f>'L) Plafonnement taux'!Q9</f>
        <v>0</v>
      </c>
      <c r="L9" s="307">
        <f t="shared" si="0"/>
        <v>276510.70233600942</v>
      </c>
      <c r="M9" s="227">
        <f>'M) Police'!O9</f>
        <v>44326.723837030244</v>
      </c>
      <c r="N9" s="227">
        <f t="shared" si="1"/>
        <v>320837.42617303965</v>
      </c>
      <c r="O9" s="399">
        <f t="shared" si="2"/>
        <v>-33337.143016020651</v>
      </c>
      <c r="P9" s="314"/>
      <c r="Q9" s="493"/>
    </row>
    <row r="10" spans="1:17" s="160" customFormat="1" x14ac:dyDescent="0.25">
      <c r="A10" s="157">
        <f>'B) D RI'!A11</f>
        <v>5405</v>
      </c>
      <c r="B10" s="158" t="str">
        <f>'B) D RI'!B11</f>
        <v>Gryon</v>
      </c>
      <c r="C10" s="310">
        <f>'B) D RI'!S11</f>
        <v>75</v>
      </c>
      <c r="D10" s="159">
        <f>'B) D RI'!AA11</f>
        <v>1347</v>
      </c>
      <c r="E10" s="308">
        <f>'D) Ecrêtage'!C9</f>
        <v>65705.555822222203</v>
      </c>
      <c r="F10" s="312">
        <f>'E) Fact soc'!G15</f>
        <v>1312105.8004444193</v>
      </c>
      <c r="G10" s="309">
        <f>'H) Péréquation directe'!I20</f>
        <v>1066861.0578884447</v>
      </c>
      <c r="H10" s="312">
        <f>+'I) Dépenses thématiques'!O9</f>
        <v>-1048812.6748973592</v>
      </c>
      <c r="I10" s="309">
        <f>'K) Plafonnement aide'!J9</f>
        <v>0</v>
      </c>
      <c r="J10" s="312">
        <f>'J) Plafonnement effort'!I9</f>
        <v>0</v>
      </c>
      <c r="K10" s="309">
        <f>'L) Plafonnement taux'!Q10</f>
        <v>0</v>
      </c>
      <c r="L10" s="307">
        <f t="shared" si="0"/>
        <v>1330154.1834355048</v>
      </c>
      <c r="M10" s="227">
        <f>'M) Police'!O10</f>
        <v>195582.36206496696</v>
      </c>
      <c r="N10" s="227">
        <f t="shared" si="1"/>
        <v>1525736.5455004717</v>
      </c>
      <c r="O10" s="399">
        <f t="shared" si="2"/>
        <v>18048.382991085527</v>
      </c>
      <c r="P10" s="314"/>
      <c r="Q10" s="493"/>
    </row>
    <row r="11" spans="1:17" s="160" customFormat="1" x14ac:dyDescent="0.25">
      <c r="A11" s="157">
        <f>'B) D RI'!A12</f>
        <v>5406</v>
      </c>
      <c r="B11" s="158" t="str">
        <f>'B) D RI'!B12</f>
        <v>Lavey-Morcles</v>
      </c>
      <c r="C11" s="310">
        <f>'B) D RI'!S12</f>
        <v>71</v>
      </c>
      <c r="D11" s="159">
        <f>'B) D RI'!AA12</f>
        <v>931</v>
      </c>
      <c r="E11" s="308">
        <f>'D) Ecrêtage'!C10</f>
        <v>24857.219750812561</v>
      </c>
      <c r="F11" s="312">
        <f>'E) Fact soc'!G16</f>
        <v>386576.126299511</v>
      </c>
      <c r="G11" s="309">
        <f>'H) Péréquation directe'!I21</f>
        <v>804.16877104144078</v>
      </c>
      <c r="H11" s="312">
        <f>+'I) Dépenses thématiques'!O10</f>
        <v>-116706.83922416078</v>
      </c>
      <c r="I11" s="309">
        <f>'K) Plafonnement aide'!J10</f>
        <v>0</v>
      </c>
      <c r="J11" s="312">
        <f>'J) Plafonnement effort'!I10</f>
        <v>0</v>
      </c>
      <c r="K11" s="309">
        <f>'L) Plafonnement taux'!Q11</f>
        <v>0</v>
      </c>
      <c r="L11" s="307">
        <f t="shared" si="0"/>
        <v>270673.45584639168</v>
      </c>
      <c r="M11" s="227">
        <f>'M) Police'!O11</f>
        <v>74863.848651490087</v>
      </c>
      <c r="N11" s="227">
        <f t="shared" si="1"/>
        <v>345537.30449788179</v>
      </c>
      <c r="O11" s="399">
        <f t="shared" si="2"/>
        <v>-115902.67045311934</v>
      </c>
      <c r="P11" s="314"/>
      <c r="Q11" s="493"/>
    </row>
    <row r="12" spans="1:17" s="160" customFormat="1" x14ac:dyDescent="0.25">
      <c r="A12" s="157">
        <f>'B) D RI'!A13</f>
        <v>5407</v>
      </c>
      <c r="B12" s="158" t="str">
        <f>'B) D RI'!B13</f>
        <v>Leysin</v>
      </c>
      <c r="C12" s="310">
        <f>'B) D RI'!S13</f>
        <v>78</v>
      </c>
      <c r="D12" s="159">
        <f>'B) D RI'!AA13</f>
        <v>3776</v>
      </c>
      <c r="E12" s="308">
        <f>'D) Ecrêtage'!C11</f>
        <v>90593.766196581171</v>
      </c>
      <c r="F12" s="312">
        <f>'E) Fact soc'!G17</f>
        <v>1730472.4034701895</v>
      </c>
      <c r="G12" s="309">
        <f>'H) Péréquation directe'!I22</f>
        <v>-1510782.0045539604</v>
      </c>
      <c r="H12" s="312">
        <f>+'I) Dépenses thématiques'!O11</f>
        <v>-2159045.7562066987</v>
      </c>
      <c r="I12" s="309">
        <f>'K) Plafonnement aide'!J11</f>
        <v>0</v>
      </c>
      <c r="J12" s="312">
        <f>'J) Plafonnement effort'!I11</f>
        <v>0</v>
      </c>
      <c r="K12" s="309">
        <f>'L) Plafonnement taux'!Q12</f>
        <v>0</v>
      </c>
      <c r="L12" s="307">
        <f t="shared" si="0"/>
        <v>-1939355.3572904696</v>
      </c>
      <c r="M12" s="227">
        <f>'M) Police'!O12</f>
        <v>267041.59568369051</v>
      </c>
      <c r="N12" s="227">
        <f t="shared" si="1"/>
        <v>-1672313.7616067789</v>
      </c>
      <c r="O12" s="399">
        <f t="shared" si="2"/>
        <v>-3669827.7607606594</v>
      </c>
      <c r="P12" s="314"/>
      <c r="Q12" s="493"/>
    </row>
    <row r="13" spans="1:17" s="160" customFormat="1" x14ac:dyDescent="0.25">
      <c r="A13" s="157">
        <f>'B) D RI'!A14</f>
        <v>5408</v>
      </c>
      <c r="B13" s="158" t="str">
        <f>'B) D RI'!B14</f>
        <v>Noville</v>
      </c>
      <c r="C13" s="310">
        <f>'B) D RI'!S14</f>
        <v>78.5</v>
      </c>
      <c r="D13" s="159">
        <f>'B) D RI'!AA14</f>
        <v>1167</v>
      </c>
      <c r="E13" s="308">
        <f>'D) Ecrêtage'!C12</f>
        <v>28671.623864118894</v>
      </c>
      <c r="F13" s="312">
        <f>'E) Fact soc'!G18</f>
        <v>773752.70598031348</v>
      </c>
      <c r="G13" s="309">
        <f>'H) Péréquation directe'!I23</f>
        <v>-252999.15894871007</v>
      </c>
      <c r="H13" s="312">
        <f>+'I) Dépenses thématiques'!O12</f>
        <v>-278987.68781439052</v>
      </c>
      <c r="I13" s="309">
        <f>'K) Plafonnement aide'!J12</f>
        <v>0</v>
      </c>
      <c r="J13" s="312">
        <f>'J) Plafonnement effort'!I12</f>
        <v>0</v>
      </c>
      <c r="K13" s="309">
        <f>'L) Plafonnement taux'!Q13</f>
        <v>0</v>
      </c>
      <c r="L13" s="307">
        <f t="shared" si="0"/>
        <v>241765.85921721288</v>
      </c>
      <c r="M13" s="227">
        <f>'M) Police'!O13</f>
        <v>84051.527124856657</v>
      </c>
      <c r="N13" s="227">
        <f t="shared" si="1"/>
        <v>325817.38634206954</v>
      </c>
      <c r="O13" s="399">
        <f t="shared" si="2"/>
        <v>-531986.84676310059</v>
      </c>
      <c r="P13" s="314"/>
      <c r="Q13" s="493"/>
    </row>
    <row r="14" spans="1:17" s="160" customFormat="1" x14ac:dyDescent="0.25">
      <c r="A14" s="157">
        <f>'B) D RI'!A15</f>
        <v>5409</v>
      </c>
      <c r="B14" s="158" t="str">
        <f>'B) D RI'!B15</f>
        <v>Ollon</v>
      </c>
      <c r="C14" s="310">
        <f>'B) D RI'!S15</f>
        <v>68</v>
      </c>
      <c r="D14" s="159">
        <f>'B) D RI'!AA15</f>
        <v>7560</v>
      </c>
      <c r="E14" s="308">
        <f>'D) Ecrêtage'!C13</f>
        <v>399776.03154977376</v>
      </c>
      <c r="F14" s="312">
        <f>'E) Fact soc'!G19</f>
        <v>8030699.6367016761</v>
      </c>
      <c r="G14" s="309">
        <f>'H) Péréquation directe'!I24</f>
        <v>4620289.0554518336</v>
      </c>
      <c r="H14" s="312">
        <f>+'I) Dépenses thématiques'!O13</f>
        <v>-2371989.5309431036</v>
      </c>
      <c r="I14" s="309">
        <f>'K) Plafonnement aide'!J13</f>
        <v>0</v>
      </c>
      <c r="J14" s="312">
        <f>'J) Plafonnement effort'!I13</f>
        <v>0</v>
      </c>
      <c r="K14" s="309">
        <f>'L) Plafonnement taux'!Q14</f>
        <v>0</v>
      </c>
      <c r="L14" s="307">
        <f t="shared" si="0"/>
        <v>10278999.161210407</v>
      </c>
      <c r="M14" s="227">
        <f>'M) Police'!O14</f>
        <v>476623.20986114012</v>
      </c>
      <c r="N14" s="227">
        <f t="shared" si="1"/>
        <v>10755622.371071547</v>
      </c>
      <c r="O14" s="399">
        <f t="shared" si="2"/>
        <v>2248299.52450873</v>
      </c>
      <c r="P14" s="314"/>
      <c r="Q14" s="493"/>
    </row>
    <row r="15" spans="1:17" s="160" customFormat="1" x14ac:dyDescent="0.25">
      <c r="A15" s="157">
        <f>'B) D RI'!A16</f>
        <v>5410</v>
      </c>
      <c r="B15" s="158" t="str">
        <f>'B) D RI'!B16</f>
        <v>Ormont-Dessous</v>
      </c>
      <c r="C15" s="310">
        <f>'B) D RI'!S16</f>
        <v>78.5</v>
      </c>
      <c r="D15" s="159">
        <f>'B) D RI'!AA16</f>
        <v>1141</v>
      </c>
      <c r="E15" s="308">
        <f>'D) Ecrêtage'!C14</f>
        <v>38431.903864118896</v>
      </c>
      <c r="F15" s="312">
        <f>'E) Fact soc'!G20</f>
        <v>749270.30253441597</v>
      </c>
      <c r="G15" s="309">
        <f>'H) Péréquation directe'!I25</f>
        <v>219452.25443192711</v>
      </c>
      <c r="H15" s="312">
        <f>+'I) Dépenses thématiques'!O14</f>
        <v>-996578.86033393291</v>
      </c>
      <c r="I15" s="309">
        <f>'K) Plafonnement aide'!J14</f>
        <v>0</v>
      </c>
      <c r="J15" s="312">
        <f>'J) Plafonnement effort'!I14</f>
        <v>0</v>
      </c>
      <c r="K15" s="309">
        <f>'L) Plafonnement taux'!Q15</f>
        <v>0</v>
      </c>
      <c r="L15" s="307">
        <f t="shared" si="0"/>
        <v>-27856.303367589833</v>
      </c>
      <c r="M15" s="227">
        <f>'M) Police'!O15</f>
        <v>112629.47226047951</v>
      </c>
      <c r="N15" s="227">
        <f t="shared" si="1"/>
        <v>84773.168892889676</v>
      </c>
      <c r="O15" s="399">
        <f t="shared" si="2"/>
        <v>-777126.6059020058</v>
      </c>
      <c r="P15" s="314"/>
      <c r="Q15" s="493"/>
    </row>
    <row r="16" spans="1:17" s="160" customFormat="1" x14ac:dyDescent="0.25">
      <c r="A16" s="157">
        <f>'B) D RI'!A17</f>
        <v>5411</v>
      </c>
      <c r="B16" s="158" t="str">
        <f>'B) D RI'!B17</f>
        <v>Ormont-Dessus</v>
      </c>
      <c r="C16" s="310">
        <f>'B) D RI'!S17</f>
        <v>76</v>
      </c>
      <c r="D16" s="159">
        <f>'B) D RI'!AA17</f>
        <v>1434</v>
      </c>
      <c r="E16" s="308">
        <f>'D) Ecrêtage'!C15</f>
        <v>73250.08368421052</v>
      </c>
      <c r="F16" s="312">
        <f>'E) Fact soc'!G21</f>
        <v>1518692.2547864781</v>
      </c>
      <c r="G16" s="309">
        <f>'H) Péréquation directe'!I26</f>
        <v>1187198.9258265225</v>
      </c>
      <c r="H16" s="312">
        <f>+'I) Dépenses thématiques'!O15</f>
        <v>-932421.12260084273</v>
      </c>
      <c r="I16" s="309">
        <f>'K) Plafonnement aide'!J15</f>
        <v>0</v>
      </c>
      <c r="J16" s="312">
        <f>'J) Plafonnement effort'!I15</f>
        <v>0</v>
      </c>
      <c r="K16" s="309">
        <f>'L) Plafonnement taux'!Q16</f>
        <v>0</v>
      </c>
      <c r="L16" s="307">
        <f t="shared" si="0"/>
        <v>1773470.0580121581</v>
      </c>
      <c r="M16" s="227">
        <f>'M) Police'!O16</f>
        <v>211270.34591287683</v>
      </c>
      <c r="N16" s="227">
        <f t="shared" si="1"/>
        <v>1984740.4039250349</v>
      </c>
      <c r="O16" s="399">
        <f t="shared" si="2"/>
        <v>254777.80322567979</v>
      </c>
      <c r="P16" s="314"/>
      <c r="Q16" s="493"/>
    </row>
    <row r="17" spans="1:17" s="160" customFormat="1" x14ac:dyDescent="0.25">
      <c r="A17" s="157">
        <f>'B) D RI'!A18</f>
        <v>5412</v>
      </c>
      <c r="B17" s="158" t="str">
        <f>'B) D RI'!B18</f>
        <v>Rennaz</v>
      </c>
      <c r="C17" s="310">
        <f>'B) D RI'!S18</f>
        <v>67.5</v>
      </c>
      <c r="D17" s="159">
        <f>'B) D RI'!AA18</f>
        <v>871</v>
      </c>
      <c r="E17" s="308">
        <f>'D) Ecrêtage'!C16</f>
        <v>24302.490518518523</v>
      </c>
      <c r="F17" s="312">
        <f>'E) Fact soc'!G22</f>
        <v>415965.80905807531</v>
      </c>
      <c r="G17" s="309">
        <f>'H) Péréquation directe'!I27</f>
        <v>74741.997396932042</v>
      </c>
      <c r="H17" s="312">
        <f>+'I) Dépenses thématiques'!O16</f>
        <v>-87730.488967625322</v>
      </c>
      <c r="I17" s="309">
        <f>'K) Plafonnement aide'!J16</f>
        <v>0</v>
      </c>
      <c r="J17" s="312">
        <f>'J) Plafonnement effort'!I16</f>
        <v>0</v>
      </c>
      <c r="K17" s="309">
        <f>'L) Plafonnement taux'!Q17</f>
        <v>0</v>
      </c>
      <c r="L17" s="307">
        <f t="shared" si="0"/>
        <v>402977.31748738204</v>
      </c>
      <c r="M17" s="227">
        <f>'M) Police'!O17</f>
        <v>73715.888112848566</v>
      </c>
      <c r="N17" s="227">
        <f t="shared" si="1"/>
        <v>476693.20560023061</v>
      </c>
      <c r="O17" s="399">
        <f t="shared" si="2"/>
        <v>-12988.491570693281</v>
      </c>
      <c r="P17" s="314"/>
      <c r="Q17" s="493"/>
    </row>
    <row r="18" spans="1:17" s="160" customFormat="1" x14ac:dyDescent="0.25">
      <c r="A18" s="157">
        <f>'B) D RI'!A19</f>
        <v>5413</v>
      </c>
      <c r="B18" s="158" t="str">
        <f>'B) D RI'!B19</f>
        <v>Roche</v>
      </c>
      <c r="C18" s="310">
        <f>'B) D RI'!S19</f>
        <v>68</v>
      </c>
      <c r="D18" s="159">
        <f>'B) D RI'!AA19</f>
        <v>1826</v>
      </c>
      <c r="E18" s="308">
        <f>'D) Ecrêtage'!C17</f>
        <v>45084.327818627447</v>
      </c>
      <c r="F18" s="312">
        <f>'E) Fact soc'!G23</f>
        <v>932862.73318605835</v>
      </c>
      <c r="G18" s="309">
        <f>'H) Péréquation directe'!I28</f>
        <v>-264203.43344149389</v>
      </c>
      <c r="H18" s="312">
        <f>+'I) Dépenses thématiques'!O17</f>
        <v>0</v>
      </c>
      <c r="I18" s="309">
        <f>'K) Plafonnement aide'!J17</f>
        <v>0</v>
      </c>
      <c r="J18" s="312">
        <f>'J) Plafonnement effort'!I17</f>
        <v>0</v>
      </c>
      <c r="K18" s="309">
        <f>'L) Plafonnement taux'!Q18</f>
        <v>0</v>
      </c>
      <c r="L18" s="307">
        <f t="shared" si="0"/>
        <v>668659.29974456446</v>
      </c>
      <c r="M18" s="227">
        <f>'M) Police'!O18</f>
        <v>135882.10933274229</v>
      </c>
      <c r="N18" s="227">
        <f t="shared" si="1"/>
        <v>804541.40907730674</v>
      </c>
      <c r="O18" s="399">
        <f t="shared" si="2"/>
        <v>-264203.43344149389</v>
      </c>
      <c r="P18" s="314"/>
      <c r="Q18" s="493"/>
    </row>
    <row r="19" spans="1:17" s="160" customFormat="1" x14ac:dyDescent="0.25">
      <c r="A19" s="157">
        <f>'B) D RI'!A20</f>
        <v>5414</v>
      </c>
      <c r="B19" s="158" t="str">
        <f>'B) D RI'!B20</f>
        <v>Villeneuve</v>
      </c>
      <c r="C19" s="310">
        <f>'B) D RI'!S20</f>
        <v>69</v>
      </c>
      <c r="D19" s="159">
        <f>'B) D RI'!AA20</f>
        <v>5772</v>
      </c>
      <c r="E19" s="308">
        <f>'D) Ecrêtage'!C18</f>
        <v>167595.35260869566</v>
      </c>
      <c r="F19" s="312">
        <f>'E) Fact soc'!G24</f>
        <v>3791454.8488014084</v>
      </c>
      <c r="G19" s="309">
        <f>'H) Péréquation directe'!I29</f>
        <v>-914863.94018646423</v>
      </c>
      <c r="H19" s="312">
        <f>+'I) Dépenses thématiques'!O18</f>
        <v>-1912795.9805848359</v>
      </c>
      <c r="I19" s="309">
        <f>'K) Plafonnement aide'!J18</f>
        <v>0</v>
      </c>
      <c r="J19" s="312">
        <f>'J) Plafonnement effort'!I18</f>
        <v>0</v>
      </c>
      <c r="K19" s="309">
        <f>'L) Plafonnement taux'!Q19</f>
        <v>0</v>
      </c>
      <c r="L19" s="307">
        <f t="shared" si="0"/>
        <v>963794.92803010833</v>
      </c>
      <c r="M19" s="227">
        <f>'M) Police'!O19</f>
        <v>496398.56247807364</v>
      </c>
      <c r="N19" s="227">
        <f t="shared" si="1"/>
        <v>1460193.490508182</v>
      </c>
      <c r="O19" s="399">
        <f t="shared" si="2"/>
        <v>-2827659.9207712999</v>
      </c>
      <c r="P19" s="314"/>
      <c r="Q19" s="493"/>
    </row>
    <row r="20" spans="1:17" s="160" customFormat="1" x14ac:dyDescent="0.25">
      <c r="A20" s="157">
        <f>'B) D RI'!A21</f>
        <v>5415</v>
      </c>
      <c r="B20" s="158" t="str">
        <f>'B) D RI'!B21</f>
        <v>Yvorne</v>
      </c>
      <c r="C20" s="310">
        <f>'B) D RI'!S21</f>
        <v>71.5</v>
      </c>
      <c r="D20" s="159">
        <f>'B) D RI'!AA21</f>
        <v>1071</v>
      </c>
      <c r="E20" s="308">
        <f>'D) Ecrêtage'!C19</f>
        <v>39170.690675990678</v>
      </c>
      <c r="F20" s="312">
        <f>'E) Fact soc'!G25</f>
        <v>763324.50122795452</v>
      </c>
      <c r="G20" s="309">
        <f>'H) Péréquation directe'!I30</f>
        <v>404345.18473594345</v>
      </c>
      <c r="H20" s="312">
        <f>+'I) Dépenses thématiques'!O19</f>
        <v>-179397.17132212708</v>
      </c>
      <c r="I20" s="309">
        <f>'K) Plafonnement aide'!J19</f>
        <v>0</v>
      </c>
      <c r="J20" s="312">
        <f>'J) Plafonnement effort'!I19</f>
        <v>0</v>
      </c>
      <c r="K20" s="309">
        <f>'L) Plafonnement taux'!Q20</f>
        <v>0</v>
      </c>
      <c r="L20" s="307">
        <f t="shared" si="0"/>
        <v>988272.51464177086</v>
      </c>
      <c r="M20" s="227">
        <f>'M) Police'!O20</f>
        <v>118651.34544416031</v>
      </c>
      <c r="N20" s="227">
        <f t="shared" si="1"/>
        <v>1106923.8600859311</v>
      </c>
      <c r="O20" s="399">
        <f t="shared" si="2"/>
        <v>224948.01341381637</v>
      </c>
      <c r="P20" s="314"/>
      <c r="Q20" s="493"/>
    </row>
    <row r="21" spans="1:17" s="160" customFormat="1" x14ac:dyDescent="0.25">
      <c r="A21" s="157">
        <f>'B) D RI'!A22</f>
        <v>5421</v>
      </c>
      <c r="B21" s="158" t="str">
        <f>'B) D RI'!B22</f>
        <v>Apples</v>
      </c>
      <c r="C21" s="310">
        <f>'B) D RI'!S22</f>
        <v>76</v>
      </c>
      <c r="D21" s="159">
        <f>'B) D RI'!AA22</f>
        <v>1460</v>
      </c>
      <c r="E21" s="308">
        <f>'D) Ecrêtage'!C20</f>
        <v>70612.156710526324</v>
      </c>
      <c r="F21" s="312">
        <f>'E) Fact soc'!G26</f>
        <v>1261252.481074976</v>
      </c>
      <c r="G21" s="309">
        <f>'H) Péréquation directe'!I31</f>
        <v>1125276.9615885508</v>
      </c>
      <c r="H21" s="312">
        <f>+'I) Dépenses thématiques'!O20</f>
        <v>-254533.01856888458</v>
      </c>
      <c r="I21" s="309">
        <f>'K) Plafonnement aide'!J20</f>
        <v>0</v>
      </c>
      <c r="J21" s="312">
        <f>'J) Plafonnement effort'!I20</f>
        <v>0</v>
      </c>
      <c r="K21" s="309">
        <f>'L) Plafonnement taux'!Q21</f>
        <v>0</v>
      </c>
      <c r="L21" s="307">
        <f t="shared" si="0"/>
        <v>2131996.4240946425</v>
      </c>
      <c r="M21" s="227">
        <f>'M) Police'!O21</f>
        <v>211767.23986847172</v>
      </c>
      <c r="N21" s="227">
        <f t="shared" si="1"/>
        <v>2343763.6639631144</v>
      </c>
      <c r="O21" s="399">
        <f t="shared" si="2"/>
        <v>870743.94301966624</v>
      </c>
      <c r="P21" s="314"/>
      <c r="Q21" s="493"/>
    </row>
    <row r="22" spans="1:17" s="160" customFormat="1" x14ac:dyDescent="0.25">
      <c r="A22" s="157">
        <f>'B) D RI'!A23</f>
        <v>5422</v>
      </c>
      <c r="B22" s="158" t="str">
        <f>'B) D RI'!B23</f>
        <v>Aubonne</v>
      </c>
      <c r="C22" s="310">
        <f>'B) D RI'!S23</f>
        <v>70</v>
      </c>
      <c r="D22" s="159">
        <f>'B) D RI'!AA23</f>
        <v>3276</v>
      </c>
      <c r="E22" s="308">
        <f>'D) Ecrêtage'!C21</f>
        <v>231171.83385714272</v>
      </c>
      <c r="F22" s="312">
        <f>'E) Fact soc'!G27</f>
        <v>5495655.2422491331</v>
      </c>
      <c r="G22" s="309">
        <f>'H) Péréquation directe'!I32</f>
        <v>3657139.3613272482</v>
      </c>
      <c r="H22" s="312">
        <f>+'I) Dépenses thématiques'!O21</f>
        <v>0</v>
      </c>
      <c r="I22" s="309">
        <f>'K) Plafonnement aide'!J21</f>
        <v>0</v>
      </c>
      <c r="J22" s="312">
        <f>'J) Plafonnement effort'!I21</f>
        <v>0</v>
      </c>
      <c r="K22" s="309">
        <f>'L) Plafonnement taux'!Q22</f>
        <v>0</v>
      </c>
      <c r="L22" s="307">
        <f t="shared" si="0"/>
        <v>9152794.6035763808</v>
      </c>
      <c r="M22" s="227">
        <f>'M) Police'!O22</f>
        <v>561881.15728722629</v>
      </c>
      <c r="N22" s="227">
        <f t="shared" si="1"/>
        <v>9714675.7608636077</v>
      </c>
      <c r="O22" s="399">
        <f t="shared" si="2"/>
        <v>3657139.3613272482</v>
      </c>
      <c r="P22" s="314"/>
      <c r="Q22" s="493"/>
    </row>
    <row r="23" spans="1:17" s="160" customFormat="1" x14ac:dyDescent="0.25">
      <c r="A23" s="157">
        <f>'B) D RI'!A24</f>
        <v>5423</v>
      </c>
      <c r="B23" s="158" t="str">
        <f>'B) D RI'!B24</f>
        <v>Ballens</v>
      </c>
      <c r="C23" s="310">
        <f>'B) D RI'!S24</f>
        <v>73</v>
      </c>
      <c r="D23" s="159">
        <f>'B) D RI'!AA24</f>
        <v>545</v>
      </c>
      <c r="E23" s="308">
        <f>'D) Ecrêtage'!C22</f>
        <v>16262.42684931507</v>
      </c>
      <c r="F23" s="312">
        <f>'E) Fact soc'!G28</f>
        <v>288962.9304933555</v>
      </c>
      <c r="G23" s="309">
        <f>'H) Péréquation directe'!I33</f>
        <v>58118.707266307436</v>
      </c>
      <c r="H23" s="312">
        <f>+'I) Dépenses thématiques'!O22</f>
        <v>-80876.415743834703</v>
      </c>
      <c r="I23" s="309">
        <f>'K) Plafonnement aide'!J22</f>
        <v>0</v>
      </c>
      <c r="J23" s="312">
        <f>'J) Plafonnement effort'!I22</f>
        <v>0</v>
      </c>
      <c r="K23" s="309">
        <f>'L) Plafonnement taux'!Q23</f>
        <v>0</v>
      </c>
      <c r="L23" s="307">
        <f t="shared" si="0"/>
        <v>266205.22201582824</v>
      </c>
      <c r="M23" s="227">
        <f>'M) Police'!O23</f>
        <v>49636.256849304613</v>
      </c>
      <c r="N23" s="227">
        <f t="shared" si="1"/>
        <v>315841.47886513284</v>
      </c>
      <c r="O23" s="399">
        <f t="shared" si="2"/>
        <v>-22757.708477527267</v>
      </c>
      <c r="P23" s="314"/>
      <c r="Q23" s="493"/>
    </row>
    <row r="24" spans="1:17" s="160" customFormat="1" x14ac:dyDescent="0.25">
      <c r="A24" s="157">
        <f>'B) D RI'!A25</f>
        <v>5424</v>
      </c>
      <c r="B24" s="158" t="str">
        <f>'B) D RI'!B25</f>
        <v>Berolle</v>
      </c>
      <c r="C24" s="310">
        <f>'B) D RI'!S25</f>
        <v>77</v>
      </c>
      <c r="D24" s="159">
        <f>'B) D RI'!AA25</f>
        <v>300</v>
      </c>
      <c r="E24" s="308">
        <f>'D) Ecrêtage'!C23</f>
        <v>9281.7425974025955</v>
      </c>
      <c r="F24" s="312">
        <f>'E) Fact soc'!G29</f>
        <v>141611.621543285</v>
      </c>
      <c r="G24" s="309">
        <f>'H) Péréquation directe'!I34</f>
        <v>34019.548549449974</v>
      </c>
      <c r="H24" s="312">
        <f>+'I) Dépenses thématiques'!O23</f>
        <v>-40563.913492354957</v>
      </c>
      <c r="I24" s="309">
        <f>'K) Plafonnement aide'!J23</f>
        <v>0</v>
      </c>
      <c r="J24" s="312">
        <f>'J) Plafonnement effort'!I23</f>
        <v>0</v>
      </c>
      <c r="K24" s="309">
        <f>'L) Plafonnement taux'!Q24</f>
        <v>0</v>
      </c>
      <c r="L24" s="307">
        <f t="shared" si="0"/>
        <v>135067.25660038</v>
      </c>
      <c r="M24" s="227">
        <f>'M) Police'!O24</f>
        <v>28307.052481636754</v>
      </c>
      <c r="N24" s="227">
        <f t="shared" si="1"/>
        <v>163374.30908201676</v>
      </c>
      <c r="O24" s="399">
        <f t="shared" si="2"/>
        <v>-6544.3649429049838</v>
      </c>
      <c r="P24" s="314"/>
      <c r="Q24" s="493"/>
    </row>
    <row r="25" spans="1:17" s="160" customFormat="1" x14ac:dyDescent="0.25">
      <c r="A25" s="157">
        <f>'B) D RI'!A26</f>
        <v>5425</v>
      </c>
      <c r="B25" s="158" t="str">
        <f>'B) D RI'!B26</f>
        <v>Bière</v>
      </c>
      <c r="C25" s="310">
        <f>'B) D RI'!S26</f>
        <v>70</v>
      </c>
      <c r="D25" s="159">
        <f>'B) D RI'!AA26</f>
        <v>1596</v>
      </c>
      <c r="E25" s="308">
        <f>'D) Ecrêtage'!C24</f>
        <v>39522.239817733993</v>
      </c>
      <c r="F25" s="312">
        <f>'E) Fact soc'!G30</f>
        <v>750863.6899306674</v>
      </c>
      <c r="G25" s="309">
        <f>'H) Péréquation directe'!I35</f>
        <v>-236972.43257779675</v>
      </c>
      <c r="H25" s="312">
        <f>+'I) Dépenses thématiques'!O24</f>
        <v>-580914.55960819568</v>
      </c>
      <c r="I25" s="309">
        <f>'K) Plafonnement aide'!J24</f>
        <v>0</v>
      </c>
      <c r="J25" s="312">
        <f>'J) Plafonnement effort'!I24</f>
        <v>0</v>
      </c>
      <c r="K25" s="309">
        <f>'L) Plafonnement taux'!Q25</f>
        <v>0</v>
      </c>
      <c r="L25" s="307">
        <f t="shared" si="0"/>
        <v>-67023.302255325019</v>
      </c>
      <c r="M25" s="227">
        <f>'M) Police'!O25</f>
        <v>119997.72716865179</v>
      </c>
      <c r="N25" s="227">
        <f t="shared" si="1"/>
        <v>52974.424913326773</v>
      </c>
      <c r="O25" s="399">
        <f t="shared" si="2"/>
        <v>-817886.99218599242</v>
      </c>
      <c r="P25" s="314"/>
      <c r="Q25" s="493"/>
    </row>
    <row r="26" spans="1:17" s="160" customFormat="1" x14ac:dyDescent="0.25">
      <c r="A26" s="157">
        <f>'B) D RI'!A27</f>
        <v>5426</v>
      </c>
      <c r="B26" s="158" t="str">
        <f>'B) D RI'!B27</f>
        <v>Bougy-Villars</v>
      </c>
      <c r="C26" s="310">
        <f>'B) D RI'!S27</f>
        <v>66</v>
      </c>
      <c r="D26" s="159">
        <f>'B) D RI'!AA27</f>
        <v>475</v>
      </c>
      <c r="E26" s="308">
        <f>'D) Ecrêtage'!C25</f>
        <v>52073.160505050502</v>
      </c>
      <c r="F26" s="312">
        <f>'E) Fact soc'!G31</f>
        <v>1651467.7306426382</v>
      </c>
      <c r="G26" s="309">
        <f>'H) Péréquation directe'!I36</f>
        <v>982137.95962206542</v>
      </c>
      <c r="H26" s="312">
        <f>+'I) Dépenses thématiques'!O25</f>
        <v>0</v>
      </c>
      <c r="I26" s="309">
        <f>'K) Plafonnement aide'!J25</f>
        <v>0</v>
      </c>
      <c r="J26" s="312">
        <f>'J) Plafonnement effort'!I25</f>
        <v>-290313.46753743105</v>
      </c>
      <c r="K26" s="309">
        <f>'L) Plafonnement taux'!Q26</f>
        <v>0</v>
      </c>
      <c r="L26" s="307">
        <f t="shared" si="0"/>
        <v>2343292.2227272727</v>
      </c>
      <c r="M26" s="227">
        <f>'M) Police'!O26</f>
        <v>103590.67285550627</v>
      </c>
      <c r="N26" s="227">
        <f t="shared" si="1"/>
        <v>2446882.8955827788</v>
      </c>
      <c r="O26" s="399">
        <f t="shared" si="2"/>
        <v>691824.49208463437</v>
      </c>
      <c r="P26" s="314"/>
      <c r="Q26" s="493"/>
    </row>
    <row r="27" spans="1:17" s="160" customFormat="1" x14ac:dyDescent="0.25">
      <c r="A27" s="157">
        <f>'B) D RI'!A28</f>
        <v>5427</v>
      </c>
      <c r="B27" s="158" t="str">
        <f>'B) D RI'!B28</f>
        <v>Féchy</v>
      </c>
      <c r="C27" s="310">
        <f>'B) D RI'!S28</f>
        <v>64</v>
      </c>
      <c r="D27" s="159">
        <f>'B) D RI'!AA28</f>
        <v>861</v>
      </c>
      <c r="E27" s="308">
        <f>'D) Ecrêtage'!C26</f>
        <v>86749.440144230772</v>
      </c>
      <c r="F27" s="312">
        <f>'E) Fact soc'!G32</f>
        <v>2544465.6345609678</v>
      </c>
      <c r="G27" s="309">
        <f>'H) Péréquation directe'!I37</f>
        <v>1627402.8618298196</v>
      </c>
      <c r="H27" s="312">
        <f>+'I) Dépenses thématiques'!O26</f>
        <v>0</v>
      </c>
      <c r="I27" s="309">
        <f>'K) Plafonnement aide'!J26</f>
        <v>0</v>
      </c>
      <c r="J27" s="312">
        <f>'J) Plafonnement effort'!I26</f>
        <v>-268143.68990040268</v>
      </c>
      <c r="K27" s="309">
        <f>'L) Plafonnement taux'!Q27</f>
        <v>0</v>
      </c>
      <c r="L27" s="307">
        <f t="shared" si="0"/>
        <v>3903724.806490385</v>
      </c>
      <c r="M27" s="227">
        <f>'M) Police'!O27</f>
        <v>178663.10360773228</v>
      </c>
      <c r="N27" s="227">
        <f t="shared" si="1"/>
        <v>4082387.9100981173</v>
      </c>
      <c r="O27" s="399">
        <f t="shared" si="2"/>
        <v>1359259.1719294169</v>
      </c>
      <c r="P27" s="314"/>
      <c r="Q27" s="493"/>
    </row>
    <row r="28" spans="1:17" s="160" customFormat="1" x14ac:dyDescent="0.25">
      <c r="A28" s="157">
        <f>'B) D RI'!A29</f>
        <v>5428</v>
      </c>
      <c r="B28" s="158" t="str">
        <f>'B) D RI'!B29</f>
        <v>Gimel</v>
      </c>
      <c r="C28" s="310">
        <f>'B) D RI'!S29</f>
        <v>74.5</v>
      </c>
      <c r="D28" s="159">
        <f>'B) D RI'!AA29</f>
        <v>2238</v>
      </c>
      <c r="E28" s="308">
        <f>'D) Ecrêtage'!C27</f>
        <v>66171.009865771834</v>
      </c>
      <c r="F28" s="312">
        <f>'E) Fact soc'!G33</f>
        <v>1221259.428748192</v>
      </c>
      <c r="G28" s="309">
        <f>'H) Péréquation directe'!I38</f>
        <v>-100763.0167446679</v>
      </c>
      <c r="H28" s="312">
        <f>+'I) Dépenses thématiques'!O27</f>
        <v>-262726.02437352511</v>
      </c>
      <c r="I28" s="309">
        <f>'K) Plafonnement aide'!J27</f>
        <v>0</v>
      </c>
      <c r="J28" s="312">
        <f>'J) Plafonnement effort'!I27</f>
        <v>0</v>
      </c>
      <c r="K28" s="309">
        <f>'L) Plafonnement taux'!Q28</f>
        <v>0</v>
      </c>
      <c r="L28" s="307">
        <f t="shared" si="0"/>
        <v>857770.38762999908</v>
      </c>
      <c r="M28" s="227">
        <f>'M) Police'!O28</f>
        <v>201074.96397095727</v>
      </c>
      <c r="N28" s="227">
        <f t="shared" si="1"/>
        <v>1058845.3516009564</v>
      </c>
      <c r="O28" s="399">
        <f t="shared" si="2"/>
        <v>-363489.04111819301</v>
      </c>
      <c r="P28" s="314"/>
      <c r="Q28" s="493"/>
    </row>
    <row r="29" spans="1:17" s="160" customFormat="1" x14ac:dyDescent="0.25">
      <c r="A29" s="157">
        <f>'B) D RI'!A30</f>
        <v>5429</v>
      </c>
      <c r="B29" s="158" t="str">
        <f>'B) D RI'!B30</f>
        <v>Longirod</v>
      </c>
      <c r="C29" s="310">
        <f>'B) D RI'!S30</f>
        <v>81</v>
      </c>
      <c r="D29" s="159">
        <f>'B) D RI'!AA30</f>
        <v>482</v>
      </c>
      <c r="E29" s="308">
        <f>'D) Ecrêtage'!C28</f>
        <v>15311.416666666666</v>
      </c>
      <c r="F29" s="312">
        <f>'E) Fact soc'!G34</f>
        <v>263414.67188112694</v>
      </c>
      <c r="G29" s="309">
        <f>'H) Péréquation directe'!I39</f>
        <v>53472.406295064895</v>
      </c>
      <c r="H29" s="312">
        <f>+'I) Dépenses thématiques'!O28</f>
        <v>-72546.873567125862</v>
      </c>
      <c r="I29" s="309">
        <f>'K) Plafonnement aide'!J28</f>
        <v>0</v>
      </c>
      <c r="J29" s="312">
        <f>'J) Plafonnement effort'!I28</f>
        <v>0</v>
      </c>
      <c r="K29" s="309">
        <f>'L) Plafonnement taux'!Q29</f>
        <v>0</v>
      </c>
      <c r="L29" s="307">
        <f t="shared" si="0"/>
        <v>244340.20460906596</v>
      </c>
      <c r="M29" s="227">
        <f>'M) Police'!O29</f>
        <v>46401.308248194968</v>
      </c>
      <c r="N29" s="227">
        <f t="shared" si="1"/>
        <v>290741.51285726094</v>
      </c>
      <c r="O29" s="399">
        <f t="shared" si="2"/>
        <v>-19074.467272060967</v>
      </c>
      <c r="P29" s="314"/>
      <c r="Q29" s="493"/>
    </row>
    <row r="30" spans="1:17" s="160" customFormat="1" x14ac:dyDescent="0.25">
      <c r="A30" s="157">
        <f>'B) D RI'!A31</f>
        <v>5430</v>
      </c>
      <c r="B30" s="158" t="str">
        <f>'B) D RI'!B31</f>
        <v>Marchissy</v>
      </c>
      <c r="C30" s="310">
        <f>'B) D RI'!S31</f>
        <v>79</v>
      </c>
      <c r="D30" s="159">
        <f>'B) D RI'!AA31</f>
        <v>472</v>
      </c>
      <c r="E30" s="308">
        <f>'D) Ecrêtage'!C29</f>
        <v>14827.393037974683</v>
      </c>
      <c r="F30" s="312">
        <f>'E) Fact soc'!G35</f>
        <v>247706.05778232383</v>
      </c>
      <c r="G30" s="309">
        <f>'H) Péréquation directe'!I40</f>
        <v>54108.586386486189</v>
      </c>
      <c r="H30" s="312">
        <f>+'I) Dépenses thématiques'!O29</f>
        <v>-72072.524279598641</v>
      </c>
      <c r="I30" s="309">
        <f>'K) Plafonnement aide'!J29</f>
        <v>0</v>
      </c>
      <c r="J30" s="312">
        <f>'J) Plafonnement effort'!I29</f>
        <v>0</v>
      </c>
      <c r="K30" s="309">
        <f>'L) Plafonnement taux'!Q30</f>
        <v>0</v>
      </c>
      <c r="L30" s="307">
        <f t="shared" si="0"/>
        <v>229742.11988921135</v>
      </c>
      <c r="M30" s="227">
        <f>'M) Police'!O30</f>
        <v>45121.838991364712</v>
      </c>
      <c r="N30" s="227">
        <f t="shared" si="1"/>
        <v>274863.95888057607</v>
      </c>
      <c r="O30" s="399">
        <f t="shared" si="2"/>
        <v>-17963.937893112452</v>
      </c>
      <c r="P30" s="314"/>
      <c r="Q30" s="493"/>
    </row>
    <row r="31" spans="1:17" s="160" customFormat="1" x14ac:dyDescent="0.25">
      <c r="A31" s="157">
        <f>'B) D RI'!A32</f>
        <v>5431</v>
      </c>
      <c r="B31" s="158" t="str">
        <f>'B) D RI'!B32</f>
        <v>Mollens</v>
      </c>
      <c r="C31" s="310">
        <f>'B) D RI'!S32</f>
        <v>74</v>
      </c>
      <c r="D31" s="159">
        <f>'B) D RI'!AA32</f>
        <v>308</v>
      </c>
      <c r="E31" s="308">
        <f>'D) Ecrêtage'!C30</f>
        <v>10626.755405405405</v>
      </c>
      <c r="F31" s="312">
        <f>'E) Fact soc'!G36</f>
        <v>214375.62526318911</v>
      </c>
      <c r="G31" s="309">
        <f>'H) Péréquation directe'!I41</f>
        <v>89621.251433075406</v>
      </c>
      <c r="H31" s="312">
        <f>+'I) Dépenses thématiques'!O30</f>
        <v>-27355.275762547051</v>
      </c>
      <c r="I31" s="309">
        <f>'K) Plafonnement aide'!J30</f>
        <v>0</v>
      </c>
      <c r="J31" s="312">
        <f>'J) Plafonnement effort'!I30</f>
        <v>0</v>
      </c>
      <c r="K31" s="309">
        <f>'L) Plafonnement taux'!Q31</f>
        <v>0</v>
      </c>
      <c r="L31" s="307">
        <f t="shared" si="0"/>
        <v>276641.60093371745</v>
      </c>
      <c r="M31" s="227">
        <f>'M) Police'!O31</f>
        <v>32521.627432045632</v>
      </c>
      <c r="N31" s="227">
        <f t="shared" si="1"/>
        <v>309163.22836576309</v>
      </c>
      <c r="O31" s="399">
        <f t="shared" si="2"/>
        <v>62265.975670528351</v>
      </c>
      <c r="P31" s="314"/>
      <c r="Q31" s="493"/>
    </row>
    <row r="32" spans="1:17" s="160" customFormat="1" x14ac:dyDescent="0.25">
      <c r="A32" s="157">
        <f>'B) D RI'!A33</f>
        <v>5432</v>
      </c>
      <c r="B32" s="158" t="str">
        <f>'B) D RI'!B33</f>
        <v>Montherod</v>
      </c>
      <c r="C32" s="310">
        <f>'B) D RI'!S33</f>
        <v>78</v>
      </c>
      <c r="D32" s="159">
        <f>'B) D RI'!AA33</f>
        <v>541</v>
      </c>
      <c r="E32" s="308">
        <f>'D) Ecrêtage'!C31</f>
        <v>16078.014230769231</v>
      </c>
      <c r="F32" s="312">
        <f>'E) Fact soc'!G37</f>
        <v>260908.09810291277</v>
      </c>
      <c r="G32" s="309">
        <f>'H) Péréquation directe'!I42</f>
        <v>26868.775860733702</v>
      </c>
      <c r="H32" s="312">
        <f>+'I) Dépenses thématiques'!O31</f>
        <v>-42030.942117929073</v>
      </c>
      <c r="I32" s="309">
        <f>'K) Plafonnement aide'!J31</f>
        <v>0</v>
      </c>
      <c r="J32" s="312">
        <f>'J) Plafonnement effort'!I31</f>
        <v>0</v>
      </c>
      <c r="K32" s="309">
        <f>'L) Plafonnement taux'!Q32</f>
        <v>0</v>
      </c>
      <c r="L32" s="307">
        <f t="shared" si="0"/>
        <v>245745.93184571739</v>
      </c>
      <c r="M32" s="227">
        <f>'M) Police'!O32</f>
        <v>48782.827741043409</v>
      </c>
      <c r="N32" s="227">
        <f t="shared" si="1"/>
        <v>294528.75958676077</v>
      </c>
      <c r="O32" s="399">
        <f t="shared" si="2"/>
        <v>-15162.166257195371</v>
      </c>
      <c r="P32" s="314"/>
      <c r="Q32" s="493"/>
    </row>
    <row r="33" spans="1:17" s="160" customFormat="1" x14ac:dyDescent="0.25">
      <c r="A33" s="157">
        <f>'B) D RI'!A34</f>
        <v>5434</v>
      </c>
      <c r="B33" s="158" t="str">
        <f>'B) D RI'!B34</f>
        <v>Saint-George</v>
      </c>
      <c r="C33" s="310">
        <f>'B) D RI'!S34</f>
        <v>71</v>
      </c>
      <c r="D33" s="159">
        <f>'B) D RI'!AA34</f>
        <v>1063</v>
      </c>
      <c r="E33" s="308">
        <f>'D) Ecrêtage'!C32</f>
        <v>39905.96180751174</v>
      </c>
      <c r="F33" s="312">
        <f>'E) Fact soc'!G38</f>
        <v>701586.47045881464</v>
      </c>
      <c r="G33" s="309">
        <f>'H) Péréquation directe'!I43</f>
        <v>447257.63762540213</v>
      </c>
      <c r="H33" s="312">
        <f>+'I) Dépenses thématiques'!O32</f>
        <v>-61374.553693589871</v>
      </c>
      <c r="I33" s="309">
        <f>'K) Plafonnement aide'!J32</f>
        <v>0</v>
      </c>
      <c r="J33" s="312">
        <f>'J) Plafonnement effort'!I32</f>
        <v>0</v>
      </c>
      <c r="K33" s="309">
        <f>'L) Plafonnement taux'!Q33</f>
        <v>0</v>
      </c>
      <c r="L33" s="307">
        <f t="shared" si="0"/>
        <v>1087469.554390627</v>
      </c>
      <c r="M33" s="227">
        <f>'M) Police'!O33</f>
        <v>120795.65848014411</v>
      </c>
      <c r="N33" s="227">
        <f t="shared" si="1"/>
        <v>1208265.2128707711</v>
      </c>
      <c r="O33" s="399">
        <f t="shared" si="2"/>
        <v>385883.08393181226</v>
      </c>
      <c r="P33" s="314"/>
      <c r="Q33" s="493"/>
    </row>
    <row r="34" spans="1:17" s="160" customFormat="1" x14ac:dyDescent="0.25">
      <c r="A34" s="157">
        <f>'B) D RI'!A35</f>
        <v>5435</v>
      </c>
      <c r="B34" s="158" t="str">
        <f>'B) D RI'!B35</f>
        <v>Saint-Livres</v>
      </c>
      <c r="C34" s="310">
        <f>'B) D RI'!S35</f>
        <v>69</v>
      </c>
      <c r="D34" s="159">
        <f>'B) D RI'!AA35</f>
        <v>691</v>
      </c>
      <c r="E34" s="308">
        <f>'D) Ecrêtage'!C33</f>
        <v>24331.716956521734</v>
      </c>
      <c r="F34" s="312">
        <f>'E) Fact soc'!G39</f>
        <v>391084.93466867734</v>
      </c>
      <c r="G34" s="309">
        <f>'H) Péréquation directe'!I44</f>
        <v>244818.10473539488</v>
      </c>
      <c r="H34" s="312">
        <f>+'I) Dépenses thématiques'!O33</f>
        <v>-68687.650152748713</v>
      </c>
      <c r="I34" s="309">
        <f>'K) Plafonnement aide'!J33</f>
        <v>0</v>
      </c>
      <c r="J34" s="312">
        <f>'J) Plafonnement effort'!I33</f>
        <v>0</v>
      </c>
      <c r="K34" s="309">
        <f>'L) Plafonnement taux'!Q34</f>
        <v>0</v>
      </c>
      <c r="L34" s="307">
        <f t="shared" si="0"/>
        <v>567215.38925132353</v>
      </c>
      <c r="M34" s="227">
        <f>'M) Police'!O34</f>
        <v>74097.821953092149</v>
      </c>
      <c r="N34" s="227">
        <f t="shared" si="1"/>
        <v>641313.21120441565</v>
      </c>
      <c r="O34" s="399">
        <f t="shared" si="2"/>
        <v>176130.45458264617</v>
      </c>
      <c r="P34" s="314"/>
      <c r="Q34" s="493"/>
    </row>
    <row r="35" spans="1:17" s="160" customFormat="1" x14ac:dyDescent="0.25">
      <c r="A35" s="157">
        <f>'B) D RI'!A36</f>
        <v>5436</v>
      </c>
      <c r="B35" s="158" t="str">
        <f>'B) D RI'!B36</f>
        <v>Saint-Oyens</v>
      </c>
      <c r="C35" s="310">
        <f>'B) D RI'!S36</f>
        <v>81</v>
      </c>
      <c r="D35" s="159">
        <f>'B) D RI'!AA36</f>
        <v>447</v>
      </c>
      <c r="E35" s="308">
        <f>'D) Ecrêtage'!C34</f>
        <v>16564.840617283953</v>
      </c>
      <c r="F35" s="312">
        <f>'E) Fact soc'!G40</f>
        <v>267489.26799732901</v>
      </c>
      <c r="G35" s="309">
        <f>'H) Péréquation directe'!I45</f>
        <v>158354.13376139855</v>
      </c>
      <c r="H35" s="312">
        <f>+'I) Dépenses thématiques'!O34</f>
        <v>0</v>
      </c>
      <c r="I35" s="309">
        <f>'K) Plafonnement aide'!J34</f>
        <v>0</v>
      </c>
      <c r="J35" s="312">
        <f>'J) Plafonnement effort'!I34</f>
        <v>0</v>
      </c>
      <c r="K35" s="309">
        <f>'L) Plafonnement taux'!Q35</f>
        <v>0</v>
      </c>
      <c r="L35" s="307">
        <f t="shared" si="0"/>
        <v>425843.40175872756</v>
      </c>
      <c r="M35" s="227">
        <f>'M) Police'!O35</f>
        <v>50884.800489018002</v>
      </c>
      <c r="N35" s="227">
        <f t="shared" si="1"/>
        <v>476728.20224774559</v>
      </c>
      <c r="O35" s="399">
        <f t="shared" si="2"/>
        <v>158354.13376139855</v>
      </c>
      <c r="P35" s="314"/>
      <c r="Q35" s="493"/>
    </row>
    <row r="36" spans="1:17" s="160" customFormat="1" x14ac:dyDescent="0.25">
      <c r="A36" s="157">
        <f>'B) D RI'!A37</f>
        <v>5437</v>
      </c>
      <c r="B36" s="158" t="str">
        <f>'B) D RI'!B37</f>
        <v>Saubraz</v>
      </c>
      <c r="C36" s="310">
        <f>'B) D RI'!S37</f>
        <v>80</v>
      </c>
      <c r="D36" s="159">
        <f>'B) D RI'!AA37</f>
        <v>423</v>
      </c>
      <c r="E36" s="308">
        <f>'D) Ecrêtage'!C35</f>
        <v>13155.785124999999</v>
      </c>
      <c r="F36" s="312">
        <f>'E) Fact soc'!G41</f>
        <v>216533.2693914524</v>
      </c>
      <c r="G36" s="309">
        <f>'H) Péréquation directe'!I46</f>
        <v>38307.167128092871</v>
      </c>
      <c r="H36" s="312">
        <f>+'I) Dépenses thématiques'!O35</f>
        <v>-16705.106838367716</v>
      </c>
      <c r="I36" s="309">
        <f>'K) Plafonnement aide'!J35</f>
        <v>0</v>
      </c>
      <c r="J36" s="312">
        <f>'J) Plafonnement effort'!I35</f>
        <v>0</v>
      </c>
      <c r="K36" s="309">
        <f>'L) Plafonnement taux'!Q36</f>
        <v>0</v>
      </c>
      <c r="L36" s="307">
        <f t="shared" si="0"/>
        <v>238135.32968117757</v>
      </c>
      <c r="M36" s="227">
        <f>'M) Police'!O36</f>
        <v>40313.921260749405</v>
      </c>
      <c r="N36" s="227">
        <f t="shared" si="1"/>
        <v>278449.25094192696</v>
      </c>
      <c r="O36" s="399">
        <f t="shared" si="2"/>
        <v>21602.060289725156</v>
      </c>
      <c r="P36" s="314"/>
      <c r="Q36" s="493"/>
    </row>
    <row r="37" spans="1:17" s="160" customFormat="1" x14ac:dyDescent="0.25">
      <c r="A37" s="157">
        <f>'B) D RI'!A38</f>
        <v>5451</v>
      </c>
      <c r="B37" s="158" t="str">
        <f>'B) D RI'!B38</f>
        <v>Avenches</v>
      </c>
      <c r="C37" s="310">
        <f>'B) D RI'!S38</f>
        <v>68</v>
      </c>
      <c r="D37" s="159">
        <f>'B) D RI'!AA38</f>
        <v>4305</v>
      </c>
      <c r="E37" s="308">
        <f>'D) Ecrêtage'!C36</f>
        <v>129378.19823529426</v>
      </c>
      <c r="F37" s="312">
        <f>'E) Fact soc'!G42</f>
        <v>2399546.927846753</v>
      </c>
      <c r="G37" s="309">
        <f>'H) Péréquation directe'!I47</f>
        <v>-242050.561728484</v>
      </c>
      <c r="H37" s="312">
        <f>+'I) Dépenses thématiques'!O36</f>
        <v>-1378171.014164017</v>
      </c>
      <c r="I37" s="309">
        <f>'K) Plafonnement aide'!J36</f>
        <v>0</v>
      </c>
      <c r="J37" s="312">
        <f>'J) Plafonnement effort'!I36</f>
        <v>0</v>
      </c>
      <c r="K37" s="309">
        <f>'L) Plafonnement taux'!Q37</f>
        <v>0</v>
      </c>
      <c r="L37" s="307">
        <f t="shared" si="0"/>
        <v>779325.35195425199</v>
      </c>
      <c r="M37" s="227">
        <f>'M) Police'!O37</f>
        <v>383990.96703450818</v>
      </c>
      <c r="N37" s="227">
        <f t="shared" si="1"/>
        <v>1163316.3189887602</v>
      </c>
      <c r="O37" s="399">
        <f t="shared" si="2"/>
        <v>-1620221.575892501</v>
      </c>
      <c r="P37" s="314"/>
      <c r="Q37" s="493"/>
    </row>
    <row r="38" spans="1:17" s="160" customFormat="1" x14ac:dyDescent="0.25">
      <c r="A38" s="157">
        <f>'B) D RI'!A39</f>
        <v>5456</v>
      </c>
      <c r="B38" s="158" t="str">
        <f>'B) D RI'!B39</f>
        <v>Cudrefin</v>
      </c>
      <c r="C38" s="310">
        <f>'B) D RI'!S39</f>
        <v>59</v>
      </c>
      <c r="D38" s="159">
        <f>'B) D RI'!AA39</f>
        <v>1735</v>
      </c>
      <c r="E38" s="308">
        <f>'D) Ecrêtage'!C37</f>
        <v>57755.250790960446</v>
      </c>
      <c r="F38" s="312">
        <f>'E) Fact soc'!G43</f>
        <v>1426049.3645792538</v>
      </c>
      <c r="G38" s="309">
        <f>'H) Péréquation directe'!I48</f>
        <v>440448.5661438948</v>
      </c>
      <c r="H38" s="312">
        <f>+'I) Dépenses thématiques'!O37</f>
        <v>-339002.92821700295</v>
      </c>
      <c r="I38" s="309">
        <f>'K) Plafonnement aide'!J37</f>
        <v>0</v>
      </c>
      <c r="J38" s="312">
        <f>'J) Plafonnement effort'!I37</f>
        <v>0</v>
      </c>
      <c r="K38" s="309">
        <f>'L) Plafonnement taux'!Q38</f>
        <v>0</v>
      </c>
      <c r="L38" s="307">
        <f t="shared" si="0"/>
        <v>1527495.0025061457</v>
      </c>
      <c r="M38" s="227">
        <f>'M) Police'!O38</f>
        <v>173452.62211081095</v>
      </c>
      <c r="N38" s="227">
        <f t="shared" si="1"/>
        <v>1700947.6246169568</v>
      </c>
      <c r="O38" s="399">
        <f t="shared" si="2"/>
        <v>101445.63792689185</v>
      </c>
      <c r="P38" s="314"/>
      <c r="Q38" s="493"/>
    </row>
    <row r="39" spans="1:17" s="160" customFormat="1" x14ac:dyDescent="0.25">
      <c r="A39" s="157">
        <f>'B) D RI'!A40</f>
        <v>5458</v>
      </c>
      <c r="B39" s="158" t="str">
        <f>'B) D RI'!B40</f>
        <v>Faoug</v>
      </c>
      <c r="C39" s="310">
        <f>'B) D RI'!S40</f>
        <v>66</v>
      </c>
      <c r="D39" s="159">
        <f>'B) D RI'!AA40</f>
        <v>884</v>
      </c>
      <c r="E39" s="308">
        <f>'D) Ecrêtage'!C38</f>
        <v>33143.605656565654</v>
      </c>
      <c r="F39" s="312">
        <f>'E) Fact soc'!G44</f>
        <v>711571.36706510419</v>
      </c>
      <c r="G39" s="309">
        <f>'H) Péréquation directe'!I49</f>
        <v>405184.04217179434</v>
      </c>
      <c r="H39" s="312">
        <f>+'I) Dépenses thématiques'!O38</f>
        <v>-63682.903050690329</v>
      </c>
      <c r="I39" s="309">
        <f>'K) Plafonnement aide'!J38</f>
        <v>0</v>
      </c>
      <c r="J39" s="312">
        <f>'J) Plafonnement effort'!I38</f>
        <v>0</v>
      </c>
      <c r="K39" s="309">
        <f>'L) Plafonnement taux'!Q39</f>
        <v>0</v>
      </c>
      <c r="L39" s="307">
        <f t="shared" si="0"/>
        <v>1053072.5061862082</v>
      </c>
      <c r="M39" s="227">
        <f>'M) Police'!O39</f>
        <v>100262.98740606784</v>
      </c>
      <c r="N39" s="227">
        <f t="shared" si="1"/>
        <v>1153335.493592276</v>
      </c>
      <c r="O39" s="399">
        <f t="shared" si="2"/>
        <v>341501.13912110403</v>
      </c>
      <c r="P39" s="314"/>
      <c r="Q39" s="493"/>
    </row>
    <row r="40" spans="1:17" s="160" customFormat="1" x14ac:dyDescent="0.25">
      <c r="A40" s="157">
        <f>'B) D RI'!A41</f>
        <v>5464</v>
      </c>
      <c r="B40" s="158" t="str">
        <f>'B) D RI'!B41</f>
        <v>Vully-les-Lacs</v>
      </c>
      <c r="C40" s="310">
        <f>'B) D RI'!S41</f>
        <v>67</v>
      </c>
      <c r="D40" s="159">
        <f>'B) D RI'!AA41</f>
        <v>3278</v>
      </c>
      <c r="E40" s="308">
        <f>'D) Ecrêtage'!C39</f>
        <v>112741.2284079602</v>
      </c>
      <c r="F40" s="312">
        <f>'E) Fact soc'!G45</f>
        <v>2037221.4122604332</v>
      </c>
      <c r="G40" s="309">
        <f>'H) Péréquation directe'!I50</f>
        <v>544964.19790280913</v>
      </c>
      <c r="H40" s="312">
        <f>+'I) Dépenses thématiques'!O39</f>
        <v>-507436.55378276884</v>
      </c>
      <c r="I40" s="309">
        <f>'K) Plafonnement aide'!J39</f>
        <v>0</v>
      </c>
      <c r="J40" s="312">
        <f>'J) Plafonnement effort'!I39</f>
        <v>0</v>
      </c>
      <c r="K40" s="309">
        <f>'L) Plafonnement taux'!Q40</f>
        <v>0</v>
      </c>
      <c r="L40" s="307">
        <f t="shared" si="0"/>
        <v>2074749.0563804738</v>
      </c>
      <c r="M40" s="227">
        <f>'M) Police'!O40</f>
        <v>339757.88712836034</v>
      </c>
      <c r="N40" s="227">
        <f t="shared" si="1"/>
        <v>2414506.9435088341</v>
      </c>
      <c r="O40" s="399">
        <f t="shared" si="2"/>
        <v>37527.644120040291</v>
      </c>
      <c r="P40" s="314"/>
      <c r="Q40" s="493"/>
    </row>
    <row r="41" spans="1:17" s="160" customFormat="1" x14ac:dyDescent="0.25">
      <c r="A41" s="157">
        <f>'B) D RI'!A42</f>
        <v>5471</v>
      </c>
      <c r="B41" s="158" t="str">
        <f>'B) D RI'!B42</f>
        <v>Bettens</v>
      </c>
      <c r="C41" s="310">
        <f>'B) D RI'!S42</f>
        <v>70</v>
      </c>
      <c r="D41" s="159">
        <f>'B) D RI'!AA42</f>
        <v>650</v>
      </c>
      <c r="E41" s="308">
        <f>'D) Ecrêtage'!C40</f>
        <v>21708.019984126982</v>
      </c>
      <c r="F41" s="312">
        <f>'E) Fact soc'!G46</f>
        <v>349507.03270198748</v>
      </c>
      <c r="G41" s="309">
        <f>'H) Péréquation directe'!I51</f>
        <v>179529.63099034142</v>
      </c>
      <c r="H41" s="312">
        <f>+'I) Dépenses thématiques'!O40</f>
        <v>-73.508838802048729</v>
      </c>
      <c r="I41" s="309">
        <f>'K) Plafonnement aide'!J40</f>
        <v>0</v>
      </c>
      <c r="J41" s="312">
        <f>'J) Plafonnement effort'!I40</f>
        <v>0</v>
      </c>
      <c r="K41" s="309">
        <f>'L) Plafonnement taux'!Q41</f>
        <v>0</v>
      </c>
      <c r="L41" s="307">
        <f t="shared" si="0"/>
        <v>528963.15485352685</v>
      </c>
      <c r="M41" s="227">
        <f>'M) Police'!O41</f>
        <v>65859.678364082618</v>
      </c>
      <c r="N41" s="227">
        <f t="shared" si="1"/>
        <v>594822.83321760944</v>
      </c>
      <c r="O41" s="399">
        <f t="shared" si="2"/>
        <v>179456.12215153937</v>
      </c>
      <c r="P41" s="314"/>
      <c r="Q41" s="493"/>
    </row>
    <row r="42" spans="1:17" s="160" customFormat="1" x14ac:dyDescent="0.25">
      <c r="A42" s="157">
        <f>'B) D RI'!A43</f>
        <v>5472</v>
      </c>
      <c r="B42" s="158" t="str">
        <f>'B) D RI'!B43</f>
        <v>Bournens</v>
      </c>
      <c r="C42" s="310">
        <f>'B) D RI'!S43</f>
        <v>76</v>
      </c>
      <c r="D42" s="159">
        <f>'B) D RI'!AA43</f>
        <v>422</v>
      </c>
      <c r="E42" s="308">
        <f>'D) Ecrêtage'!C41</f>
        <v>15065.660131578947</v>
      </c>
      <c r="F42" s="312">
        <f>'E) Fact soc'!G47</f>
        <v>251455.84549740131</v>
      </c>
      <c r="G42" s="309">
        <f>'H) Péréquation directe'!I52</f>
        <v>138145.00938628099</v>
      </c>
      <c r="H42" s="312">
        <f>+'I) Dépenses thématiques'!O41</f>
        <v>-4616.4888664145892</v>
      </c>
      <c r="I42" s="309">
        <f>'K) Plafonnement aide'!J41</f>
        <v>0</v>
      </c>
      <c r="J42" s="312">
        <f>'J) Plafonnement effort'!I41</f>
        <v>0</v>
      </c>
      <c r="K42" s="309">
        <f>'L) Plafonnement taux'!Q42</f>
        <v>0</v>
      </c>
      <c r="L42" s="307">
        <f t="shared" si="0"/>
        <v>384984.36601726775</v>
      </c>
      <c r="M42" s="227">
        <f>'M) Police'!O42</f>
        <v>45684.00271077198</v>
      </c>
      <c r="N42" s="227">
        <f t="shared" si="1"/>
        <v>430668.36872803973</v>
      </c>
      <c r="O42" s="399">
        <f t="shared" si="2"/>
        <v>133528.5205198664</v>
      </c>
      <c r="P42" s="314"/>
      <c r="Q42" s="493"/>
    </row>
    <row r="43" spans="1:17" s="160" customFormat="1" x14ac:dyDescent="0.25">
      <c r="A43" s="157">
        <f>'B) D RI'!A44</f>
        <v>5473</v>
      </c>
      <c r="B43" s="158" t="str">
        <f>'B) D RI'!B44</f>
        <v>Boussens</v>
      </c>
      <c r="C43" s="310">
        <f>'B) D RI'!S44</f>
        <v>69</v>
      </c>
      <c r="D43" s="159">
        <f>'B) D RI'!AA44</f>
        <v>993</v>
      </c>
      <c r="E43" s="308">
        <f>'D) Ecrêtage'!C42</f>
        <v>34350.684492753629</v>
      </c>
      <c r="F43" s="312">
        <f>'E) Fact soc'!G48</f>
        <v>550039.27916090284</v>
      </c>
      <c r="G43" s="309">
        <f>'H) Péréquation directe'!I53</f>
        <v>327911.95227203192</v>
      </c>
      <c r="H43" s="312">
        <f>+'I) Dépenses thématiques'!O42</f>
        <v>0</v>
      </c>
      <c r="I43" s="309">
        <f>'K) Plafonnement aide'!J42</f>
        <v>0</v>
      </c>
      <c r="J43" s="312">
        <f>'J) Plafonnement effort'!I42</f>
        <v>0</v>
      </c>
      <c r="K43" s="309">
        <f>'L) Plafonnement taux'!Q43</f>
        <v>0</v>
      </c>
      <c r="L43" s="307">
        <f t="shared" si="0"/>
        <v>877951.23143293476</v>
      </c>
      <c r="M43" s="227">
        <f>'M) Police'!O43</f>
        <v>104360.87565214363</v>
      </c>
      <c r="N43" s="227">
        <f t="shared" si="1"/>
        <v>982312.10708507837</v>
      </c>
      <c r="O43" s="399">
        <f t="shared" si="2"/>
        <v>327911.95227203192</v>
      </c>
      <c r="P43" s="314"/>
      <c r="Q43" s="493"/>
    </row>
    <row r="44" spans="1:17" s="160" customFormat="1" x14ac:dyDescent="0.25">
      <c r="A44" s="157">
        <f>'B) D RI'!A45</f>
        <v>5474</v>
      </c>
      <c r="B44" s="158" t="str">
        <f>'B) D RI'!B45</f>
        <v>La Chaux (Cossonay)</v>
      </c>
      <c r="C44" s="310">
        <f>'B) D RI'!S45</f>
        <v>77</v>
      </c>
      <c r="D44" s="159">
        <f>'B) D RI'!AA45</f>
        <v>395</v>
      </c>
      <c r="E44" s="308">
        <f>'D) Ecrêtage'!C43</f>
        <v>15323.423073593074</v>
      </c>
      <c r="F44" s="312">
        <f>'E) Fact soc'!G49</f>
        <v>276544.39006338036</v>
      </c>
      <c r="G44" s="309">
        <f>'H) Péréquation directe'!I54</f>
        <v>179693.85258297157</v>
      </c>
      <c r="H44" s="312">
        <f>+'I) Dépenses thématiques'!O43</f>
        <v>-149638.05271140952</v>
      </c>
      <c r="I44" s="309">
        <f>'K) Plafonnement aide'!J43</f>
        <v>0</v>
      </c>
      <c r="J44" s="312">
        <f>'J) Plafonnement effort'!I43</f>
        <v>0</v>
      </c>
      <c r="K44" s="309">
        <f>'L) Plafonnement taux'!Q44</f>
        <v>0</v>
      </c>
      <c r="L44" s="307">
        <f t="shared" si="0"/>
        <v>306600.18993494241</v>
      </c>
      <c r="M44" s="227">
        <f>'M) Police'!O44</f>
        <v>47079.948602919118</v>
      </c>
      <c r="N44" s="227">
        <f t="shared" si="1"/>
        <v>353680.13853786152</v>
      </c>
      <c r="O44" s="399">
        <f t="shared" si="2"/>
        <v>30055.799871562049</v>
      </c>
      <c r="P44" s="314"/>
      <c r="Q44" s="493"/>
    </row>
    <row r="45" spans="1:17" s="160" customFormat="1" x14ac:dyDescent="0.25">
      <c r="A45" s="157">
        <f>'B) D RI'!A46</f>
        <v>5475</v>
      </c>
      <c r="B45" s="158" t="str">
        <f>'B) D RI'!B46</f>
        <v>Chavannes-le-Veyron</v>
      </c>
      <c r="C45" s="310">
        <f>'B) D RI'!S46</f>
        <v>77</v>
      </c>
      <c r="D45" s="159">
        <f>'B) D RI'!AA46</f>
        <v>152</v>
      </c>
      <c r="E45" s="308">
        <f>'D) Ecrêtage'!C44</f>
        <v>3045.9346753246755</v>
      </c>
      <c r="F45" s="312">
        <f>'E) Fact soc'!G50</f>
        <v>57568.798438988684</v>
      </c>
      <c r="G45" s="309">
        <f>'H) Péréquation directe'!I55</f>
        <v>-54805.15860551985</v>
      </c>
      <c r="H45" s="312">
        <f>+'I) Dépenses thématiques'!O44</f>
        <v>-18072.651795607409</v>
      </c>
      <c r="I45" s="309">
        <f>'K) Plafonnement aide'!J44</f>
        <v>0</v>
      </c>
      <c r="J45" s="312">
        <f>'J) Plafonnement effort'!I44</f>
        <v>0</v>
      </c>
      <c r="K45" s="309">
        <f>'L) Plafonnement taux'!Q45</f>
        <v>0</v>
      </c>
      <c r="L45" s="307">
        <f t="shared" si="0"/>
        <v>-15309.011962138575</v>
      </c>
      <c r="M45" s="227">
        <f>'M) Police'!O45</f>
        <v>9137.5884983372325</v>
      </c>
      <c r="N45" s="227">
        <f t="shared" si="1"/>
        <v>-6171.4234638013422</v>
      </c>
      <c r="O45" s="399">
        <f t="shared" si="2"/>
        <v>-72877.810401127266</v>
      </c>
      <c r="P45" s="314"/>
      <c r="Q45" s="493"/>
    </row>
    <row r="46" spans="1:17" s="160" customFormat="1" x14ac:dyDescent="0.25">
      <c r="A46" s="157">
        <f>'B) D RI'!A47</f>
        <v>5476</v>
      </c>
      <c r="B46" s="158" t="str">
        <f>'B) D RI'!B47</f>
        <v>Chevilly</v>
      </c>
      <c r="C46" s="310">
        <f>'B) D RI'!S47</f>
        <v>74</v>
      </c>
      <c r="D46" s="159">
        <f>'B) D RI'!AA47</f>
        <v>317</v>
      </c>
      <c r="E46" s="308">
        <f>'D) Ecrêtage'!C45</f>
        <v>12632.544999999996</v>
      </c>
      <c r="F46" s="312">
        <f>'E) Fact soc'!G51</f>
        <v>185586.88402302933</v>
      </c>
      <c r="G46" s="309">
        <f>'H) Péréquation directe'!I56</f>
        <v>162913.12577482525</v>
      </c>
      <c r="H46" s="312">
        <f>+'I) Dépenses thématiques'!O45</f>
        <v>-10518.086891594234</v>
      </c>
      <c r="I46" s="309">
        <f>'K) Plafonnement aide'!J45</f>
        <v>0</v>
      </c>
      <c r="J46" s="312">
        <f>'J) Plafonnement effort'!I45</f>
        <v>0</v>
      </c>
      <c r="K46" s="309">
        <f>'L) Plafonnement taux'!Q46</f>
        <v>0</v>
      </c>
      <c r="L46" s="307">
        <f t="shared" si="0"/>
        <v>337981.92290626036</v>
      </c>
      <c r="M46" s="227">
        <f>'M) Police'!O46</f>
        <v>38724.88730489726</v>
      </c>
      <c r="N46" s="227">
        <f t="shared" si="1"/>
        <v>376706.8102111576</v>
      </c>
      <c r="O46" s="399">
        <f t="shared" si="2"/>
        <v>152395.03888323103</v>
      </c>
      <c r="P46" s="314"/>
      <c r="Q46" s="493"/>
    </row>
    <row r="47" spans="1:17" s="160" customFormat="1" x14ac:dyDescent="0.25">
      <c r="A47" s="157">
        <f>'B) D RI'!A48</f>
        <v>5477</v>
      </c>
      <c r="B47" s="158" t="str">
        <f>'B) D RI'!B48</f>
        <v>Cossonay</v>
      </c>
      <c r="C47" s="310">
        <f>'B) D RI'!S48</f>
        <v>71</v>
      </c>
      <c r="D47" s="159">
        <f>'B) D RI'!AA48</f>
        <v>4045</v>
      </c>
      <c r="E47" s="308">
        <f>'D) Ecrêtage'!C46</f>
        <v>144389.2549295775</v>
      </c>
      <c r="F47" s="312">
        <f>'E) Fact soc'!G52</f>
        <v>2376203.484886907</v>
      </c>
      <c r="G47" s="309">
        <f>'H) Péréquation directe'!I57</f>
        <v>611744.28740440262</v>
      </c>
      <c r="H47" s="312">
        <f>+'I) Dépenses thématiques'!O46</f>
        <v>-546177.97339774342</v>
      </c>
      <c r="I47" s="309">
        <f>'K) Plafonnement aide'!J46</f>
        <v>0</v>
      </c>
      <c r="J47" s="312">
        <f>'J) Plafonnement effort'!I46</f>
        <v>0</v>
      </c>
      <c r="K47" s="309">
        <f>'L) Plafonnement taux'!Q47</f>
        <v>0</v>
      </c>
      <c r="L47" s="307">
        <f t="shared" si="0"/>
        <v>2441769.7988935662</v>
      </c>
      <c r="M47" s="227">
        <f>'M) Police'!O47</f>
        <v>441735.13459331205</v>
      </c>
      <c r="N47" s="227">
        <f t="shared" si="1"/>
        <v>2883504.9334868784</v>
      </c>
      <c r="O47" s="399">
        <f t="shared" si="2"/>
        <v>65566.314006659202</v>
      </c>
      <c r="P47" s="314"/>
      <c r="Q47" s="493"/>
    </row>
    <row r="48" spans="1:17" s="160" customFormat="1" x14ac:dyDescent="0.25">
      <c r="A48" s="157">
        <f>'B) D RI'!A49</f>
        <v>5478</v>
      </c>
      <c r="B48" s="158" t="str">
        <f>'B) D RI'!B49</f>
        <v>Cottens</v>
      </c>
      <c r="C48" s="310">
        <f>'B) D RI'!S49</f>
        <v>74</v>
      </c>
      <c r="D48" s="159">
        <f>'B) D RI'!AA49</f>
        <v>487</v>
      </c>
      <c r="E48" s="308">
        <f>'D) Ecrêtage'!C47</f>
        <v>17566.345945945945</v>
      </c>
      <c r="F48" s="312">
        <f>'E) Fact soc'!G53</f>
        <v>310612.24945534987</v>
      </c>
      <c r="G48" s="309">
        <f>'H) Péréquation directe'!I58</f>
        <v>173541.77599957169</v>
      </c>
      <c r="H48" s="312">
        <f>+'I) Dépenses thématiques'!O47</f>
        <v>-547798.72955636017</v>
      </c>
      <c r="I48" s="309">
        <f>'K) Plafonnement aide'!J47</f>
        <v>0</v>
      </c>
      <c r="J48" s="312">
        <f>'J) Plafonnement effort'!I47</f>
        <v>0</v>
      </c>
      <c r="K48" s="309">
        <f>'L) Plafonnement taux'!Q48</f>
        <v>0</v>
      </c>
      <c r="L48" s="307">
        <f t="shared" si="0"/>
        <v>-63644.704101438634</v>
      </c>
      <c r="M48" s="227">
        <f>'M) Police'!O48</f>
        <v>53905.218551751459</v>
      </c>
      <c r="N48" s="227">
        <f t="shared" si="1"/>
        <v>-9739.4855496871751</v>
      </c>
      <c r="O48" s="399">
        <f t="shared" si="2"/>
        <v>-374256.9535567885</v>
      </c>
      <c r="P48" s="314"/>
      <c r="Q48" s="493"/>
    </row>
    <row r="49" spans="1:17" s="160" customFormat="1" x14ac:dyDescent="0.25">
      <c r="A49" s="157">
        <f>'B) D RI'!A50</f>
        <v>5479</v>
      </c>
      <c r="B49" s="158" t="str">
        <f>'B) D RI'!B50</f>
        <v>Cuarnens</v>
      </c>
      <c r="C49" s="310">
        <f>'B) D RI'!S50</f>
        <v>77</v>
      </c>
      <c r="D49" s="159">
        <f>'B) D RI'!AA50</f>
        <v>486</v>
      </c>
      <c r="E49" s="308">
        <f>'D) Ecrêtage'!C48</f>
        <v>17277.023636363636</v>
      </c>
      <c r="F49" s="312">
        <f>'E) Fact soc'!G54</f>
        <v>278749.01581062691</v>
      </c>
      <c r="G49" s="309">
        <f>'H) Péréquation directe'!I59</f>
        <v>152537.6059195018</v>
      </c>
      <c r="H49" s="312">
        <f>+'I) Dépenses thématiques'!O48</f>
        <v>-302756.35955906921</v>
      </c>
      <c r="I49" s="309">
        <f>'K) Plafonnement aide'!J48</f>
        <v>0</v>
      </c>
      <c r="J49" s="312">
        <f>'J) Plafonnement effort'!I48</f>
        <v>0</v>
      </c>
      <c r="K49" s="309">
        <f>'L) Plafonnement taux'!Q49</f>
        <v>0</v>
      </c>
      <c r="L49" s="307">
        <f t="shared" si="0"/>
        <v>128530.2621710595</v>
      </c>
      <c r="M49" s="227">
        <f>'M) Police'!O49</f>
        <v>52976.555446692495</v>
      </c>
      <c r="N49" s="227">
        <f t="shared" si="1"/>
        <v>181506.81761775201</v>
      </c>
      <c r="O49" s="399">
        <f t="shared" si="2"/>
        <v>-150218.75363956741</v>
      </c>
      <c r="P49" s="314"/>
      <c r="Q49" s="493"/>
    </row>
    <row r="50" spans="1:17" s="160" customFormat="1" x14ac:dyDescent="0.25">
      <c r="A50" s="157">
        <f>'B) D RI'!A51</f>
        <v>5480</v>
      </c>
      <c r="B50" s="158" t="str">
        <f>'B) D RI'!B51</f>
        <v>Daillens</v>
      </c>
      <c r="C50" s="310">
        <f>'B) D RI'!S51</f>
        <v>66</v>
      </c>
      <c r="D50" s="159">
        <f>'B) D RI'!AA51</f>
        <v>1034</v>
      </c>
      <c r="E50" s="308">
        <f>'D) Ecrêtage'!C49</f>
        <v>40568.804343434349</v>
      </c>
      <c r="F50" s="312">
        <f>'E) Fact soc'!G55</f>
        <v>700785.77377627359</v>
      </c>
      <c r="G50" s="309">
        <f>'H) Péréquation directe'!I60</f>
        <v>533353.35770331544</v>
      </c>
      <c r="H50" s="312">
        <f>+'I) Dépenses thématiques'!O49</f>
        <v>-422971.69885239034</v>
      </c>
      <c r="I50" s="309">
        <f>'K) Plafonnement aide'!J49</f>
        <v>0</v>
      </c>
      <c r="J50" s="312">
        <f>'J) Plafonnement effort'!I49</f>
        <v>0</v>
      </c>
      <c r="K50" s="309">
        <f>'L) Plafonnement taux'!Q50</f>
        <v>0</v>
      </c>
      <c r="L50" s="307">
        <f t="shared" si="0"/>
        <v>811167.43262719875</v>
      </c>
      <c r="M50" s="227">
        <f>'M) Police'!O50</f>
        <v>121093.98495198843</v>
      </c>
      <c r="N50" s="227">
        <f t="shared" si="1"/>
        <v>932261.4175791872</v>
      </c>
      <c r="O50" s="399">
        <f t="shared" si="2"/>
        <v>110381.6588509251</v>
      </c>
      <c r="P50" s="314"/>
      <c r="Q50" s="493"/>
    </row>
    <row r="51" spans="1:17" s="160" customFormat="1" x14ac:dyDescent="0.25">
      <c r="A51" s="157">
        <f>'B) D RI'!A52</f>
        <v>5481</v>
      </c>
      <c r="B51" s="158" t="str">
        <f>'B) D RI'!B52</f>
        <v>Dizy</v>
      </c>
      <c r="C51" s="310">
        <f>'B) D RI'!S52</f>
        <v>79</v>
      </c>
      <c r="D51" s="159">
        <f>'B) D RI'!AA52</f>
        <v>234</v>
      </c>
      <c r="E51" s="308">
        <f>'D) Ecrêtage'!C50</f>
        <v>9658.8267088607608</v>
      </c>
      <c r="F51" s="312">
        <f>'E) Fact soc'!G56</f>
        <v>141967.30386319666</v>
      </c>
      <c r="G51" s="309">
        <f>'H) Péréquation directe'!I61</f>
        <v>130030.90696750824</v>
      </c>
      <c r="H51" s="312">
        <f>+'I) Dépenses thématiques'!O50</f>
        <v>-14272.169191387311</v>
      </c>
      <c r="I51" s="309">
        <f>'K) Plafonnement aide'!J50</f>
        <v>0</v>
      </c>
      <c r="J51" s="312">
        <f>'J) Plafonnement effort'!I50</f>
        <v>0</v>
      </c>
      <c r="K51" s="309">
        <f>'L) Plafonnement taux'!Q51</f>
        <v>0</v>
      </c>
      <c r="L51" s="307">
        <f t="shared" si="0"/>
        <v>257726.04163931758</v>
      </c>
      <c r="M51" s="227">
        <f>'M) Police'!O51</f>
        <v>29912.909359457306</v>
      </c>
      <c r="N51" s="227">
        <f t="shared" si="1"/>
        <v>287638.9509987749</v>
      </c>
      <c r="O51" s="399">
        <f t="shared" si="2"/>
        <v>115758.73777612094</v>
      </c>
      <c r="P51" s="314"/>
      <c r="Q51" s="493"/>
    </row>
    <row r="52" spans="1:17" s="160" customFormat="1" x14ac:dyDescent="0.25">
      <c r="A52" s="157">
        <f>'B) D RI'!A53</f>
        <v>5482</v>
      </c>
      <c r="B52" s="158" t="str">
        <f>'B) D RI'!B53</f>
        <v>Eclépens</v>
      </c>
      <c r="C52" s="310">
        <f>'B) D RI'!S53</f>
        <v>46</v>
      </c>
      <c r="D52" s="159">
        <f>'B) D RI'!AA53</f>
        <v>1222</v>
      </c>
      <c r="E52" s="308">
        <f>'D) Ecrêtage'!C51</f>
        <v>60116.695217391316</v>
      </c>
      <c r="F52" s="312">
        <f>'E) Fact soc'!G57</f>
        <v>1061436.451057265</v>
      </c>
      <c r="G52" s="309">
        <f>'H) Péréquation directe'!I62</f>
        <v>999016.5216840331</v>
      </c>
      <c r="H52" s="312">
        <f>+'I) Dépenses thématiques'!O51</f>
        <v>-60825.989342286288</v>
      </c>
      <c r="I52" s="309">
        <f>'K) Plafonnement aide'!J51</f>
        <v>0</v>
      </c>
      <c r="J52" s="312">
        <f>'J) Plafonnement effort'!I51</f>
        <v>0</v>
      </c>
      <c r="K52" s="309">
        <f>'L) Plafonnement taux'!Q52</f>
        <v>0</v>
      </c>
      <c r="L52" s="307">
        <f t="shared" si="0"/>
        <v>1999626.9833990119</v>
      </c>
      <c r="M52" s="227">
        <f>'M) Police'!O52</f>
        <v>171487.27598709569</v>
      </c>
      <c r="N52" s="227">
        <f t="shared" si="1"/>
        <v>2171114.2593861078</v>
      </c>
      <c r="O52" s="399">
        <f t="shared" si="2"/>
        <v>938190.53234174685</v>
      </c>
      <c r="P52" s="314"/>
      <c r="Q52" s="493"/>
    </row>
    <row r="53" spans="1:17" s="160" customFormat="1" x14ac:dyDescent="0.25">
      <c r="A53" s="157">
        <f>'B) D RI'!A54</f>
        <v>5483</v>
      </c>
      <c r="B53" s="158" t="str">
        <f>'B) D RI'!B54</f>
        <v>Ferreyres</v>
      </c>
      <c r="C53" s="310">
        <f>'B) D RI'!S54</f>
        <v>76</v>
      </c>
      <c r="D53" s="159">
        <f>'B) D RI'!AA54</f>
        <v>320</v>
      </c>
      <c r="E53" s="308">
        <f>'D) Ecrêtage'!C52</f>
        <v>11167.980394736842</v>
      </c>
      <c r="F53" s="312">
        <f>'E) Fact soc'!G58</f>
        <v>193994.36435640976</v>
      </c>
      <c r="G53" s="309">
        <f>'H) Péréquation directe'!I63</f>
        <v>93768.885566384444</v>
      </c>
      <c r="H53" s="312">
        <f>+'I) Dépenses thématiques'!O52</f>
        <v>-1924.1061405399323</v>
      </c>
      <c r="I53" s="309">
        <f>'K) Plafonnement aide'!J52</f>
        <v>0</v>
      </c>
      <c r="J53" s="312">
        <f>'J) Plafonnement effort'!I52</f>
        <v>0</v>
      </c>
      <c r="K53" s="309">
        <f>'L) Plafonnement taux'!Q53</f>
        <v>0</v>
      </c>
      <c r="L53" s="307">
        <f t="shared" si="0"/>
        <v>285839.14378225425</v>
      </c>
      <c r="M53" s="227">
        <f>'M) Police'!O53</f>
        <v>34231.261343051927</v>
      </c>
      <c r="N53" s="227">
        <f t="shared" si="1"/>
        <v>320070.40512530616</v>
      </c>
      <c r="O53" s="399">
        <f t="shared" si="2"/>
        <v>91844.779425844506</v>
      </c>
      <c r="P53" s="314"/>
      <c r="Q53" s="493"/>
    </row>
    <row r="54" spans="1:17" s="160" customFormat="1" x14ac:dyDescent="0.25">
      <c r="A54" s="157">
        <f>'B) D RI'!A55</f>
        <v>5484</v>
      </c>
      <c r="B54" s="158" t="str">
        <f>'B) D RI'!B55</f>
        <v>Gollion</v>
      </c>
      <c r="C54" s="310">
        <f>'B) D RI'!S55</f>
        <v>74</v>
      </c>
      <c r="D54" s="159">
        <f>'B) D RI'!AA55</f>
        <v>939</v>
      </c>
      <c r="E54" s="308">
        <f>'D) Ecrêtage'!C53</f>
        <v>33995.543783783789</v>
      </c>
      <c r="F54" s="312">
        <f>'E) Fact soc'!G59</f>
        <v>639892.83112841076</v>
      </c>
      <c r="G54" s="309">
        <f>'H) Péréquation directe'!I64</f>
        <v>339835.75865360675</v>
      </c>
      <c r="H54" s="312">
        <f>+'I) Dépenses thématiques'!O53</f>
        <v>-118298.28714251418</v>
      </c>
      <c r="I54" s="309">
        <f>'K) Plafonnement aide'!J53</f>
        <v>0</v>
      </c>
      <c r="J54" s="312">
        <f>'J) Plafonnement effort'!I53</f>
        <v>0</v>
      </c>
      <c r="K54" s="309">
        <f>'L) Plafonnement taux'!Q54</f>
        <v>0</v>
      </c>
      <c r="L54" s="307">
        <f t="shared" si="0"/>
        <v>861430.30263950338</v>
      </c>
      <c r="M54" s="227">
        <f>'M) Police'!O54</f>
        <v>103573.37815235584</v>
      </c>
      <c r="N54" s="227">
        <f t="shared" si="1"/>
        <v>965003.68079185928</v>
      </c>
      <c r="O54" s="399">
        <f t="shared" si="2"/>
        <v>221537.47151109256</v>
      </c>
      <c r="P54" s="314"/>
      <c r="Q54" s="493"/>
    </row>
    <row r="55" spans="1:17" s="160" customFormat="1" x14ac:dyDescent="0.25">
      <c r="A55" s="157">
        <f>'B) D RI'!A56</f>
        <v>5485</v>
      </c>
      <c r="B55" s="158" t="str">
        <f>'B) D RI'!B56</f>
        <v>Grancy</v>
      </c>
      <c r="C55" s="310">
        <f>'B) D RI'!S56</f>
        <v>70</v>
      </c>
      <c r="D55" s="159">
        <f>'B) D RI'!AA56</f>
        <v>397</v>
      </c>
      <c r="E55" s="308">
        <f>'D) Ecrêtage'!C54</f>
        <v>16957.048857142858</v>
      </c>
      <c r="F55" s="312">
        <f>'E) Fact soc'!G60</f>
        <v>293679.87148010277</v>
      </c>
      <c r="G55" s="309">
        <f>'H) Péréquation directe'!I65</f>
        <v>255399.36667580483</v>
      </c>
      <c r="H55" s="312">
        <f>+'I) Dépenses thématiques'!O54</f>
        <v>-28895.504383582986</v>
      </c>
      <c r="I55" s="309">
        <f>'K) Plafonnement aide'!J54</f>
        <v>0</v>
      </c>
      <c r="J55" s="312">
        <f>'J) Plafonnement effort'!I54</f>
        <v>0</v>
      </c>
      <c r="K55" s="309">
        <f>'L) Plafonnement taux'!Q55</f>
        <v>0</v>
      </c>
      <c r="L55" s="307">
        <f t="shared" si="0"/>
        <v>520183.73377232463</v>
      </c>
      <c r="M55" s="227">
        <f>'M) Police'!O55</f>
        <v>52031.786499760972</v>
      </c>
      <c r="N55" s="227">
        <f t="shared" si="1"/>
        <v>572215.52027208556</v>
      </c>
      <c r="O55" s="399">
        <f t="shared" si="2"/>
        <v>226503.86229222186</v>
      </c>
      <c r="P55" s="314"/>
      <c r="Q55" s="493"/>
    </row>
    <row r="56" spans="1:17" s="160" customFormat="1" x14ac:dyDescent="0.25">
      <c r="A56" s="157">
        <f>'B) D RI'!A57</f>
        <v>5486</v>
      </c>
      <c r="B56" s="158" t="str">
        <f>'B) D RI'!B57</f>
        <v>L'Isle</v>
      </c>
      <c r="C56" s="310">
        <f>'B) D RI'!S57</f>
        <v>76</v>
      </c>
      <c r="D56" s="159">
        <f>'B) D RI'!AA57</f>
        <v>1011</v>
      </c>
      <c r="E56" s="308">
        <f>'D) Ecrêtage'!C55</f>
        <v>35667.648026315794</v>
      </c>
      <c r="F56" s="312">
        <f>'E) Fact soc'!G61</f>
        <v>843730.0911818879</v>
      </c>
      <c r="G56" s="309">
        <f>'H) Péréquation directe'!I66</f>
        <v>310219.96378457505</v>
      </c>
      <c r="H56" s="312">
        <f>+'I) Dépenses thématiques'!O55</f>
        <v>-287257.63168439991</v>
      </c>
      <c r="I56" s="309">
        <f>'K) Plafonnement aide'!J55</f>
        <v>0</v>
      </c>
      <c r="J56" s="312">
        <f>'J) Plafonnement effort'!I55</f>
        <v>0</v>
      </c>
      <c r="K56" s="309">
        <f>'L) Plafonnement taux'!Q56</f>
        <v>0</v>
      </c>
      <c r="L56" s="307">
        <f t="shared" si="0"/>
        <v>866692.4232820631</v>
      </c>
      <c r="M56" s="227">
        <f>'M) Police'!O56</f>
        <v>108847.08487783969</v>
      </c>
      <c r="N56" s="227">
        <f t="shared" si="1"/>
        <v>975539.50815990276</v>
      </c>
      <c r="O56" s="399">
        <f t="shared" si="2"/>
        <v>22962.332100175146</v>
      </c>
      <c r="P56" s="314"/>
      <c r="Q56" s="493"/>
    </row>
    <row r="57" spans="1:17" s="160" customFormat="1" x14ac:dyDescent="0.25">
      <c r="A57" s="157">
        <f>'B) D RI'!A58</f>
        <v>5487</v>
      </c>
      <c r="B57" s="158" t="str">
        <f>'B) D RI'!B58</f>
        <v>Lussery-Villars</v>
      </c>
      <c r="C57" s="310">
        <f>'B) D RI'!S58</f>
        <v>75</v>
      </c>
      <c r="D57" s="159">
        <f>'B) D RI'!AA58</f>
        <v>459</v>
      </c>
      <c r="E57" s="308">
        <f>'D) Ecrêtage'!C56</f>
        <v>15504.095066666665</v>
      </c>
      <c r="F57" s="312">
        <f>'E) Fact soc'!G62</f>
        <v>262880.14328380494</v>
      </c>
      <c r="G57" s="309">
        <f>'H) Péréquation directe'!I67</f>
        <v>116082.11301058633</v>
      </c>
      <c r="H57" s="312">
        <f>+'I) Dépenses thématiques'!O56</f>
        <v>-40706.649299969838</v>
      </c>
      <c r="I57" s="309">
        <f>'K) Plafonnement aide'!J56</f>
        <v>0</v>
      </c>
      <c r="J57" s="312">
        <f>'J) Plafonnement effort'!I56</f>
        <v>0</v>
      </c>
      <c r="K57" s="309">
        <f>'L) Plafonnement taux'!Q57</f>
        <v>0</v>
      </c>
      <c r="L57" s="307">
        <f t="shared" si="0"/>
        <v>338255.6069944214</v>
      </c>
      <c r="M57" s="227">
        <f>'M) Police'!O57</f>
        <v>47427.760819119787</v>
      </c>
      <c r="N57" s="227">
        <f t="shared" si="1"/>
        <v>385683.3678135412</v>
      </c>
      <c r="O57" s="399">
        <f t="shared" si="2"/>
        <v>75375.463710616488</v>
      </c>
      <c r="P57" s="314"/>
      <c r="Q57" s="493"/>
    </row>
    <row r="58" spans="1:17" s="160" customFormat="1" x14ac:dyDescent="0.25">
      <c r="A58" s="157">
        <f>'B) D RI'!A59</f>
        <v>5488</v>
      </c>
      <c r="B58" s="158" t="str">
        <f>'B) D RI'!B59</f>
        <v>Mauraz</v>
      </c>
      <c r="C58" s="310">
        <f>'B) D RI'!S59</f>
        <v>78</v>
      </c>
      <c r="D58" s="159">
        <f>'B) D RI'!AA59</f>
        <v>57</v>
      </c>
      <c r="E58" s="308">
        <f>'D) Ecrêtage'!C57</f>
        <v>1751.8621794871794</v>
      </c>
      <c r="F58" s="312">
        <f>'E) Fact soc'!G63</f>
        <v>25736.907577120735</v>
      </c>
      <c r="G58" s="309">
        <f>'H) Péréquation directe'!I68</f>
        <v>5382.9695746357283</v>
      </c>
      <c r="H58" s="312">
        <f>+'I) Dépenses thématiques'!O57</f>
        <v>0</v>
      </c>
      <c r="I58" s="309">
        <f>'K) Plafonnement aide'!J57</f>
        <v>0</v>
      </c>
      <c r="J58" s="312">
        <f>'J) Plafonnement effort'!I57</f>
        <v>0</v>
      </c>
      <c r="K58" s="309">
        <f>'L) Plafonnement taux'!Q58</f>
        <v>0</v>
      </c>
      <c r="L58" s="307">
        <f t="shared" si="0"/>
        <v>31119.877151756464</v>
      </c>
      <c r="M58" s="227">
        <f>'M) Police'!O58</f>
        <v>5376.2879745812279</v>
      </c>
      <c r="N58" s="227">
        <f t="shared" si="1"/>
        <v>36496.165126337692</v>
      </c>
      <c r="O58" s="399">
        <f t="shared" si="2"/>
        <v>5382.9695746357283</v>
      </c>
      <c r="P58" s="314"/>
      <c r="Q58" s="493"/>
    </row>
    <row r="59" spans="1:17" s="160" customFormat="1" x14ac:dyDescent="0.25">
      <c r="A59" s="157">
        <f>'B) D RI'!A60</f>
        <v>5489</v>
      </c>
      <c r="B59" s="158" t="str">
        <f>'B) D RI'!B60</f>
        <v>Mex</v>
      </c>
      <c r="C59" s="310">
        <f>'B) D RI'!S60</f>
        <v>61</v>
      </c>
      <c r="D59" s="159">
        <f>'B) D RI'!AA60</f>
        <v>718</v>
      </c>
      <c r="E59" s="308">
        <f>'D) Ecrêtage'!C58</f>
        <v>62953.268196721314</v>
      </c>
      <c r="F59" s="312">
        <f>'E) Fact soc'!G64</f>
        <v>1570361.6297983322</v>
      </c>
      <c r="G59" s="309">
        <f>'H) Péréquation directe'!I69</f>
        <v>1169285.1194621297</v>
      </c>
      <c r="H59" s="312">
        <f>+'I) Dépenses thématiques'!O58</f>
        <v>0</v>
      </c>
      <c r="I59" s="309">
        <f>'K) Plafonnement aide'!J58</f>
        <v>0</v>
      </c>
      <c r="J59" s="312">
        <f>'J) Plafonnement effort'!I58</f>
        <v>0</v>
      </c>
      <c r="K59" s="309">
        <f>'L) Plafonnement taux'!Q59</f>
        <v>0</v>
      </c>
      <c r="L59" s="307">
        <f t="shared" si="0"/>
        <v>2739646.7492604619</v>
      </c>
      <c r="M59" s="227">
        <f>'M) Police'!O59</f>
        <v>137796.69073404558</v>
      </c>
      <c r="N59" s="227">
        <f t="shared" si="1"/>
        <v>2877443.4399945075</v>
      </c>
      <c r="O59" s="399">
        <f t="shared" si="2"/>
        <v>1169285.1194621297</v>
      </c>
      <c r="P59" s="314"/>
      <c r="Q59" s="493"/>
    </row>
    <row r="60" spans="1:17" s="160" customFormat="1" x14ac:dyDescent="0.25">
      <c r="A60" s="157">
        <f>'B) D RI'!A61</f>
        <v>5490</v>
      </c>
      <c r="B60" s="158" t="str">
        <f>'B) D RI'!B61</f>
        <v>Moiry</v>
      </c>
      <c r="C60" s="310">
        <f>'B) D RI'!S61</f>
        <v>78.5</v>
      </c>
      <c r="D60" s="159">
        <f>'B) D RI'!AA61</f>
        <v>310</v>
      </c>
      <c r="E60" s="308">
        <f>'D) Ecrêtage'!C59</f>
        <v>8346.3239490445867</v>
      </c>
      <c r="F60" s="312">
        <f>'E) Fact soc'!G65</f>
        <v>131878.4508339646</v>
      </c>
      <c r="G60" s="309">
        <f>'H) Péréquation directe'!I70</f>
        <v>-24756.858019096922</v>
      </c>
      <c r="H60" s="312">
        <f>+'I) Dépenses thématiques'!O59</f>
        <v>-63400.480179210026</v>
      </c>
      <c r="I60" s="309">
        <f>'K) Plafonnement aide'!J59</f>
        <v>0</v>
      </c>
      <c r="J60" s="312">
        <f>'J) Plafonnement effort'!I59</f>
        <v>0</v>
      </c>
      <c r="K60" s="309">
        <f>'L) Plafonnement taux'!Q60</f>
        <v>0</v>
      </c>
      <c r="L60" s="307">
        <f t="shared" si="0"/>
        <v>43721.11263565765</v>
      </c>
      <c r="M60" s="227">
        <f>'M) Police'!O60</f>
        <v>25495.138592482675</v>
      </c>
      <c r="N60" s="227">
        <f t="shared" si="1"/>
        <v>69216.251228140318</v>
      </c>
      <c r="O60" s="399">
        <f t="shared" si="2"/>
        <v>-88157.338198306941</v>
      </c>
      <c r="P60" s="314"/>
      <c r="Q60" s="493"/>
    </row>
    <row r="61" spans="1:17" s="160" customFormat="1" x14ac:dyDescent="0.25">
      <c r="A61" s="157">
        <f>'B) D RI'!A62</f>
        <v>5491</v>
      </c>
      <c r="B61" s="158" t="str">
        <f>'B) D RI'!B62</f>
        <v>Mont-la-Ville</v>
      </c>
      <c r="C61" s="310">
        <f>'B) D RI'!S62</f>
        <v>76</v>
      </c>
      <c r="D61" s="159">
        <f>'B) D RI'!AA62</f>
        <v>478</v>
      </c>
      <c r="E61" s="308">
        <f>'D) Ecrêtage'!C60</f>
        <v>14105.600657894736</v>
      </c>
      <c r="F61" s="312">
        <f>'E) Fact soc'!G66</f>
        <v>220551.92219936699</v>
      </c>
      <c r="G61" s="309">
        <f>'H) Péréquation directe'!I71</f>
        <v>29593.553441428958</v>
      </c>
      <c r="H61" s="312">
        <f>+'I) Dépenses thématiques'!O60</f>
        <v>-96842.485920311738</v>
      </c>
      <c r="I61" s="309">
        <f>'K) Plafonnement aide'!J60</f>
        <v>0</v>
      </c>
      <c r="J61" s="312">
        <f>'J) Plafonnement effort'!I60</f>
        <v>0</v>
      </c>
      <c r="K61" s="309">
        <f>'L) Plafonnement taux'!Q61</f>
        <v>0</v>
      </c>
      <c r="L61" s="307">
        <f t="shared" si="0"/>
        <v>153302.98972048421</v>
      </c>
      <c r="M61" s="227">
        <f>'M) Police'!O61</f>
        <v>42859.980250862282</v>
      </c>
      <c r="N61" s="227">
        <f t="shared" si="1"/>
        <v>196162.96997134649</v>
      </c>
      <c r="O61" s="399">
        <f t="shared" si="2"/>
        <v>-67248.93247888278</v>
      </c>
      <c r="P61" s="314"/>
      <c r="Q61" s="493"/>
    </row>
    <row r="62" spans="1:17" s="160" customFormat="1" x14ac:dyDescent="0.25">
      <c r="A62" s="157">
        <f>'B) D RI'!A63</f>
        <v>5492</v>
      </c>
      <c r="B62" s="158" t="str">
        <f>'B) D RI'!B63</f>
        <v>Montricher</v>
      </c>
      <c r="C62" s="310">
        <f>'B) D RI'!S63</f>
        <v>64</v>
      </c>
      <c r="D62" s="159">
        <f>'B) D RI'!AA63</f>
        <v>964</v>
      </c>
      <c r="E62" s="308">
        <f>'D) Ecrêtage'!C61</f>
        <v>190092.85661458335</v>
      </c>
      <c r="F62" s="312">
        <f>'E) Fact soc'!G67</f>
        <v>7340039.4074617838</v>
      </c>
      <c r="G62" s="309">
        <f>'H) Péréquation directe'!I72</f>
        <v>3682022.888544241</v>
      </c>
      <c r="H62" s="312">
        <f>+'I) Dépenses thématiques'!O61</f>
        <v>-142997.07460096962</v>
      </c>
      <c r="I62" s="309">
        <f>'K) Plafonnement aide'!J61</f>
        <v>0</v>
      </c>
      <c r="J62" s="312">
        <f>'J) Plafonnement effort'!I61</f>
        <v>-2324886.6737488047</v>
      </c>
      <c r="K62" s="309">
        <f>'L) Plafonnement taux'!Q62</f>
        <v>0</v>
      </c>
      <c r="L62" s="307">
        <f t="shared" ref="L62:L116" si="3">F62+G62+H62+I62+J62+K62</f>
        <v>8554178.5476562493</v>
      </c>
      <c r="M62" s="227">
        <f>'M) Police'!O62</f>
        <v>310872.38911101379</v>
      </c>
      <c r="N62" s="227">
        <f t="shared" si="1"/>
        <v>8865050.9367672633</v>
      </c>
      <c r="O62" s="399">
        <f t="shared" si="2"/>
        <v>1214139.1401944668</v>
      </c>
      <c r="P62" s="314"/>
      <c r="Q62" s="493"/>
    </row>
    <row r="63" spans="1:17" s="160" customFormat="1" x14ac:dyDescent="0.25">
      <c r="A63" s="157">
        <f>'B) D RI'!A64</f>
        <v>5493</v>
      </c>
      <c r="B63" s="158" t="str">
        <f>'B) D RI'!B64</f>
        <v>Orny</v>
      </c>
      <c r="C63" s="310">
        <f>'B) D RI'!S64</f>
        <v>73</v>
      </c>
      <c r="D63" s="159">
        <f>'B) D RI'!AA64</f>
        <v>416</v>
      </c>
      <c r="E63" s="308">
        <f>'D) Ecrêtage'!C62</f>
        <v>10669.457639620656</v>
      </c>
      <c r="F63" s="312">
        <f>'E) Fact soc'!G68</f>
        <v>242137.76610591757</v>
      </c>
      <c r="G63" s="309">
        <f>'H) Péréquation directe'!I73</f>
        <v>-27314.983091273927</v>
      </c>
      <c r="H63" s="312">
        <f>+'I) Dépenses thématiques'!O62</f>
        <v>0</v>
      </c>
      <c r="I63" s="309">
        <f>'K) Plafonnement aide'!J62</f>
        <v>0</v>
      </c>
      <c r="J63" s="312">
        <f>'J) Plafonnement effort'!I62</f>
        <v>0</v>
      </c>
      <c r="K63" s="309">
        <f>'L) Plafonnement taux'!Q63</f>
        <v>0</v>
      </c>
      <c r="L63" s="307">
        <f t="shared" si="3"/>
        <v>214822.78301464365</v>
      </c>
      <c r="M63" s="227">
        <f>'M) Police'!O63</f>
        <v>32556.187961264572</v>
      </c>
      <c r="N63" s="227">
        <f t="shared" si="1"/>
        <v>247378.97097590822</v>
      </c>
      <c r="O63" s="399">
        <f t="shared" si="2"/>
        <v>-27314.983091273927</v>
      </c>
      <c r="P63" s="314"/>
      <c r="Q63" s="493"/>
    </row>
    <row r="64" spans="1:17" s="160" customFormat="1" x14ac:dyDescent="0.25">
      <c r="A64" s="157">
        <f>'B) D RI'!A65</f>
        <v>5494</v>
      </c>
      <c r="B64" s="158" t="str">
        <f>'B) D RI'!B65</f>
        <v>Pampigny</v>
      </c>
      <c r="C64" s="310">
        <f>'B) D RI'!S65</f>
        <v>75</v>
      </c>
      <c r="D64" s="159">
        <f>'B) D RI'!AA65</f>
        <v>1103</v>
      </c>
      <c r="E64" s="308">
        <f>'D) Ecrêtage'!C63</f>
        <v>37008.943269841264</v>
      </c>
      <c r="F64" s="312">
        <f>'E) Fact soc'!G69</f>
        <v>642545.25952480326</v>
      </c>
      <c r="G64" s="309">
        <f>'H) Péréquation directe'!I74</f>
        <v>245167.15715203679</v>
      </c>
      <c r="H64" s="312">
        <f>+'I) Dépenses thématiques'!O63</f>
        <v>-234631.15890875048</v>
      </c>
      <c r="I64" s="309">
        <f>'K) Plafonnement aide'!J63</f>
        <v>0</v>
      </c>
      <c r="J64" s="312">
        <f>'J) Plafonnement effort'!I63</f>
        <v>0</v>
      </c>
      <c r="K64" s="309">
        <f>'L) Plafonnement taux'!Q64</f>
        <v>0</v>
      </c>
      <c r="L64" s="307">
        <f t="shared" si="3"/>
        <v>653081.25776808953</v>
      </c>
      <c r="M64" s="227">
        <f>'M) Police'!O64</f>
        <v>112420.34474181951</v>
      </c>
      <c r="N64" s="227">
        <f t="shared" si="1"/>
        <v>765501.60250990908</v>
      </c>
      <c r="O64" s="399">
        <f t="shared" si="2"/>
        <v>10535.998243286303</v>
      </c>
      <c r="P64" s="314"/>
      <c r="Q64" s="493"/>
    </row>
    <row r="65" spans="1:17" s="160" customFormat="1" x14ac:dyDescent="0.25">
      <c r="A65" s="157">
        <f>'B) D RI'!A66</f>
        <v>5495</v>
      </c>
      <c r="B65" s="158" t="str">
        <f>'B) D RI'!B66</f>
        <v>Penthalaz</v>
      </c>
      <c r="C65" s="310">
        <f>'B) D RI'!S66</f>
        <v>74</v>
      </c>
      <c r="D65" s="159">
        <f>'B) D RI'!AA66</f>
        <v>3257</v>
      </c>
      <c r="E65" s="308">
        <f>'D) Ecrêtage'!C64</f>
        <v>95334.294459459459</v>
      </c>
      <c r="F65" s="312">
        <f>'E) Fact soc'!G70</f>
        <v>1618766.1317854149</v>
      </c>
      <c r="G65" s="309">
        <f>'H) Péréquation directe'!I75</f>
        <v>-311786.95478275279</v>
      </c>
      <c r="H65" s="312">
        <f>+'I) Dépenses thématiques'!O64</f>
        <v>-574835.29027520993</v>
      </c>
      <c r="I65" s="309">
        <f>'K) Plafonnement aide'!J64</f>
        <v>0</v>
      </c>
      <c r="J65" s="312">
        <f>'J) Plafonnement effort'!I64</f>
        <v>0</v>
      </c>
      <c r="K65" s="309">
        <f>'L) Plafonnement taux'!Q65</f>
        <v>0</v>
      </c>
      <c r="L65" s="307">
        <f t="shared" si="3"/>
        <v>732143.88672745216</v>
      </c>
      <c r="M65" s="227">
        <f>'M) Police'!O65</f>
        <v>289338.14340326877</v>
      </c>
      <c r="N65" s="227">
        <f t="shared" si="1"/>
        <v>1021482.0301307209</v>
      </c>
      <c r="O65" s="399">
        <f t="shared" si="2"/>
        <v>-886622.24505796272</v>
      </c>
      <c r="P65" s="314"/>
      <c r="Q65" s="493"/>
    </row>
    <row r="66" spans="1:17" s="160" customFormat="1" x14ac:dyDescent="0.25">
      <c r="A66" s="157">
        <f>'B) D RI'!A67</f>
        <v>5496</v>
      </c>
      <c r="B66" s="158" t="str">
        <f>'B) D RI'!B67</f>
        <v>Penthaz</v>
      </c>
      <c r="C66" s="310">
        <f>'B) D RI'!S67</f>
        <v>71</v>
      </c>
      <c r="D66" s="159">
        <f>'B) D RI'!AA67</f>
        <v>1760</v>
      </c>
      <c r="E66" s="308">
        <f>'D) Ecrêtage'!C65</f>
        <v>59470.759859154932</v>
      </c>
      <c r="F66" s="312">
        <f>'E) Fact soc'!G71</f>
        <v>1091070.6673668462</v>
      </c>
      <c r="G66" s="309">
        <f>'H) Péréquation directe'!I76</f>
        <v>328423.74899712286</v>
      </c>
      <c r="H66" s="312">
        <f>+'I) Dépenses thématiques'!O65</f>
        <v>-258601.56221357977</v>
      </c>
      <c r="I66" s="309">
        <f>'K) Plafonnement aide'!J65</f>
        <v>0</v>
      </c>
      <c r="J66" s="312">
        <f>'J) Plafonnement effort'!I65</f>
        <v>0</v>
      </c>
      <c r="K66" s="309">
        <f>'L) Plafonnement taux'!Q66</f>
        <v>0</v>
      </c>
      <c r="L66" s="307">
        <f t="shared" si="3"/>
        <v>1160892.8541503893</v>
      </c>
      <c r="M66" s="227">
        <f>'M) Police'!O66</f>
        <v>180347.6440827219</v>
      </c>
      <c r="N66" s="227">
        <f t="shared" si="1"/>
        <v>1341240.4982331111</v>
      </c>
      <c r="O66" s="399">
        <f t="shared" si="2"/>
        <v>69822.186783543089</v>
      </c>
      <c r="P66" s="314"/>
      <c r="Q66" s="493"/>
    </row>
    <row r="67" spans="1:17" s="160" customFormat="1" x14ac:dyDescent="0.25">
      <c r="A67" s="157">
        <f>'B) D RI'!A68</f>
        <v>5497</v>
      </c>
      <c r="B67" s="158" t="str">
        <f>'B) D RI'!B68</f>
        <v>Pompaples</v>
      </c>
      <c r="C67" s="310">
        <f>'B) D RI'!S68</f>
        <v>66</v>
      </c>
      <c r="D67" s="159">
        <f>'B) D RI'!AA68</f>
        <v>851</v>
      </c>
      <c r="E67" s="308">
        <f>'D) Ecrêtage'!C66</f>
        <v>22300.858484848486</v>
      </c>
      <c r="F67" s="312">
        <f>'E) Fact soc'!G72</f>
        <v>447943.86973845272</v>
      </c>
      <c r="G67" s="309">
        <f>'H) Péréquation directe'!I77</f>
        <v>32216.555282192072</v>
      </c>
      <c r="H67" s="312">
        <f>+'I) Dépenses thématiques'!O66</f>
        <v>-174819.86734168441</v>
      </c>
      <c r="I67" s="309">
        <f>'K) Plafonnement aide'!J66</f>
        <v>0</v>
      </c>
      <c r="J67" s="312">
        <f>'J) Plafonnement effort'!I66</f>
        <v>0</v>
      </c>
      <c r="K67" s="309">
        <f>'L) Plafonnement taux'!Q67</f>
        <v>0</v>
      </c>
      <c r="L67" s="307">
        <f t="shared" si="3"/>
        <v>305340.55767896038</v>
      </c>
      <c r="M67" s="227">
        <f>'M) Police'!O67</f>
        <v>67896.867812745681</v>
      </c>
      <c r="N67" s="227">
        <f t="shared" si="1"/>
        <v>373237.42549170606</v>
      </c>
      <c r="O67" s="399">
        <f t="shared" si="2"/>
        <v>-142603.31205949234</v>
      </c>
      <c r="P67" s="314"/>
      <c r="Q67" s="493"/>
    </row>
    <row r="68" spans="1:17" s="160" customFormat="1" x14ac:dyDescent="0.25">
      <c r="A68" s="157">
        <f>'B) D RI'!A69</f>
        <v>5498</v>
      </c>
      <c r="B68" s="158" t="str">
        <f>'B) D RI'!B69</f>
        <v>La Sarraz</v>
      </c>
      <c r="C68" s="310">
        <f>'B) D RI'!S69</f>
        <v>66</v>
      </c>
      <c r="D68" s="159">
        <f>'B) D RI'!AA69</f>
        <v>2651</v>
      </c>
      <c r="E68" s="308">
        <f>'D) Ecrêtage'!C67</f>
        <v>77649.398333333345</v>
      </c>
      <c r="F68" s="312">
        <f>'E) Fact soc'!G73</f>
        <v>1422827.2713115686</v>
      </c>
      <c r="G68" s="309">
        <f>'H) Péréquation directe'!I78</f>
        <v>31704.083587950794</v>
      </c>
      <c r="H68" s="312">
        <f>+'I) Dépenses thématiques'!O67</f>
        <v>-566467.14005341416</v>
      </c>
      <c r="I68" s="309">
        <f>'K) Plafonnement aide'!J67</f>
        <v>0</v>
      </c>
      <c r="J68" s="312">
        <f>'J) Plafonnement effort'!I67</f>
        <v>0</v>
      </c>
      <c r="K68" s="309">
        <f>'L) Plafonnement taux'!Q68</f>
        <v>0</v>
      </c>
      <c r="L68" s="307">
        <f t="shared" si="3"/>
        <v>888064.2148461052</v>
      </c>
      <c r="M68" s="227">
        <f>'M) Police'!O68</f>
        <v>235517.5014542609</v>
      </c>
      <c r="N68" s="227">
        <f t="shared" si="1"/>
        <v>1123581.716300366</v>
      </c>
      <c r="O68" s="399">
        <f t="shared" si="2"/>
        <v>-534763.05646546336</v>
      </c>
      <c r="P68" s="314"/>
      <c r="Q68" s="493"/>
    </row>
    <row r="69" spans="1:17" s="160" customFormat="1" x14ac:dyDescent="0.25">
      <c r="A69" s="157">
        <f>'B) D RI'!A70</f>
        <v>5499</v>
      </c>
      <c r="B69" s="158" t="str">
        <f>'B) D RI'!B70</f>
        <v>Senarclens</v>
      </c>
      <c r="C69" s="310">
        <f>'B) D RI'!S70</f>
        <v>68.5</v>
      </c>
      <c r="D69" s="159">
        <f>'B) D RI'!AA70</f>
        <v>477</v>
      </c>
      <c r="E69" s="308">
        <f>'D) Ecrêtage'!C68</f>
        <v>19517.373430656935</v>
      </c>
      <c r="F69" s="312">
        <f>'E) Fact soc'!G74</f>
        <v>346859.86367175484</v>
      </c>
      <c r="G69" s="309">
        <f>'H) Péréquation directe'!I79</f>
        <v>275539.76342453941</v>
      </c>
      <c r="H69" s="312">
        <f>+'I) Dépenses thématiques'!O68</f>
        <v>0</v>
      </c>
      <c r="I69" s="309">
        <f>'K) Plafonnement aide'!J68</f>
        <v>0</v>
      </c>
      <c r="J69" s="312">
        <f>'J) Plafonnement effort'!I68</f>
        <v>0</v>
      </c>
      <c r="K69" s="309">
        <f>'L) Plafonnement taux'!Q69</f>
        <v>0</v>
      </c>
      <c r="L69" s="307">
        <f t="shared" si="3"/>
        <v>622399.62709629419</v>
      </c>
      <c r="M69" s="227">
        <f>'M) Police'!O69</f>
        <v>59544.337492145503</v>
      </c>
      <c r="N69" s="227">
        <f t="shared" si="1"/>
        <v>681943.96458843967</v>
      </c>
      <c r="O69" s="399">
        <f t="shared" si="2"/>
        <v>275539.76342453941</v>
      </c>
      <c r="P69" s="314"/>
      <c r="Q69" s="493"/>
    </row>
    <row r="70" spans="1:17" s="160" customFormat="1" x14ac:dyDescent="0.25">
      <c r="A70" s="157">
        <f>'B) D RI'!A71</f>
        <v>5500</v>
      </c>
      <c r="B70" s="158" t="str">
        <f>'B) D RI'!B71</f>
        <v>Sévery</v>
      </c>
      <c r="C70" s="310">
        <f>'B) D RI'!S71</f>
        <v>75</v>
      </c>
      <c r="D70" s="159">
        <f>'B) D RI'!AA71</f>
        <v>227</v>
      </c>
      <c r="E70" s="308">
        <f>'D) Ecrêtage'!C69</f>
        <v>6999.0248888888891</v>
      </c>
      <c r="F70" s="312">
        <f>'E) Fact soc'!G75</f>
        <v>118721.49939178079</v>
      </c>
      <c r="G70" s="309">
        <f>'H) Péréquation directe'!I80</f>
        <v>29142.40588487497</v>
      </c>
      <c r="H70" s="312">
        <f>+'I) Dépenses thématiques'!O69</f>
        <v>-17795.434734293071</v>
      </c>
      <c r="I70" s="309">
        <f>'K) Plafonnement aide'!J69</f>
        <v>0</v>
      </c>
      <c r="J70" s="312">
        <f>'J) Plafonnement effort'!I69</f>
        <v>0</v>
      </c>
      <c r="K70" s="309">
        <f>'L) Plafonnement taux'!Q70</f>
        <v>0</v>
      </c>
      <c r="L70" s="307">
        <f t="shared" si="3"/>
        <v>130068.47054236267</v>
      </c>
      <c r="M70" s="227">
        <f>'M) Police'!O70</f>
        <v>21211.469819505037</v>
      </c>
      <c r="N70" s="227">
        <f t="shared" si="1"/>
        <v>151279.94036186772</v>
      </c>
      <c r="O70" s="399">
        <f t="shared" si="2"/>
        <v>11346.9711505819</v>
      </c>
      <c r="P70" s="314"/>
      <c r="Q70" s="493"/>
    </row>
    <row r="71" spans="1:17" s="160" customFormat="1" x14ac:dyDescent="0.25">
      <c r="A71" s="157">
        <f>'B) D RI'!A72</f>
        <v>5501</v>
      </c>
      <c r="B71" s="158" t="str">
        <f>'B) D RI'!B72</f>
        <v>Sullens</v>
      </c>
      <c r="C71" s="310">
        <f>'B) D RI'!S72</f>
        <v>70</v>
      </c>
      <c r="D71" s="159">
        <f>'B) D RI'!AA72</f>
        <v>1035</v>
      </c>
      <c r="E71" s="308">
        <f>'D) Ecrêtage'!C70</f>
        <v>40473.718571428566</v>
      </c>
      <c r="F71" s="312">
        <f>'E) Fact soc'!G76</f>
        <v>684993.50740045612</v>
      </c>
      <c r="G71" s="309">
        <f>'H) Péréquation directe'!I81</f>
        <v>510768.1589611721</v>
      </c>
      <c r="H71" s="312">
        <f>+'I) Dépenses thématiques'!O70</f>
        <v>-6250.386231080327</v>
      </c>
      <c r="I71" s="309">
        <f>'K) Plafonnement aide'!J70</f>
        <v>0</v>
      </c>
      <c r="J71" s="312">
        <f>'J) Plafonnement effort'!I70</f>
        <v>0</v>
      </c>
      <c r="K71" s="309">
        <f>'L) Plafonnement taux'!Q71</f>
        <v>0</v>
      </c>
      <c r="L71" s="307">
        <f t="shared" si="3"/>
        <v>1189511.2801305477</v>
      </c>
      <c r="M71" s="227">
        <f>'M) Police'!O71</f>
        <v>122864.16104614985</v>
      </c>
      <c r="N71" s="227">
        <f t="shared" ref="N71:N134" si="4">L71+M71</f>
        <v>1312375.4411766976</v>
      </c>
      <c r="O71" s="399">
        <f t="shared" ref="O71:O134" si="5">SUM(G71:K71)</f>
        <v>504517.77273009176</v>
      </c>
      <c r="P71" s="314"/>
      <c r="Q71" s="493"/>
    </row>
    <row r="72" spans="1:17" s="160" customFormat="1" x14ac:dyDescent="0.25">
      <c r="A72" s="157">
        <f>'B) D RI'!A73</f>
        <v>5503</v>
      </c>
      <c r="B72" s="158" t="str">
        <f>'B) D RI'!B73</f>
        <v>Vufflens-la-Ville</v>
      </c>
      <c r="C72" s="310">
        <f>'B) D RI'!S73</f>
        <v>67</v>
      </c>
      <c r="D72" s="159">
        <f>'B) D RI'!AA73</f>
        <v>1295</v>
      </c>
      <c r="E72" s="308">
        <f>'D) Ecrêtage'!C71</f>
        <v>87926.416417910455</v>
      </c>
      <c r="F72" s="312">
        <f>'E) Fact soc'!G77</f>
        <v>1957398.4933915893</v>
      </c>
      <c r="G72" s="309">
        <f>'H) Péréquation directe'!I82</f>
        <v>1529718.4967452257</v>
      </c>
      <c r="H72" s="312">
        <f>+'I) Dépenses thématiques'!O71</f>
        <v>0</v>
      </c>
      <c r="I72" s="309">
        <f>'K) Plafonnement aide'!J71</f>
        <v>0</v>
      </c>
      <c r="J72" s="312">
        <f>'J) Plafonnement effort'!I71</f>
        <v>0</v>
      </c>
      <c r="K72" s="309">
        <f>'L) Plafonnement taux'!Q72</f>
        <v>0</v>
      </c>
      <c r="L72" s="307">
        <f t="shared" si="3"/>
        <v>3487116.9901368152</v>
      </c>
      <c r="M72" s="227">
        <f>'M) Police'!O72</f>
        <v>217991.27231669193</v>
      </c>
      <c r="N72" s="227">
        <f t="shared" si="4"/>
        <v>3705108.2624535072</v>
      </c>
      <c r="O72" s="399">
        <f t="shared" si="5"/>
        <v>1529718.4967452257</v>
      </c>
      <c r="P72" s="314"/>
      <c r="Q72" s="493"/>
    </row>
    <row r="73" spans="1:17" s="160" customFormat="1" x14ac:dyDescent="0.25">
      <c r="A73" s="157">
        <f>'B) D RI'!A74</f>
        <v>5511</v>
      </c>
      <c r="B73" s="158" t="str">
        <f>'B) D RI'!B74</f>
        <v>Assens</v>
      </c>
      <c r="C73" s="310">
        <f>'B) D RI'!S74</f>
        <v>70</v>
      </c>
      <c r="D73" s="159">
        <f>'B) D RI'!AA74</f>
        <v>1074</v>
      </c>
      <c r="E73" s="308">
        <f>'D) Ecrêtage'!C72</f>
        <v>50067.904428571426</v>
      </c>
      <c r="F73" s="312">
        <f>'E) Fact soc'!G78</f>
        <v>858907.2064305495</v>
      </c>
      <c r="G73" s="309">
        <f>'H) Péréquation directe'!I83</f>
        <v>839478.84071758681</v>
      </c>
      <c r="H73" s="312">
        <f>+'I) Dépenses thématiques'!O72</f>
        <v>-213323.18275033904</v>
      </c>
      <c r="I73" s="309">
        <f>'K) Plafonnement aide'!J72</f>
        <v>0</v>
      </c>
      <c r="J73" s="312">
        <f>'J) Plafonnement effort'!I72</f>
        <v>0</v>
      </c>
      <c r="K73" s="309">
        <f>'L) Plafonnement taux'!Q73</f>
        <v>0</v>
      </c>
      <c r="L73" s="307">
        <f t="shared" si="3"/>
        <v>1485062.8643977973</v>
      </c>
      <c r="M73" s="227">
        <f>'M) Police'!O73</f>
        <v>152978.47224352125</v>
      </c>
      <c r="N73" s="227">
        <f t="shared" si="4"/>
        <v>1638041.3366413186</v>
      </c>
      <c r="O73" s="399">
        <f t="shared" si="5"/>
        <v>626155.65796724777</v>
      </c>
      <c r="P73" s="314"/>
      <c r="Q73" s="493"/>
    </row>
    <row r="74" spans="1:17" s="160" customFormat="1" x14ac:dyDescent="0.25">
      <c r="A74" s="157">
        <f>'B) D RI'!A75</f>
        <v>5512</v>
      </c>
      <c r="B74" s="158" t="str">
        <f>'B) D RI'!B75</f>
        <v>Bercher</v>
      </c>
      <c r="C74" s="310">
        <f>'B) D RI'!S75</f>
        <v>79</v>
      </c>
      <c r="D74" s="159">
        <f>'B) D RI'!AA75</f>
        <v>1280</v>
      </c>
      <c r="E74" s="308">
        <f>'D) Ecrêtage'!C73</f>
        <v>40005.59860759494</v>
      </c>
      <c r="F74" s="312">
        <f>'E) Fact soc'!G79</f>
        <v>675584.38176823943</v>
      </c>
      <c r="G74" s="309">
        <f>'H) Péréquation directe'!I84</f>
        <v>74283.341025497066</v>
      </c>
      <c r="H74" s="312">
        <f>+'I) Dépenses thématiques'!O73</f>
        <v>-235545.70509127987</v>
      </c>
      <c r="I74" s="309">
        <f>'K) Plafonnement aide'!J73</f>
        <v>0</v>
      </c>
      <c r="J74" s="312">
        <f>'J) Plafonnement effort'!I73</f>
        <v>0</v>
      </c>
      <c r="K74" s="309">
        <f>'L) Plafonnement taux'!Q74</f>
        <v>0</v>
      </c>
      <c r="L74" s="307">
        <f t="shared" si="3"/>
        <v>514322.01770245662</v>
      </c>
      <c r="M74" s="227">
        <f>'M) Police'!O74</f>
        <v>121184.92800734495</v>
      </c>
      <c r="N74" s="227">
        <f t="shared" si="4"/>
        <v>635506.94570980151</v>
      </c>
      <c r="O74" s="399">
        <f t="shared" si="5"/>
        <v>-161262.36406578281</v>
      </c>
      <c r="P74" s="314"/>
      <c r="Q74" s="493"/>
    </row>
    <row r="75" spans="1:17" s="160" customFormat="1" x14ac:dyDescent="0.25">
      <c r="A75" s="157">
        <f>'B) D RI'!A76</f>
        <v>5513</v>
      </c>
      <c r="B75" s="158" t="str">
        <f>'B) D RI'!B76</f>
        <v>Bioley-Orjulaz</v>
      </c>
      <c r="C75" s="310">
        <f>'B) D RI'!S76</f>
        <v>68</v>
      </c>
      <c r="D75" s="159">
        <f>'B) D RI'!AA76</f>
        <v>521</v>
      </c>
      <c r="E75" s="308">
        <f>'D) Ecrêtage'!C74</f>
        <v>22037.146176470589</v>
      </c>
      <c r="F75" s="312">
        <f>'E) Fact soc'!G80</f>
        <v>387219.92201140331</v>
      </c>
      <c r="G75" s="309">
        <f>'H) Péréquation directe'!I85</f>
        <v>329395.32820993179</v>
      </c>
      <c r="H75" s="312">
        <f>+'I) Dépenses thématiques'!O74</f>
        <v>0</v>
      </c>
      <c r="I75" s="309">
        <f>'K) Plafonnement aide'!J74</f>
        <v>0</v>
      </c>
      <c r="J75" s="312">
        <f>'J) Plafonnement effort'!I74</f>
        <v>0</v>
      </c>
      <c r="K75" s="309">
        <f>'L) Plafonnement taux'!Q75</f>
        <v>0</v>
      </c>
      <c r="L75" s="307">
        <f t="shared" si="3"/>
        <v>716615.2502213351</v>
      </c>
      <c r="M75" s="227">
        <f>'M) Police'!O75</f>
        <v>66664.060784938003</v>
      </c>
      <c r="N75" s="227">
        <f t="shared" si="4"/>
        <v>783279.31100627314</v>
      </c>
      <c r="O75" s="399">
        <f t="shared" si="5"/>
        <v>329395.32820993179</v>
      </c>
      <c r="P75" s="314"/>
      <c r="Q75" s="493"/>
    </row>
    <row r="76" spans="1:17" s="160" customFormat="1" x14ac:dyDescent="0.25">
      <c r="A76" s="157">
        <f>'B) D RI'!A77</f>
        <v>5514</v>
      </c>
      <c r="B76" s="158" t="str">
        <f>'B) D RI'!B77</f>
        <v>Bottens</v>
      </c>
      <c r="C76" s="310">
        <f>'B) D RI'!S77</f>
        <v>74</v>
      </c>
      <c r="D76" s="159">
        <f>'B) D RI'!AA77</f>
        <v>1299</v>
      </c>
      <c r="E76" s="308">
        <f>'D) Ecrêtage'!C75</f>
        <v>40784.156621621616</v>
      </c>
      <c r="F76" s="312">
        <f>'E) Fact soc'!G81</f>
        <v>662454.70101008017</v>
      </c>
      <c r="G76" s="309">
        <f>'H) Péréquation directe'!I86</f>
        <v>142173.86714033887</v>
      </c>
      <c r="H76" s="312">
        <f>+'I) Dépenses thématiques'!O75</f>
        <v>0</v>
      </c>
      <c r="I76" s="309">
        <f>'K) Plafonnement aide'!J75</f>
        <v>0</v>
      </c>
      <c r="J76" s="312">
        <f>'J) Plafonnement effort'!I75</f>
        <v>0</v>
      </c>
      <c r="K76" s="309">
        <f>'L) Plafonnement taux'!Q76</f>
        <v>0</v>
      </c>
      <c r="L76" s="307">
        <f t="shared" si="3"/>
        <v>804628.56815041904</v>
      </c>
      <c r="M76" s="227">
        <f>'M) Police'!O76</f>
        <v>123699.38195551404</v>
      </c>
      <c r="N76" s="227">
        <f t="shared" si="4"/>
        <v>928327.95010593312</v>
      </c>
      <c r="O76" s="399">
        <f t="shared" si="5"/>
        <v>142173.86714033887</v>
      </c>
      <c r="P76" s="314"/>
      <c r="Q76" s="493"/>
    </row>
    <row r="77" spans="1:17" s="160" customFormat="1" x14ac:dyDescent="0.25">
      <c r="A77" s="157">
        <f>'B) D RI'!A78</f>
        <v>5515</v>
      </c>
      <c r="B77" s="158" t="str">
        <f>'B) D RI'!B78</f>
        <v>Bretigny-sur-Morrens</v>
      </c>
      <c r="C77" s="310">
        <f>'B) D RI'!S78</f>
        <v>81</v>
      </c>
      <c r="D77" s="159">
        <f>'B) D RI'!AA78</f>
        <v>861</v>
      </c>
      <c r="E77" s="308">
        <f>'D) Ecrêtage'!C76</f>
        <v>28825.846790123462</v>
      </c>
      <c r="F77" s="312">
        <f>'E) Fact soc'!G82</f>
        <v>519668.40642261767</v>
      </c>
      <c r="G77" s="309">
        <f>'H) Péréquation directe'!I87</f>
        <v>163343.08548496669</v>
      </c>
      <c r="H77" s="312">
        <f>+'I) Dépenses thématiques'!O76</f>
        <v>-59008.823913075263</v>
      </c>
      <c r="I77" s="309">
        <f>'K) Plafonnement aide'!J76</f>
        <v>0</v>
      </c>
      <c r="J77" s="312">
        <f>'J) Plafonnement effort'!I76</f>
        <v>0</v>
      </c>
      <c r="K77" s="309">
        <f>'L) Plafonnement taux'!Q77</f>
        <v>0</v>
      </c>
      <c r="L77" s="307">
        <f t="shared" si="3"/>
        <v>624002.6679945091</v>
      </c>
      <c r="M77" s="227">
        <f>'M) Police'!O77</f>
        <v>87903.296758405369</v>
      </c>
      <c r="N77" s="227">
        <f t="shared" si="4"/>
        <v>711905.9647529145</v>
      </c>
      <c r="O77" s="399">
        <f t="shared" si="5"/>
        <v>104334.26157189143</v>
      </c>
      <c r="P77" s="314"/>
      <c r="Q77" s="493"/>
    </row>
    <row r="78" spans="1:17" s="160" customFormat="1" x14ac:dyDescent="0.25">
      <c r="A78" s="157">
        <f>'B) D RI'!A79</f>
        <v>5516</v>
      </c>
      <c r="B78" s="158" t="str">
        <f>'B) D RI'!B79</f>
        <v>Cugy</v>
      </c>
      <c r="C78" s="310">
        <f>'B) D RI'!S79</f>
        <v>78</v>
      </c>
      <c r="D78" s="159">
        <f>'B) D RI'!AA79</f>
        <v>2768</v>
      </c>
      <c r="E78" s="308">
        <f>'D) Ecrêtage'!C77</f>
        <v>111163.080491453</v>
      </c>
      <c r="F78" s="312">
        <f>'E) Fact soc'!G83</f>
        <v>1780765.3706982615</v>
      </c>
      <c r="G78" s="309">
        <f>'H) Péréquation directe'!I88</f>
        <v>1012070.814756575</v>
      </c>
      <c r="H78" s="312">
        <f>+'I) Dépenses thématiques'!O77</f>
        <v>-200095.17227107228</v>
      </c>
      <c r="I78" s="309">
        <f>'K) Plafonnement aide'!J77</f>
        <v>0</v>
      </c>
      <c r="J78" s="312">
        <f>'J) Plafonnement effort'!I77</f>
        <v>0</v>
      </c>
      <c r="K78" s="309">
        <f>'L) Plafonnement taux'!Q78</f>
        <v>0</v>
      </c>
      <c r="L78" s="307">
        <f t="shared" si="3"/>
        <v>2592741.0131837642</v>
      </c>
      <c r="M78" s="227">
        <f>'M) Police'!O78</f>
        <v>339400.40033743263</v>
      </c>
      <c r="N78" s="227">
        <f t="shared" si="4"/>
        <v>2932141.4135211967</v>
      </c>
      <c r="O78" s="399">
        <f t="shared" si="5"/>
        <v>811975.64248550276</v>
      </c>
      <c r="P78" s="314"/>
      <c r="Q78" s="493"/>
    </row>
    <row r="79" spans="1:17" s="160" customFormat="1" x14ac:dyDescent="0.25">
      <c r="A79" s="157">
        <f>'B) D RI'!A80</f>
        <v>5518</v>
      </c>
      <c r="B79" s="158" t="str">
        <f>'B) D RI'!B80</f>
        <v>Echallens</v>
      </c>
      <c r="C79" s="310">
        <f>'B) D RI'!S80</f>
        <v>74</v>
      </c>
      <c r="D79" s="159">
        <f>'B) D RI'!AA80</f>
        <v>5725</v>
      </c>
      <c r="E79" s="308">
        <f>'D) Ecrêtage'!C78</f>
        <v>187816.41499999998</v>
      </c>
      <c r="F79" s="312">
        <f>'E) Fact soc'!G84</f>
        <v>3523749.6576180104</v>
      </c>
      <c r="G79" s="309">
        <f>'H) Péréquation directe'!I89</f>
        <v>-291094.01597119635</v>
      </c>
      <c r="H79" s="312">
        <f>+'I) Dépenses thématiques'!O78</f>
        <v>-1008331.643333217</v>
      </c>
      <c r="I79" s="309">
        <f>'K) Plafonnement aide'!J78</f>
        <v>0</v>
      </c>
      <c r="J79" s="312">
        <f>'J) Plafonnement effort'!I78</f>
        <v>0</v>
      </c>
      <c r="K79" s="309">
        <f>'L) Plafonnement taux'!Q79</f>
        <v>0</v>
      </c>
      <c r="L79" s="307">
        <f t="shared" si="3"/>
        <v>2224323.9983135969</v>
      </c>
      <c r="M79" s="227">
        <f>'M) Police'!O79</f>
        <v>569732.41102944058</v>
      </c>
      <c r="N79" s="227">
        <f t="shared" si="4"/>
        <v>2794056.4093430378</v>
      </c>
      <c r="O79" s="399">
        <f t="shared" si="5"/>
        <v>-1299425.6593044135</v>
      </c>
      <c r="P79" s="314"/>
      <c r="Q79" s="493"/>
    </row>
    <row r="80" spans="1:17" s="160" customFormat="1" x14ac:dyDescent="0.25">
      <c r="A80" s="157">
        <f>'B) D RI'!A81</f>
        <v>5520</v>
      </c>
      <c r="B80" s="158" t="str">
        <f>'B) D RI'!B81</f>
        <v>Essertines-sur-Yverdon</v>
      </c>
      <c r="C80" s="310">
        <f>'B) D RI'!S81</f>
        <v>73</v>
      </c>
      <c r="D80" s="159">
        <f>'B) D RI'!AA81</f>
        <v>1030</v>
      </c>
      <c r="E80" s="308">
        <f>'D) Ecrêtage'!C79</f>
        <v>29858.34041095891</v>
      </c>
      <c r="F80" s="312">
        <f>'E) Fact soc'!G85</f>
        <v>501645.79719286674</v>
      </c>
      <c r="G80" s="309">
        <f>'H) Péréquation directe'!I90</f>
        <v>67039.507018166711</v>
      </c>
      <c r="H80" s="312">
        <f>+'I) Dépenses thématiques'!O79</f>
        <v>-76427.776527363487</v>
      </c>
      <c r="I80" s="309">
        <f>'K) Plafonnement aide'!J79</f>
        <v>0</v>
      </c>
      <c r="J80" s="312">
        <f>'J) Plafonnement effort'!I79</f>
        <v>0</v>
      </c>
      <c r="K80" s="309">
        <f>'L) Plafonnement taux'!Q80</f>
        <v>0</v>
      </c>
      <c r="L80" s="307">
        <f t="shared" si="3"/>
        <v>492257.52768367005</v>
      </c>
      <c r="M80" s="227">
        <f>'M) Police'!O80</f>
        <v>90236.957944838796</v>
      </c>
      <c r="N80" s="227">
        <f t="shared" si="4"/>
        <v>582494.48562850885</v>
      </c>
      <c r="O80" s="399">
        <f t="shared" si="5"/>
        <v>-9388.2695091967762</v>
      </c>
      <c r="P80" s="314"/>
      <c r="Q80" s="493"/>
    </row>
    <row r="81" spans="1:17" s="160" customFormat="1" x14ac:dyDescent="0.25">
      <c r="A81" s="157">
        <f>'B) D RI'!A82</f>
        <v>5521</v>
      </c>
      <c r="B81" s="158" t="str">
        <f>'B) D RI'!B82</f>
        <v>Etagnières</v>
      </c>
      <c r="C81" s="310">
        <f>'B) D RI'!S82</f>
        <v>73</v>
      </c>
      <c r="D81" s="159">
        <f>'B) D RI'!AA82</f>
        <v>1143</v>
      </c>
      <c r="E81" s="308">
        <f>'D) Ecrêtage'!C80</f>
        <v>48278.723150684935</v>
      </c>
      <c r="F81" s="312">
        <f>'E) Fact soc'!G86</f>
        <v>841136.7875817311</v>
      </c>
      <c r="G81" s="309">
        <f>'H) Péréquation directe'!I91</f>
        <v>672128.43184623006</v>
      </c>
      <c r="H81" s="312">
        <f>+'I) Dépenses thématiques'!O80</f>
        <v>-6885.4688848623664</v>
      </c>
      <c r="I81" s="309">
        <f>'K) Plafonnement aide'!J80</f>
        <v>0</v>
      </c>
      <c r="J81" s="312">
        <f>'J) Plafonnement effort'!I80</f>
        <v>0</v>
      </c>
      <c r="K81" s="309">
        <f>'L) Plafonnement taux'!Q81</f>
        <v>0</v>
      </c>
      <c r="L81" s="307">
        <f t="shared" si="3"/>
        <v>1506379.7505430989</v>
      </c>
      <c r="M81" s="227">
        <f>'M) Police'!O81</f>
        <v>146871.50774032529</v>
      </c>
      <c r="N81" s="227">
        <f t="shared" si="4"/>
        <v>1653251.2582834242</v>
      </c>
      <c r="O81" s="399">
        <f t="shared" si="5"/>
        <v>665242.96296136768</v>
      </c>
      <c r="P81" s="314"/>
      <c r="Q81" s="493"/>
    </row>
    <row r="82" spans="1:17" s="160" customFormat="1" x14ac:dyDescent="0.25">
      <c r="A82" s="157">
        <f>'B) D RI'!A83</f>
        <v>5522</v>
      </c>
      <c r="B82" s="158" t="str">
        <f>'B) D RI'!B83</f>
        <v>Fey</v>
      </c>
      <c r="C82" s="310">
        <f>'B) D RI'!S83</f>
        <v>75</v>
      </c>
      <c r="D82" s="159">
        <f>'B) D RI'!AA83</f>
        <v>751</v>
      </c>
      <c r="E82" s="308">
        <f>'D) Ecrêtage'!C81</f>
        <v>22727.539066666664</v>
      </c>
      <c r="F82" s="312">
        <f>'E) Fact soc'!G87</f>
        <v>386034.38730608206</v>
      </c>
      <c r="G82" s="309">
        <f>'H) Péréquation directe'!I92</f>
        <v>78326.096871598624</v>
      </c>
      <c r="H82" s="312">
        <f>+'I) Dépenses thématiques'!O81</f>
        <v>-15795.520513695685</v>
      </c>
      <c r="I82" s="309">
        <f>'K) Plafonnement aide'!J81</f>
        <v>0</v>
      </c>
      <c r="J82" s="312">
        <f>'J) Plafonnement effort'!I81</f>
        <v>0</v>
      </c>
      <c r="K82" s="309">
        <f>'L) Plafonnement taux'!Q82</f>
        <v>0</v>
      </c>
      <c r="L82" s="307">
        <f t="shared" si="3"/>
        <v>448564.96366398502</v>
      </c>
      <c r="M82" s="227">
        <f>'M) Police'!O82</f>
        <v>68955.070176178924</v>
      </c>
      <c r="N82" s="227">
        <f t="shared" si="4"/>
        <v>517520.03384016396</v>
      </c>
      <c r="O82" s="399">
        <f t="shared" si="5"/>
        <v>62530.576357902937</v>
      </c>
      <c r="P82" s="314"/>
      <c r="Q82" s="493"/>
    </row>
    <row r="83" spans="1:17" s="160" customFormat="1" x14ac:dyDescent="0.25">
      <c r="A83" s="157">
        <f>'B) D RI'!A84</f>
        <v>5523</v>
      </c>
      <c r="B83" s="158" t="str">
        <f>'B) D RI'!B84</f>
        <v>Froideville</v>
      </c>
      <c r="C83" s="310">
        <f>'B) D RI'!S84</f>
        <v>76</v>
      </c>
      <c r="D83" s="159">
        <f>'B) D RI'!AA84</f>
        <v>2638</v>
      </c>
      <c r="E83" s="308">
        <f>'D) Ecrêtage'!C82</f>
        <v>89231.727236842082</v>
      </c>
      <c r="F83" s="312">
        <f>'E) Fact soc'!G88</f>
        <v>1435787.4356365625</v>
      </c>
      <c r="G83" s="309">
        <f>'H) Péréquation directe'!I93</f>
        <v>281078.68080712156</v>
      </c>
      <c r="H83" s="312">
        <f>+'I) Dépenses thématiques'!O82</f>
        <v>-54698.851848166567</v>
      </c>
      <c r="I83" s="309">
        <f>'K) Plafonnement aide'!J82</f>
        <v>0</v>
      </c>
      <c r="J83" s="312">
        <f>'J) Plafonnement effort'!I82</f>
        <v>0</v>
      </c>
      <c r="K83" s="309">
        <f>'L) Plafonnement taux'!Q83</f>
        <v>0</v>
      </c>
      <c r="L83" s="307">
        <f t="shared" si="3"/>
        <v>1662167.2645955174</v>
      </c>
      <c r="M83" s="227">
        <f>'M) Police'!O83</f>
        <v>270782.76248628052</v>
      </c>
      <c r="N83" s="227">
        <f t="shared" si="4"/>
        <v>1932950.0270817978</v>
      </c>
      <c r="O83" s="399">
        <f t="shared" si="5"/>
        <v>226379.82895895501</v>
      </c>
      <c r="P83" s="314"/>
      <c r="Q83" s="493"/>
    </row>
    <row r="84" spans="1:17" s="160" customFormat="1" x14ac:dyDescent="0.25">
      <c r="A84" s="157">
        <f>'B) D RI'!A85</f>
        <v>5527</v>
      </c>
      <c r="B84" s="158" t="str">
        <f>'B) D RI'!B85</f>
        <v>Morrens</v>
      </c>
      <c r="C84" s="310">
        <f>'B) D RI'!S85</f>
        <v>74</v>
      </c>
      <c r="D84" s="159">
        <f>'B) D RI'!AA85</f>
        <v>1126</v>
      </c>
      <c r="E84" s="308">
        <f>'D) Ecrêtage'!C83</f>
        <v>40137.160945945958</v>
      </c>
      <c r="F84" s="312">
        <f>'E) Fact soc'!G89</f>
        <v>708372.79663292412</v>
      </c>
      <c r="G84" s="309">
        <f>'H) Péréquation directe'!I94</f>
        <v>352818.4012218389</v>
      </c>
      <c r="H84" s="312">
        <f>+'I) Dépenses thématiques'!O83</f>
        <v>0</v>
      </c>
      <c r="I84" s="309">
        <f>'K) Plafonnement aide'!J83</f>
        <v>0</v>
      </c>
      <c r="J84" s="312">
        <f>'J) Plafonnement effort'!I83</f>
        <v>0</v>
      </c>
      <c r="K84" s="309">
        <f>'L) Plafonnement taux'!Q84</f>
        <v>0</v>
      </c>
      <c r="L84" s="307">
        <f t="shared" si="3"/>
        <v>1061191.1978547629</v>
      </c>
      <c r="M84" s="227">
        <f>'M) Police'!O84</f>
        <v>121876.10013577706</v>
      </c>
      <c r="N84" s="227">
        <f t="shared" si="4"/>
        <v>1183067.29799054</v>
      </c>
      <c r="O84" s="399">
        <f t="shared" si="5"/>
        <v>352818.4012218389</v>
      </c>
      <c r="P84" s="314"/>
      <c r="Q84" s="493"/>
    </row>
    <row r="85" spans="1:17" s="160" customFormat="1" x14ac:dyDescent="0.25">
      <c r="A85" s="157">
        <f>'B) D RI'!A86</f>
        <v>5529</v>
      </c>
      <c r="B85" s="158" t="str">
        <f>'B) D RI'!B86</f>
        <v>Oulens-sous-Echallens</v>
      </c>
      <c r="C85" s="310">
        <f>'B) D RI'!S86</f>
        <v>71</v>
      </c>
      <c r="D85" s="159">
        <f>'B) D RI'!AA86</f>
        <v>615</v>
      </c>
      <c r="E85" s="308">
        <f>'D) Ecrêtage'!C84</f>
        <v>21602.609436619721</v>
      </c>
      <c r="F85" s="312">
        <f>'E) Fact soc'!G90</f>
        <v>356784.05327943969</v>
      </c>
      <c r="G85" s="309">
        <f>'H) Péréquation directe'!I95</f>
        <v>207652.61233626801</v>
      </c>
      <c r="H85" s="312">
        <f>+'I) Dépenses thématiques'!O84</f>
        <v>-53932.039328840037</v>
      </c>
      <c r="I85" s="309">
        <f>'K) Plafonnement aide'!J84</f>
        <v>0</v>
      </c>
      <c r="J85" s="312">
        <f>'J) Plafonnement effort'!I84</f>
        <v>0</v>
      </c>
      <c r="K85" s="309">
        <f>'L) Plafonnement taux'!Q85</f>
        <v>0</v>
      </c>
      <c r="L85" s="307">
        <f t="shared" si="3"/>
        <v>510504.6262868676</v>
      </c>
      <c r="M85" s="227">
        <f>'M) Police'!O85</f>
        <v>65503.054484895008</v>
      </c>
      <c r="N85" s="227">
        <f t="shared" si="4"/>
        <v>576007.68077176262</v>
      </c>
      <c r="O85" s="399">
        <f t="shared" si="5"/>
        <v>153720.57300742797</v>
      </c>
      <c r="P85" s="314"/>
      <c r="Q85" s="493"/>
    </row>
    <row r="86" spans="1:17" s="160" customFormat="1" x14ac:dyDescent="0.25">
      <c r="A86" s="157">
        <f>'B) D RI'!A87</f>
        <v>5530</v>
      </c>
      <c r="B86" s="158" t="str">
        <f>'B) D RI'!B87</f>
        <v>Pailly</v>
      </c>
      <c r="C86" s="310">
        <f>'B) D RI'!S87</f>
        <v>77.5</v>
      </c>
      <c r="D86" s="159">
        <f>'B) D RI'!AA87</f>
        <v>563</v>
      </c>
      <c r="E86" s="308">
        <f>'D) Ecrêtage'!C85</f>
        <v>17625.052150537631</v>
      </c>
      <c r="F86" s="312">
        <f>'E) Fact soc'!G91</f>
        <v>311821.76237022487</v>
      </c>
      <c r="G86" s="309">
        <f>'H) Péréquation directe'!I96</f>
        <v>70090.28023385728</v>
      </c>
      <c r="H86" s="312">
        <f>+'I) Dépenses thématiques'!O85</f>
        <v>-369982.75641007</v>
      </c>
      <c r="I86" s="309">
        <f>'K) Plafonnement aide'!J85</f>
        <v>0</v>
      </c>
      <c r="J86" s="312">
        <f>'J) Plafonnement effort'!I85</f>
        <v>0</v>
      </c>
      <c r="K86" s="309">
        <f>'L) Plafonnement taux'!Q86</f>
        <v>0</v>
      </c>
      <c r="L86" s="307">
        <f t="shared" si="3"/>
        <v>11929.286194012151</v>
      </c>
      <c r="M86" s="227">
        <f>'M) Police'!O86</f>
        <v>53612.80571070459</v>
      </c>
      <c r="N86" s="227">
        <f t="shared" si="4"/>
        <v>65542.091904716741</v>
      </c>
      <c r="O86" s="399">
        <f t="shared" si="5"/>
        <v>-299892.47617621272</v>
      </c>
      <c r="P86" s="314"/>
      <c r="Q86" s="493"/>
    </row>
    <row r="87" spans="1:17" s="160" customFormat="1" x14ac:dyDescent="0.25">
      <c r="A87" s="157">
        <f>'B) D RI'!A88</f>
        <v>5531</v>
      </c>
      <c r="B87" s="158" t="str">
        <f>'B) D RI'!B88</f>
        <v>Penthéréaz</v>
      </c>
      <c r="C87" s="310">
        <f>'B) D RI'!S88</f>
        <v>78</v>
      </c>
      <c r="D87" s="159">
        <f>'B) D RI'!AA88</f>
        <v>421</v>
      </c>
      <c r="E87" s="308">
        <f>'D) Ecrêtage'!C86</f>
        <v>14653.782435897439</v>
      </c>
      <c r="F87" s="312">
        <f>'E) Fact soc'!G92</f>
        <v>222404.58966746629</v>
      </c>
      <c r="G87" s="309">
        <f>'H) Péréquation directe'!I97</f>
        <v>115364.58762391144</v>
      </c>
      <c r="H87" s="312">
        <f>+'I) Dépenses thématiques'!O86</f>
        <v>-65281.743028160978</v>
      </c>
      <c r="I87" s="309">
        <f>'K) Plafonnement aide'!J86</f>
        <v>0</v>
      </c>
      <c r="J87" s="312">
        <f>'J) Plafonnement effort'!I86</f>
        <v>0</v>
      </c>
      <c r="K87" s="309">
        <f>'L) Plafonnement taux'!Q87</f>
        <v>0</v>
      </c>
      <c r="L87" s="307">
        <f t="shared" si="3"/>
        <v>272487.43426321674</v>
      </c>
      <c r="M87" s="227">
        <f>'M) Police'!O87</f>
        <v>44789.397039501229</v>
      </c>
      <c r="N87" s="227">
        <f t="shared" si="4"/>
        <v>317276.83130271797</v>
      </c>
      <c r="O87" s="399">
        <f t="shared" si="5"/>
        <v>50082.844595750466</v>
      </c>
      <c r="P87" s="314"/>
      <c r="Q87" s="493"/>
    </row>
    <row r="88" spans="1:17" s="160" customFormat="1" x14ac:dyDescent="0.25">
      <c r="A88" s="157">
        <f>'B) D RI'!A89</f>
        <v>5533</v>
      </c>
      <c r="B88" s="158" t="str">
        <f>'B) D RI'!B89</f>
        <v>Poliez-Pittet</v>
      </c>
      <c r="C88" s="310">
        <f>'B) D RI'!S89</f>
        <v>73</v>
      </c>
      <c r="D88" s="159">
        <f>'B) D RI'!AA89</f>
        <v>829</v>
      </c>
      <c r="E88" s="308">
        <f>'D) Ecrêtage'!C87</f>
        <v>22836.129452054793</v>
      </c>
      <c r="F88" s="312">
        <f>'E) Fact soc'!G93</f>
        <v>406892.42727201473</v>
      </c>
      <c r="G88" s="309">
        <f>'H) Péréquation directe'!I98</f>
        <v>10274.981351901137</v>
      </c>
      <c r="H88" s="312">
        <f>+'I) Dépenses thématiques'!O87</f>
        <v>-77264.379985842024</v>
      </c>
      <c r="I88" s="309">
        <f>'K) Plafonnement aide'!J87</f>
        <v>0</v>
      </c>
      <c r="J88" s="312">
        <f>'J) Plafonnement effort'!I87</f>
        <v>0</v>
      </c>
      <c r="K88" s="309">
        <f>'L) Plafonnement taux'!Q88</f>
        <v>0</v>
      </c>
      <c r="L88" s="307">
        <f t="shared" si="3"/>
        <v>339903.02863807383</v>
      </c>
      <c r="M88" s="227">
        <f>'M) Police'!O88</f>
        <v>69084.24226858266</v>
      </c>
      <c r="N88" s="227">
        <f t="shared" si="4"/>
        <v>408987.27090665651</v>
      </c>
      <c r="O88" s="399">
        <f t="shared" si="5"/>
        <v>-66989.398633940888</v>
      </c>
      <c r="P88" s="314"/>
      <c r="Q88" s="493"/>
    </row>
    <row r="89" spans="1:17" s="160" customFormat="1" x14ac:dyDescent="0.25">
      <c r="A89" s="157">
        <f>'B) D RI'!A90</f>
        <v>5534</v>
      </c>
      <c r="B89" s="158" t="str">
        <f>'B) D RI'!B90</f>
        <v>Rueyres</v>
      </c>
      <c r="C89" s="310">
        <f>'B) D RI'!S90</f>
        <v>73</v>
      </c>
      <c r="D89" s="159">
        <f>'B) D RI'!AA90</f>
        <v>265</v>
      </c>
      <c r="E89" s="308">
        <f>'D) Ecrêtage'!C88</f>
        <v>10463.952465753426</v>
      </c>
      <c r="F89" s="312">
        <f>'E) Fact soc'!G94</f>
        <v>178875.26936963401</v>
      </c>
      <c r="G89" s="309">
        <f>'H) Péréquation directe'!I99</f>
        <v>133349.495478333</v>
      </c>
      <c r="H89" s="312">
        <f>+'I) Dépenses thématiques'!O88</f>
        <v>-2026.657452139772</v>
      </c>
      <c r="I89" s="309">
        <f>'K) Plafonnement aide'!J88</f>
        <v>0</v>
      </c>
      <c r="J89" s="312">
        <f>'J) Plafonnement effort'!I88</f>
        <v>0</v>
      </c>
      <c r="K89" s="309">
        <f>'L) Plafonnement taux'!Q89</f>
        <v>0</v>
      </c>
      <c r="L89" s="307">
        <f t="shared" si="3"/>
        <v>310198.10739582725</v>
      </c>
      <c r="M89" s="227">
        <f>'M) Police'!O89</f>
        <v>31220.814505279741</v>
      </c>
      <c r="N89" s="227">
        <f t="shared" si="4"/>
        <v>341418.92190110701</v>
      </c>
      <c r="O89" s="399">
        <f t="shared" si="5"/>
        <v>131322.83802619323</v>
      </c>
      <c r="P89" s="314"/>
      <c r="Q89" s="493"/>
    </row>
    <row r="90" spans="1:17" s="160" customFormat="1" x14ac:dyDescent="0.25">
      <c r="A90" s="157">
        <f>'B) D RI'!A91</f>
        <v>5535</v>
      </c>
      <c r="B90" s="158" t="str">
        <f>'B) D RI'!B91</f>
        <v>Saint-Barthélemy</v>
      </c>
      <c r="C90" s="310">
        <f>'B) D RI'!S91</f>
        <v>77</v>
      </c>
      <c r="D90" s="159">
        <f>'B) D RI'!AA91</f>
        <v>791</v>
      </c>
      <c r="E90" s="308">
        <f>'D) Ecrêtage'!C89</f>
        <v>22478.945584415589</v>
      </c>
      <c r="F90" s="312">
        <f>'E) Fact soc'!G95</f>
        <v>378617.11284527974</v>
      </c>
      <c r="G90" s="309">
        <f>'H) Péréquation directe'!I100</f>
        <v>2998.6406285827979</v>
      </c>
      <c r="H90" s="312">
        <f>+'I) Dépenses thématiques'!O89</f>
        <v>-18560.463622731393</v>
      </c>
      <c r="I90" s="309">
        <f>'K) Plafonnement aide'!J89</f>
        <v>0</v>
      </c>
      <c r="J90" s="312">
        <f>'J) Plafonnement effort'!I89</f>
        <v>0</v>
      </c>
      <c r="K90" s="309">
        <f>'L) Plafonnement taux'!Q90</f>
        <v>0</v>
      </c>
      <c r="L90" s="307">
        <f t="shared" si="3"/>
        <v>363055.28985113115</v>
      </c>
      <c r="M90" s="227">
        <f>'M) Police'!O90</f>
        <v>67906.63386837866</v>
      </c>
      <c r="N90" s="227">
        <f t="shared" si="4"/>
        <v>430961.9237195098</v>
      </c>
      <c r="O90" s="399">
        <f t="shared" si="5"/>
        <v>-15561.822994148595</v>
      </c>
      <c r="P90" s="314"/>
      <c r="Q90" s="493"/>
    </row>
    <row r="91" spans="1:17" s="160" customFormat="1" x14ac:dyDescent="0.25">
      <c r="A91" s="157">
        <f>'B) D RI'!A92</f>
        <v>5537</v>
      </c>
      <c r="B91" s="158" t="str">
        <f>'B) D RI'!B92</f>
        <v>Villars-le-Terroir</v>
      </c>
      <c r="C91" s="310">
        <f>'B) D RI'!S92</f>
        <v>73</v>
      </c>
      <c r="D91" s="159">
        <f>'B) D RI'!AA92</f>
        <v>1228</v>
      </c>
      <c r="E91" s="308">
        <f>'D) Ecrêtage'!C90</f>
        <v>36268.70386986302</v>
      </c>
      <c r="F91" s="312">
        <f>'E) Fact soc'!G96</f>
        <v>579918.97061039484</v>
      </c>
      <c r="G91" s="309">
        <f>'H) Péréquation directe'!I101</f>
        <v>64022.877574647893</v>
      </c>
      <c r="H91" s="312">
        <f>+'I) Dépenses thématiques'!O90</f>
        <v>-32567.533826019975</v>
      </c>
      <c r="I91" s="309">
        <f>'K) Plafonnement aide'!J90</f>
        <v>0</v>
      </c>
      <c r="J91" s="312">
        <f>'J) Plafonnement effort'!I90</f>
        <v>0</v>
      </c>
      <c r="K91" s="309">
        <f>'L) Plafonnement taux'!Q91</f>
        <v>0</v>
      </c>
      <c r="L91" s="307">
        <f t="shared" si="3"/>
        <v>611374.31435902277</v>
      </c>
      <c r="M91" s="227">
        <f>'M) Police'!O91</f>
        <v>109402.56735501098</v>
      </c>
      <c r="N91" s="227">
        <f t="shared" si="4"/>
        <v>720776.88171403378</v>
      </c>
      <c r="O91" s="399">
        <f t="shared" si="5"/>
        <v>31455.343748627918</v>
      </c>
      <c r="P91" s="314"/>
      <c r="Q91" s="493"/>
    </row>
    <row r="92" spans="1:17" s="160" customFormat="1" x14ac:dyDescent="0.25">
      <c r="A92" s="157">
        <f>'B) D RI'!A93</f>
        <v>5539</v>
      </c>
      <c r="B92" s="158" t="str">
        <f>'B) D RI'!B93</f>
        <v>Vuarrens</v>
      </c>
      <c r="C92" s="310">
        <f>'B) D RI'!S93</f>
        <v>75</v>
      </c>
      <c r="D92" s="159">
        <f>'B) D RI'!AA93</f>
        <v>1054</v>
      </c>
      <c r="E92" s="308">
        <f>'D) Ecrêtage'!C91</f>
        <v>30000.607399999997</v>
      </c>
      <c r="F92" s="312">
        <f>'E) Fact soc'!G97</f>
        <v>544086.43591579422</v>
      </c>
      <c r="G92" s="309">
        <f>'H) Péréquation directe'!I102</f>
        <v>17530.054797544843</v>
      </c>
      <c r="H92" s="312">
        <f>+'I) Dépenses thématiques'!O91</f>
        <v>-22440.390562227833</v>
      </c>
      <c r="I92" s="309">
        <f>'K) Plafonnement aide'!J91</f>
        <v>0</v>
      </c>
      <c r="J92" s="312">
        <f>'J) Plafonnement effort'!I91</f>
        <v>0</v>
      </c>
      <c r="K92" s="309">
        <f>'L) Plafonnement taux'!Q92</f>
        <v>0</v>
      </c>
      <c r="L92" s="307">
        <f t="shared" si="3"/>
        <v>539176.10015111126</v>
      </c>
      <c r="M92" s="227">
        <f>'M) Police'!O92</f>
        <v>90879.612266009994</v>
      </c>
      <c r="N92" s="227">
        <f t="shared" si="4"/>
        <v>630055.71241712128</v>
      </c>
      <c r="O92" s="399">
        <f t="shared" si="5"/>
        <v>-4910.33576468299</v>
      </c>
      <c r="P92" s="314"/>
      <c r="Q92" s="493"/>
    </row>
    <row r="93" spans="1:17" s="160" customFormat="1" x14ac:dyDescent="0.25">
      <c r="A93" s="157">
        <f>'B) D RI'!A94</f>
        <v>5540</v>
      </c>
      <c r="B93" s="158" t="str">
        <f>'B) D RI'!B94</f>
        <v>Montilliez</v>
      </c>
      <c r="C93" s="310">
        <f>'B) D RI'!S94</f>
        <v>74</v>
      </c>
      <c r="D93" s="159">
        <f>'B) D RI'!AA94</f>
        <v>1819</v>
      </c>
      <c r="E93" s="308">
        <f>'D) Ecrêtage'!C92</f>
        <v>64761.783243243241</v>
      </c>
      <c r="F93" s="312">
        <f>'E) Fact soc'!G98</f>
        <v>1030342.6488717753</v>
      </c>
      <c r="G93" s="309">
        <f>'H) Péréquation directe'!I103</f>
        <v>427540.05668446852</v>
      </c>
      <c r="H93" s="312">
        <f>+'I) Dépenses thématiques'!O92</f>
        <v>-292871.02762279019</v>
      </c>
      <c r="I93" s="309">
        <f>'K) Plafonnement aide'!J92</f>
        <v>0</v>
      </c>
      <c r="J93" s="312">
        <f>'J) Plafonnement effort'!I92</f>
        <v>0</v>
      </c>
      <c r="K93" s="309">
        <f>'L) Plafonnement taux'!Q93</f>
        <v>0</v>
      </c>
      <c r="L93" s="307">
        <f>F93+G93+H93+I93+J93+K93</f>
        <v>1165011.6779334536</v>
      </c>
      <c r="M93" s="227">
        <f>'M) Police'!O93</f>
        <v>197489.38033677312</v>
      </c>
      <c r="N93" s="227">
        <f t="shared" si="4"/>
        <v>1362501.0582702267</v>
      </c>
      <c r="O93" s="399">
        <f t="shared" si="5"/>
        <v>134669.02906167833</v>
      </c>
      <c r="P93" s="314"/>
      <c r="Q93" s="493"/>
    </row>
    <row r="94" spans="1:17" s="160" customFormat="1" x14ac:dyDescent="0.25">
      <c r="A94" s="157">
        <f>'B) D RI'!A95</f>
        <v>5541</v>
      </c>
      <c r="B94" s="158" t="str">
        <f>'B) D RI'!B95</f>
        <v>Goumoëns</v>
      </c>
      <c r="C94" s="310">
        <f>'B) D RI'!S95</f>
        <v>77</v>
      </c>
      <c r="D94" s="159">
        <f>'B) D RI'!AA95</f>
        <v>1140</v>
      </c>
      <c r="E94" s="308">
        <f>'D) Ecrêtage'!C93</f>
        <v>37389.402987012982</v>
      </c>
      <c r="F94" s="312">
        <f>'E) Fact soc'!G99</f>
        <v>657867.69844688755</v>
      </c>
      <c r="G94" s="309">
        <f>'H) Péréquation directe'!I104</f>
        <v>189744.80739405146</v>
      </c>
      <c r="H94" s="312">
        <f>+'I) Dépenses thématiques'!O93</f>
        <v>-2383.4385608970065</v>
      </c>
      <c r="I94" s="309">
        <f>'K) Plafonnement aide'!J93</f>
        <v>0</v>
      </c>
      <c r="J94" s="312">
        <f>'J) Plafonnement effort'!I93</f>
        <v>0</v>
      </c>
      <c r="K94" s="309">
        <f>'L) Plafonnement taux'!Q94</f>
        <v>0</v>
      </c>
      <c r="L94" s="307">
        <f>F94+G94+H94+I94+J94+K94</f>
        <v>845229.06728004199</v>
      </c>
      <c r="M94" s="227">
        <f>'M) Police'!O94</f>
        <v>113930.25267749705</v>
      </c>
      <c r="N94" s="227">
        <f t="shared" si="4"/>
        <v>959159.31995753897</v>
      </c>
      <c r="O94" s="399">
        <f t="shared" si="5"/>
        <v>187361.36883315444</v>
      </c>
      <c r="P94" s="314"/>
      <c r="Q94" s="493"/>
    </row>
    <row r="95" spans="1:17" s="160" customFormat="1" x14ac:dyDescent="0.25">
      <c r="A95" s="157">
        <f>'B) D RI'!A96</f>
        <v>5551</v>
      </c>
      <c r="B95" s="158" t="str">
        <f>'B) D RI'!B96</f>
        <v>Bonvillars</v>
      </c>
      <c r="C95" s="310">
        <f>'B) D RI'!S96</f>
        <v>55</v>
      </c>
      <c r="D95" s="159">
        <f>'B) D RI'!AA96</f>
        <v>490</v>
      </c>
      <c r="E95" s="308">
        <f>'D) Ecrêtage'!C94</f>
        <v>18282.205818181821</v>
      </c>
      <c r="F95" s="312">
        <f>'E) Fact soc'!G100</f>
        <v>280841.76954863907</v>
      </c>
      <c r="G95" s="309">
        <f>'H) Péréquation directe'!I105</f>
        <v>246610.92468057145</v>
      </c>
      <c r="H95" s="312">
        <f>+'I) Dépenses thématiques'!O94</f>
        <v>-92844.688283929354</v>
      </c>
      <c r="I95" s="309">
        <f>'K) Plafonnement aide'!J94</f>
        <v>0</v>
      </c>
      <c r="J95" s="312">
        <f>'J) Plafonnement effort'!I94</f>
        <v>0</v>
      </c>
      <c r="K95" s="309">
        <f>'L) Plafonnement taux'!Q95</f>
        <v>0</v>
      </c>
      <c r="L95" s="307">
        <f t="shared" si="3"/>
        <v>434608.00594528113</v>
      </c>
      <c r="M95" s="227">
        <f>'M) Police'!O95</f>
        <v>54008.125015677972</v>
      </c>
      <c r="N95" s="227">
        <f t="shared" si="4"/>
        <v>488616.13096095913</v>
      </c>
      <c r="O95" s="399">
        <f t="shared" si="5"/>
        <v>153766.23639664211</v>
      </c>
      <c r="P95" s="314"/>
      <c r="Q95" s="493"/>
    </row>
    <row r="96" spans="1:17" s="160" customFormat="1" x14ac:dyDescent="0.25">
      <c r="A96" s="157">
        <f>'B) D RI'!A97</f>
        <v>5552</v>
      </c>
      <c r="B96" s="158" t="str">
        <f>'B) D RI'!B97</f>
        <v>Bullet</v>
      </c>
      <c r="C96" s="310">
        <f>'B) D RI'!S97</f>
        <v>73</v>
      </c>
      <c r="D96" s="159">
        <f>'B) D RI'!AA97</f>
        <v>657</v>
      </c>
      <c r="E96" s="308">
        <f>'D) Ecrêtage'!C95</f>
        <v>18372.474931506851</v>
      </c>
      <c r="F96" s="312">
        <f>'E) Fact soc'!G101</f>
        <v>336484.05356612243</v>
      </c>
      <c r="G96" s="309">
        <f>'H) Péréquation directe'!I106</f>
        <v>19421.106623498432</v>
      </c>
      <c r="H96" s="312">
        <f>+'I) Dépenses thématiques'!O95</f>
        <v>-211306.94368216765</v>
      </c>
      <c r="I96" s="309">
        <f>'K) Plafonnement aide'!J95</f>
        <v>0</v>
      </c>
      <c r="J96" s="312">
        <f>'J) Plafonnement effort'!I95</f>
        <v>0</v>
      </c>
      <c r="K96" s="309">
        <f>'L) Plafonnement taux'!Q96</f>
        <v>0</v>
      </c>
      <c r="L96" s="307">
        <f t="shared" si="3"/>
        <v>144598.21650745321</v>
      </c>
      <c r="M96" s="227">
        <f>'M) Police'!O96</f>
        <v>55346.856990781533</v>
      </c>
      <c r="N96" s="227">
        <f t="shared" si="4"/>
        <v>199945.07349823473</v>
      </c>
      <c r="O96" s="399">
        <f t="shared" si="5"/>
        <v>-191885.83705866922</v>
      </c>
      <c r="P96" s="314"/>
      <c r="Q96" s="493"/>
    </row>
    <row r="97" spans="1:17" s="160" customFormat="1" x14ac:dyDescent="0.25">
      <c r="A97" s="157">
        <f>'B) D RI'!A98</f>
        <v>5553</v>
      </c>
      <c r="B97" s="158" t="str">
        <f>'B) D RI'!B98</f>
        <v>Champagne</v>
      </c>
      <c r="C97" s="310">
        <f>'B) D RI'!S98</f>
        <v>65</v>
      </c>
      <c r="D97" s="159">
        <f>'B) D RI'!AA98</f>
        <v>1059</v>
      </c>
      <c r="E97" s="308">
        <f>'D) Ecrêtage'!C96</f>
        <v>37695.100615384617</v>
      </c>
      <c r="F97" s="312">
        <f>'E) Fact soc'!G102</f>
        <v>663247.85970694618</v>
      </c>
      <c r="G97" s="309">
        <f>'H) Péréquation directe'!I107</f>
        <v>403516.52610124461</v>
      </c>
      <c r="H97" s="312">
        <f>+'I) Dépenses thématiques'!O96</f>
        <v>-179050.90613641564</v>
      </c>
      <c r="I97" s="309">
        <f>'K) Plafonnement aide'!J96</f>
        <v>0</v>
      </c>
      <c r="J97" s="312">
        <f>'J) Plafonnement effort'!I96</f>
        <v>0</v>
      </c>
      <c r="K97" s="309">
        <f>'L) Plafonnement taux'!Q97</f>
        <v>0</v>
      </c>
      <c r="L97" s="307">
        <f t="shared" si="3"/>
        <v>887713.47967177513</v>
      </c>
      <c r="M97" s="227">
        <f>'M) Police'!O97</f>
        <v>112434.64123282759</v>
      </c>
      <c r="N97" s="227">
        <f t="shared" si="4"/>
        <v>1000148.1209046027</v>
      </c>
      <c r="O97" s="399">
        <f t="shared" si="5"/>
        <v>224465.61996482898</v>
      </c>
      <c r="P97" s="314"/>
      <c r="Q97" s="493"/>
    </row>
    <row r="98" spans="1:17" s="160" customFormat="1" x14ac:dyDescent="0.25">
      <c r="A98" s="157">
        <f>'B) D RI'!A99</f>
        <v>5554</v>
      </c>
      <c r="B98" s="158" t="str">
        <f>'B) D RI'!B99</f>
        <v>Concise</v>
      </c>
      <c r="C98" s="310">
        <f>'B) D RI'!S99</f>
        <v>75</v>
      </c>
      <c r="D98" s="159">
        <f>'B) D RI'!AA99</f>
        <v>1025</v>
      </c>
      <c r="E98" s="308">
        <f>'D) Ecrêtage'!C97</f>
        <v>33287.826000000008</v>
      </c>
      <c r="F98" s="312">
        <f>'E) Fact soc'!G103</f>
        <v>674307.47285226046</v>
      </c>
      <c r="G98" s="309">
        <f>'H) Péréquation directe'!I108</f>
        <v>197146.35382772225</v>
      </c>
      <c r="H98" s="312">
        <f>+'I) Dépenses thématiques'!O97</f>
        <v>-151910.67816759835</v>
      </c>
      <c r="I98" s="309">
        <f>'K) Plafonnement aide'!J97</f>
        <v>0</v>
      </c>
      <c r="J98" s="312">
        <f>'J) Plafonnement effort'!I97</f>
        <v>0</v>
      </c>
      <c r="K98" s="309">
        <f>'L) Plafonnement taux'!Q98</f>
        <v>0</v>
      </c>
      <c r="L98" s="307">
        <f t="shared" si="3"/>
        <v>719543.14851238439</v>
      </c>
      <c r="M98" s="227">
        <f>'M) Police'!O98</f>
        <v>101585.64822458898</v>
      </c>
      <c r="N98" s="227">
        <f t="shared" si="4"/>
        <v>821128.79673697334</v>
      </c>
      <c r="O98" s="399">
        <f t="shared" si="5"/>
        <v>45235.675660123903</v>
      </c>
      <c r="P98" s="314"/>
      <c r="Q98" s="493"/>
    </row>
    <row r="99" spans="1:17" s="160" customFormat="1" x14ac:dyDescent="0.25">
      <c r="A99" s="157">
        <f>'B) D RI'!A100</f>
        <v>5555</v>
      </c>
      <c r="B99" s="158" t="str">
        <f>'B) D RI'!B100</f>
        <v>Corcelles-près-Concise</v>
      </c>
      <c r="C99" s="310">
        <f>'B) D RI'!S100</f>
        <v>71</v>
      </c>
      <c r="D99" s="159">
        <f>'B) D RI'!AA100</f>
        <v>401</v>
      </c>
      <c r="E99" s="308">
        <f>'D) Ecrêtage'!C98</f>
        <v>13538.992394366198</v>
      </c>
      <c r="F99" s="312">
        <f>'E) Fact soc'!G104</f>
        <v>245007.34307380195</v>
      </c>
      <c r="G99" s="309">
        <f>'H) Péréquation directe'!I109</f>
        <v>113550.32579265349</v>
      </c>
      <c r="H99" s="312">
        <f>+'I) Dépenses thématiques'!O98</f>
        <v>-111511.11477953129</v>
      </c>
      <c r="I99" s="309">
        <f>'K) Plafonnement aide'!J98</f>
        <v>0</v>
      </c>
      <c r="J99" s="312">
        <f>'J) Plafonnement effort'!I98</f>
        <v>0</v>
      </c>
      <c r="K99" s="309">
        <f>'L) Plafonnement taux'!Q99</f>
        <v>0</v>
      </c>
      <c r="L99" s="307">
        <f t="shared" si="3"/>
        <v>247046.55408692415</v>
      </c>
      <c r="M99" s="227">
        <f>'M) Police'!O99</f>
        <v>40607.412173486635</v>
      </c>
      <c r="N99" s="227">
        <f t="shared" si="4"/>
        <v>287653.96626041079</v>
      </c>
      <c r="O99" s="399">
        <f t="shared" si="5"/>
        <v>2039.2110131221998</v>
      </c>
      <c r="P99" s="314"/>
      <c r="Q99" s="493"/>
    </row>
    <row r="100" spans="1:17" s="160" customFormat="1" x14ac:dyDescent="0.25">
      <c r="A100" s="157">
        <f>'B) D RI'!A101</f>
        <v>5556</v>
      </c>
      <c r="B100" s="158" t="str">
        <f>'B) D RI'!B101</f>
        <v>Fiez</v>
      </c>
      <c r="C100" s="310">
        <f>'B) D RI'!S101</f>
        <v>69</v>
      </c>
      <c r="D100" s="159">
        <f>'B) D RI'!AA101</f>
        <v>445</v>
      </c>
      <c r="E100" s="308">
        <f>'D) Ecrêtage'!C99</f>
        <v>13049.601497584543</v>
      </c>
      <c r="F100" s="312">
        <f>'E) Fact soc'!G105</f>
        <v>206288.48251945456</v>
      </c>
      <c r="G100" s="309">
        <f>'H) Péréquation directe'!I110</f>
        <v>55859.413123639504</v>
      </c>
      <c r="H100" s="312">
        <f>+'I) Dépenses thématiques'!O99</f>
        <v>-133853.43399456187</v>
      </c>
      <c r="I100" s="309">
        <f>'K) Plafonnement aide'!J99</f>
        <v>0</v>
      </c>
      <c r="J100" s="312">
        <f>'J) Plafonnement effort'!I99</f>
        <v>0</v>
      </c>
      <c r="K100" s="309">
        <f>'L) Plafonnement taux'!Q100</f>
        <v>0</v>
      </c>
      <c r="L100" s="307">
        <f t="shared" si="3"/>
        <v>128294.46164853222</v>
      </c>
      <c r="M100" s="227">
        <f>'M) Police'!O100</f>
        <v>39531.970703277955</v>
      </c>
      <c r="N100" s="227">
        <f t="shared" si="4"/>
        <v>167826.43235181016</v>
      </c>
      <c r="O100" s="399">
        <f t="shared" si="5"/>
        <v>-77994.020870922366</v>
      </c>
      <c r="P100" s="314"/>
      <c r="Q100" s="493"/>
    </row>
    <row r="101" spans="1:17" s="160" customFormat="1" x14ac:dyDescent="0.25">
      <c r="A101" s="157">
        <f>'B) D RI'!A102</f>
        <v>5557</v>
      </c>
      <c r="B101" s="158" t="str">
        <f>'B) D RI'!B102</f>
        <v>Fontaines-sur-Grandson</v>
      </c>
      <c r="C101" s="310">
        <f>'B) D RI'!S102</f>
        <v>69</v>
      </c>
      <c r="D101" s="159">
        <f>'B) D RI'!AA102</f>
        <v>215</v>
      </c>
      <c r="E101" s="308">
        <f>'D) Ecrêtage'!C100</f>
        <v>6546.22</v>
      </c>
      <c r="F101" s="312">
        <f>'E) Fact soc'!G106</f>
        <v>98355.440150835449</v>
      </c>
      <c r="G101" s="309">
        <f>'H) Péréquation directe'!I111</f>
        <v>36366.752145585924</v>
      </c>
      <c r="H101" s="312">
        <f>+'I) Dépenses thématiques'!O100</f>
        <v>-35815.81931570993</v>
      </c>
      <c r="I101" s="309">
        <f>'K) Plafonnement aide'!J100</f>
        <v>0</v>
      </c>
      <c r="J101" s="312">
        <f>'J) Plafonnement effort'!I100</f>
        <v>0</v>
      </c>
      <c r="K101" s="309">
        <f>'L) Plafonnement taux'!Q101</f>
        <v>0</v>
      </c>
      <c r="L101" s="307">
        <f t="shared" si="3"/>
        <v>98906.372980711458</v>
      </c>
      <c r="M101" s="227">
        <f>'M) Police'!O101</f>
        <v>19789.997872796717</v>
      </c>
      <c r="N101" s="227">
        <f t="shared" si="4"/>
        <v>118696.37085350818</v>
      </c>
      <c r="O101" s="399">
        <f t="shared" si="5"/>
        <v>550.93282987599378</v>
      </c>
      <c r="P101" s="314"/>
      <c r="Q101" s="493"/>
    </row>
    <row r="102" spans="1:17" s="160" customFormat="1" x14ac:dyDescent="0.25">
      <c r="A102" s="157">
        <f>'B) D RI'!A103</f>
        <v>5559</v>
      </c>
      <c r="B102" s="158" t="str">
        <f>'B) D RI'!B103</f>
        <v>Giez</v>
      </c>
      <c r="C102" s="310">
        <f>'B) D RI'!S103</f>
        <v>66</v>
      </c>
      <c r="D102" s="159">
        <f>'B) D RI'!AA103</f>
        <v>414</v>
      </c>
      <c r="E102" s="308">
        <f>'D) Ecrêtage'!C101</f>
        <v>20822.479090909092</v>
      </c>
      <c r="F102" s="312">
        <f>'E) Fact soc'!G107</f>
        <v>364295.37595705438</v>
      </c>
      <c r="G102" s="309">
        <f>'H) Péréquation directe'!I112</f>
        <v>364578.59115765372</v>
      </c>
      <c r="H102" s="312">
        <f>+'I) Dépenses thématiques'!O101</f>
        <v>0</v>
      </c>
      <c r="I102" s="309">
        <f>'K) Plafonnement aide'!J101</f>
        <v>0</v>
      </c>
      <c r="J102" s="312">
        <f>'J) Plafonnement effort'!I101</f>
        <v>0</v>
      </c>
      <c r="K102" s="309">
        <f>'L) Plafonnement taux'!Q102</f>
        <v>0</v>
      </c>
      <c r="L102" s="307">
        <f t="shared" si="3"/>
        <v>728873.96711470815</v>
      </c>
      <c r="M102" s="227">
        <f>'M) Police'!O102</f>
        <v>61002.346206691494</v>
      </c>
      <c r="N102" s="227">
        <f t="shared" si="4"/>
        <v>789876.31332139962</v>
      </c>
      <c r="O102" s="399">
        <f t="shared" si="5"/>
        <v>364578.59115765372</v>
      </c>
      <c r="P102" s="314"/>
      <c r="Q102" s="493"/>
    </row>
    <row r="103" spans="1:17" s="160" customFormat="1" x14ac:dyDescent="0.25">
      <c r="A103" s="157">
        <f>'B) D RI'!A104</f>
        <v>5560</v>
      </c>
      <c r="B103" s="158" t="str">
        <f>'B) D RI'!B104</f>
        <v>Grandevent</v>
      </c>
      <c r="C103" s="310">
        <f>'B) D RI'!S104</f>
        <v>68</v>
      </c>
      <c r="D103" s="159">
        <f>'B) D RI'!AA104</f>
        <v>222</v>
      </c>
      <c r="E103" s="308">
        <f>'D) Ecrêtage'!C102</f>
        <v>7406.141029411765</v>
      </c>
      <c r="F103" s="312">
        <f>'E) Fact soc'!G108</f>
        <v>122977.11239867072</v>
      </c>
      <c r="G103" s="309">
        <f>'H) Péréquation directe'!I113</f>
        <v>64340.790759520853</v>
      </c>
      <c r="H103" s="312">
        <f>+'I) Dépenses thématiques'!O102</f>
        <v>-10224.38713253423</v>
      </c>
      <c r="I103" s="309">
        <f>'K) Plafonnement aide'!J102</f>
        <v>0</v>
      </c>
      <c r="J103" s="312">
        <f>'J) Plafonnement effort'!I102</f>
        <v>0</v>
      </c>
      <c r="K103" s="309">
        <f>'L) Plafonnement taux'!Q103</f>
        <v>0</v>
      </c>
      <c r="L103" s="307">
        <f t="shared" si="3"/>
        <v>177093.51602565736</v>
      </c>
      <c r="M103" s="227">
        <f>'M) Police'!O103</f>
        <v>22398.971349923399</v>
      </c>
      <c r="N103" s="227">
        <f t="shared" si="4"/>
        <v>199492.48737558076</v>
      </c>
      <c r="O103" s="399">
        <f t="shared" si="5"/>
        <v>54116.403626986619</v>
      </c>
      <c r="P103" s="314"/>
      <c r="Q103" s="493"/>
    </row>
    <row r="104" spans="1:17" s="160" customFormat="1" x14ac:dyDescent="0.25">
      <c r="A104" s="157">
        <f>'B) D RI'!A105</f>
        <v>5561</v>
      </c>
      <c r="B104" s="158" t="str">
        <f>'B) D RI'!B105</f>
        <v>Grandson</v>
      </c>
      <c r="C104" s="310">
        <f>'B) D RI'!S105</f>
        <v>69</v>
      </c>
      <c r="D104" s="159">
        <f>'B) D RI'!AA105</f>
        <v>3340</v>
      </c>
      <c r="E104" s="308">
        <f>'D) Ecrêtage'!C103</f>
        <v>113542.57695652173</v>
      </c>
      <c r="F104" s="312">
        <f>'E) Fact soc'!G109</f>
        <v>2986318.0711518014</v>
      </c>
      <c r="G104" s="309">
        <f>'H) Péréquation directe'!I114</f>
        <v>444924.22807393828</v>
      </c>
      <c r="H104" s="312">
        <f>+'I) Dépenses thématiques'!O103</f>
        <v>-1063013.0344319942</v>
      </c>
      <c r="I104" s="309">
        <f>'K) Plafonnement aide'!J103</f>
        <v>0</v>
      </c>
      <c r="J104" s="312">
        <f>'J) Plafonnement effort'!I103</f>
        <v>0</v>
      </c>
      <c r="K104" s="309">
        <f>'L) Plafonnement taux'!Q104</f>
        <v>0</v>
      </c>
      <c r="L104" s="307">
        <f t="shared" si="3"/>
        <v>2368229.2647937452</v>
      </c>
      <c r="M104" s="227">
        <f>'M) Police'!O104</f>
        <v>344441.10953661415</v>
      </c>
      <c r="N104" s="227">
        <f t="shared" si="4"/>
        <v>2712670.3743303595</v>
      </c>
      <c r="O104" s="399">
        <f t="shared" si="5"/>
        <v>-618088.80635805591</v>
      </c>
      <c r="P104" s="314"/>
      <c r="Q104" s="493"/>
    </row>
    <row r="105" spans="1:17" s="160" customFormat="1" x14ac:dyDescent="0.25">
      <c r="A105" s="157">
        <f>'B) D RI'!A106</f>
        <v>5562</v>
      </c>
      <c r="B105" s="158" t="str">
        <f>'B) D RI'!B106</f>
        <v>Mauborget</v>
      </c>
      <c r="C105" s="310">
        <f>'B) D RI'!S106</f>
        <v>70</v>
      </c>
      <c r="D105" s="159">
        <f>'B) D RI'!AA106</f>
        <v>120</v>
      </c>
      <c r="E105" s="308">
        <f>'D) Ecrêtage'!C104</f>
        <v>5487.2855</v>
      </c>
      <c r="F105" s="312">
        <f>'E) Fact soc'!G110</f>
        <v>122221.8768923741</v>
      </c>
      <c r="G105" s="309">
        <f>'H) Péréquation directe'!I115</f>
        <v>91453.760750337038</v>
      </c>
      <c r="H105" s="312">
        <f>+'I) Dépenses thématiques'!O104</f>
        <v>-856.54792616083864</v>
      </c>
      <c r="I105" s="309">
        <f>'K) Plafonnement aide'!J104</f>
        <v>0</v>
      </c>
      <c r="J105" s="312">
        <f>'J) Plafonnement effort'!I104</f>
        <v>0</v>
      </c>
      <c r="K105" s="309">
        <f>'L) Plafonnement taux'!Q105</f>
        <v>0</v>
      </c>
      <c r="L105" s="307">
        <f t="shared" si="3"/>
        <v>212819.08971655031</v>
      </c>
      <c r="M105" s="227">
        <f>'M) Police'!O105</f>
        <v>16602.056692499573</v>
      </c>
      <c r="N105" s="227">
        <f t="shared" si="4"/>
        <v>229421.14640904989</v>
      </c>
      <c r="O105" s="399">
        <f t="shared" si="5"/>
        <v>90597.212824176197</v>
      </c>
      <c r="P105" s="314"/>
      <c r="Q105" s="493"/>
    </row>
    <row r="106" spans="1:17" s="160" customFormat="1" x14ac:dyDescent="0.25">
      <c r="A106" s="157">
        <f>'B) D RI'!A107</f>
        <v>5563</v>
      </c>
      <c r="B106" s="158" t="str">
        <f>'B) D RI'!B107</f>
        <v>Mutrux</v>
      </c>
      <c r="C106" s="310">
        <f>'B) D RI'!S107</f>
        <v>80</v>
      </c>
      <c r="D106" s="159">
        <f>'B) D RI'!AA107</f>
        <v>153</v>
      </c>
      <c r="E106" s="308">
        <f>'D) Ecrêtage'!C105</f>
        <v>4022.9622499999991</v>
      </c>
      <c r="F106" s="312">
        <f>'E) Fact soc'!G111</f>
        <v>61475.003017297793</v>
      </c>
      <c r="G106" s="309">
        <f>'H) Péréquation directe'!I116</f>
        <v>-19497.495410032207</v>
      </c>
      <c r="H106" s="312">
        <f>+'I) Dépenses thématiques'!O105</f>
        <v>-29359.12754991958</v>
      </c>
      <c r="I106" s="309">
        <f>'K) Plafonnement aide'!J105</f>
        <v>0</v>
      </c>
      <c r="J106" s="312">
        <f>'J) Plafonnement effort'!I105</f>
        <v>0</v>
      </c>
      <c r="K106" s="309">
        <f>'L) Plafonnement taux'!Q106</f>
        <v>0</v>
      </c>
      <c r="L106" s="307">
        <f t="shared" si="3"/>
        <v>12618.380057346007</v>
      </c>
      <c r="M106" s="227">
        <f>'M) Police'!O106</f>
        <v>12284.044239513358</v>
      </c>
      <c r="N106" s="227">
        <f t="shared" si="4"/>
        <v>24902.424296859364</v>
      </c>
      <c r="O106" s="399">
        <f t="shared" si="5"/>
        <v>-48856.622959951783</v>
      </c>
      <c r="P106" s="314"/>
      <c r="Q106" s="493"/>
    </row>
    <row r="107" spans="1:17" s="160" customFormat="1" x14ac:dyDescent="0.25">
      <c r="A107" s="157">
        <f>'B) D RI'!A108</f>
        <v>5564</v>
      </c>
      <c r="B107" s="158" t="str">
        <f>'B) D RI'!B108</f>
        <v>Novalles</v>
      </c>
      <c r="C107" s="310">
        <f>'B) D RI'!S108</f>
        <v>76</v>
      </c>
      <c r="D107" s="159">
        <f>'B) D RI'!AA108</f>
        <v>100</v>
      </c>
      <c r="E107" s="308">
        <f>'D) Ecrêtage'!C106</f>
        <v>2263.2775657894736</v>
      </c>
      <c r="F107" s="312">
        <f>'E) Fact soc'!G112</f>
        <v>33260.098682379146</v>
      </c>
      <c r="G107" s="309">
        <f>'H) Péréquation directe'!I117</f>
        <v>-23294.245708258917</v>
      </c>
      <c r="H107" s="312">
        <f>+'I) Dépenses thématiques'!O106</f>
        <v>-10201.905514306116</v>
      </c>
      <c r="I107" s="309">
        <f>'K) Plafonnement aide'!J106</f>
        <v>0</v>
      </c>
      <c r="J107" s="312">
        <f>'J) Plafonnement effort'!I106</f>
        <v>0</v>
      </c>
      <c r="K107" s="309">
        <f>'L) Plafonnement taux'!Q107</f>
        <v>0</v>
      </c>
      <c r="L107" s="307">
        <f t="shared" si="3"/>
        <v>-236.05254018588676</v>
      </c>
      <c r="M107" s="227">
        <f>'M) Police'!O107</f>
        <v>6866.3826648061977</v>
      </c>
      <c r="N107" s="227">
        <f t="shared" si="4"/>
        <v>6630.3301246203109</v>
      </c>
      <c r="O107" s="399">
        <f t="shared" si="5"/>
        <v>-33496.151222565037</v>
      </c>
      <c r="P107" s="314"/>
      <c r="Q107" s="493"/>
    </row>
    <row r="108" spans="1:17" s="160" customFormat="1" x14ac:dyDescent="0.25">
      <c r="A108" s="157">
        <f>'B) D RI'!A109</f>
        <v>5565</v>
      </c>
      <c r="B108" s="158" t="str">
        <f>'B) D RI'!B109</f>
        <v>Onnens</v>
      </c>
      <c r="C108" s="310">
        <f>'B) D RI'!S109</f>
        <v>65</v>
      </c>
      <c r="D108" s="159">
        <f>'B) D RI'!AA109</f>
        <v>497</v>
      </c>
      <c r="E108" s="308">
        <f>'D) Ecrêtage'!C107</f>
        <v>18486.800307692305</v>
      </c>
      <c r="F108" s="312">
        <f>'E) Fact soc'!G113</f>
        <v>361511.26226493128</v>
      </c>
      <c r="G108" s="309">
        <f>'H) Péréquation directe'!I118</f>
        <v>224880.49322337148</v>
      </c>
      <c r="H108" s="312">
        <f>+'I) Dépenses thématiques'!O107</f>
        <v>-63746.596610089662</v>
      </c>
      <c r="I108" s="309">
        <f>'K) Plafonnement aide'!J107</f>
        <v>0</v>
      </c>
      <c r="J108" s="312">
        <f>'J) Plafonnement effort'!I107</f>
        <v>0</v>
      </c>
      <c r="K108" s="309">
        <f>'L) Plafonnement taux'!Q108</f>
        <v>0</v>
      </c>
      <c r="L108" s="307">
        <f t="shared" si="3"/>
        <v>522645.15887821314</v>
      </c>
      <c r="M108" s="227">
        <f>'M) Police'!O108</f>
        <v>54351.41985491736</v>
      </c>
      <c r="N108" s="227">
        <f t="shared" si="4"/>
        <v>576996.57873313047</v>
      </c>
      <c r="O108" s="399">
        <f t="shared" si="5"/>
        <v>161133.8966132818</v>
      </c>
      <c r="P108" s="314"/>
      <c r="Q108" s="493"/>
    </row>
    <row r="109" spans="1:17" s="160" customFormat="1" x14ac:dyDescent="0.25">
      <c r="A109" s="157">
        <f>'B) D RI'!A110</f>
        <v>5566</v>
      </c>
      <c r="B109" s="158" t="str">
        <f>'B) D RI'!B110</f>
        <v>Provence</v>
      </c>
      <c r="C109" s="310">
        <f>'B) D RI'!S110</f>
        <v>81</v>
      </c>
      <c r="D109" s="159">
        <f>'B) D RI'!AA110</f>
        <v>379</v>
      </c>
      <c r="E109" s="308">
        <f>'D) Ecrêtage'!C108</f>
        <v>8488.3012345678999</v>
      </c>
      <c r="F109" s="312">
        <f>'E) Fact soc'!G114</f>
        <v>168501.83347285248</v>
      </c>
      <c r="G109" s="309">
        <f>'H) Péréquation directe'!I119</f>
        <v>-121252.90809327093</v>
      </c>
      <c r="H109" s="312">
        <f>+'I) Dépenses thématiques'!O108</f>
        <v>-218641.1315980439</v>
      </c>
      <c r="I109" s="309">
        <f>'K) Plafonnement aide'!J108</f>
        <v>0</v>
      </c>
      <c r="J109" s="312">
        <f>'J) Plafonnement effort'!I108</f>
        <v>0</v>
      </c>
      <c r="K109" s="309">
        <f>'L) Plafonnement taux'!Q109</f>
        <v>0</v>
      </c>
      <c r="L109" s="307">
        <f t="shared" si="3"/>
        <v>-171392.20621846235</v>
      </c>
      <c r="M109" s="227">
        <f>'M) Police'!O109</f>
        <v>25698.772305757488</v>
      </c>
      <c r="N109" s="227">
        <f t="shared" si="4"/>
        <v>-145693.43391270487</v>
      </c>
      <c r="O109" s="399">
        <f t="shared" si="5"/>
        <v>-339894.0396913148</v>
      </c>
      <c r="P109" s="314"/>
      <c r="Q109" s="493"/>
    </row>
    <row r="110" spans="1:17" s="160" customFormat="1" x14ac:dyDescent="0.25">
      <c r="A110" s="157">
        <f>'B) D RI'!A111</f>
        <v>5568</v>
      </c>
      <c r="B110" s="158" t="str">
        <f>'B) D RI'!B111</f>
        <v>Sainte-Croix</v>
      </c>
      <c r="C110" s="310">
        <f>'B) D RI'!S111</f>
        <v>70</v>
      </c>
      <c r="D110" s="159">
        <f>'B) D RI'!AA111</f>
        <v>4888</v>
      </c>
      <c r="E110" s="308">
        <f>'D) Ecrêtage'!C109</f>
        <v>109300.43271428571</v>
      </c>
      <c r="F110" s="312">
        <f>'E) Fact soc'!G115</f>
        <v>2665555.4979151306</v>
      </c>
      <c r="G110" s="309">
        <f>'H) Péréquation directe'!I120</f>
        <v>-1939572.9961110265</v>
      </c>
      <c r="H110" s="312">
        <f>+'I) Dépenses thématiques'!O109</f>
        <v>-1351440.5187934819</v>
      </c>
      <c r="I110" s="309">
        <f>'K) Plafonnement aide'!J109</f>
        <v>0</v>
      </c>
      <c r="J110" s="312">
        <f>'J) Plafonnement effort'!I109</f>
        <v>0</v>
      </c>
      <c r="K110" s="309">
        <f>'L) Plafonnement taux'!Q110</f>
        <v>0</v>
      </c>
      <c r="L110" s="307">
        <f t="shared" si="3"/>
        <v>-625458.01698937779</v>
      </c>
      <c r="M110" s="227">
        <f>'M) Police'!O110</f>
        <v>330296.47973827535</v>
      </c>
      <c r="N110" s="227">
        <f t="shared" si="4"/>
        <v>-295161.53725110245</v>
      </c>
      <c r="O110" s="399">
        <f t="shared" si="5"/>
        <v>-3291013.5149045084</v>
      </c>
      <c r="P110" s="314"/>
      <c r="Q110" s="493"/>
    </row>
    <row r="111" spans="1:17" s="160" customFormat="1" x14ac:dyDescent="0.25">
      <c r="A111" s="157">
        <f>'B) D RI'!A112</f>
        <v>5571</v>
      </c>
      <c r="B111" s="158" t="str">
        <f>'B) D RI'!B112</f>
        <v>Tévenon</v>
      </c>
      <c r="C111" s="310">
        <f>'B) D RI'!S112</f>
        <v>73</v>
      </c>
      <c r="D111" s="159">
        <f>'B) D RI'!AA112</f>
        <v>896</v>
      </c>
      <c r="E111" s="308">
        <f>'D) Ecrêtage'!C110</f>
        <v>24815.960251141551</v>
      </c>
      <c r="F111" s="312">
        <f>'E) Fact soc'!G116</f>
        <v>434211.14091728063</v>
      </c>
      <c r="G111" s="309">
        <f>'H) Péréquation directe'!I121</f>
        <v>16622.248749252118</v>
      </c>
      <c r="H111" s="312">
        <f>+'I) Dépenses thématiques'!O110</f>
        <v>-122084.72508860943</v>
      </c>
      <c r="I111" s="309">
        <f>'K) Plafonnement aide'!J110</f>
        <v>0</v>
      </c>
      <c r="J111" s="312">
        <f>'J) Plafonnement effort'!I110</f>
        <v>0</v>
      </c>
      <c r="K111" s="309">
        <f>'L) Plafonnement taux'!Q111</f>
        <v>0</v>
      </c>
      <c r="L111" s="307">
        <f t="shared" si="3"/>
        <v>328748.66457792331</v>
      </c>
      <c r="M111" s="227">
        <f>'M) Police'!O111</f>
        <v>74502.741431842427</v>
      </c>
      <c r="N111" s="227">
        <f t="shared" si="4"/>
        <v>403251.40600976575</v>
      </c>
      <c r="O111" s="399">
        <f t="shared" si="5"/>
        <v>-105462.47633935731</v>
      </c>
      <c r="P111" s="314"/>
      <c r="Q111" s="493"/>
    </row>
    <row r="112" spans="1:17" s="160" customFormat="1" x14ac:dyDescent="0.25">
      <c r="A112" s="157">
        <f>'B) D RI'!A113</f>
        <v>5581</v>
      </c>
      <c r="B112" s="158" t="str">
        <f>'B) D RI'!B113</f>
        <v>Belmont-sur-Lausanne</v>
      </c>
      <c r="C112" s="310">
        <f>'B) D RI'!S113</f>
        <v>72</v>
      </c>
      <c r="D112" s="159">
        <f>'B) D RI'!AA113</f>
        <v>3773</v>
      </c>
      <c r="E112" s="308">
        <f>'D) Ecrêtage'!C111</f>
        <v>187774.68592592591</v>
      </c>
      <c r="F112" s="312">
        <f>'E) Fact soc'!G117</f>
        <v>3272414.9370178939</v>
      </c>
      <c r="G112" s="309">
        <f>'H) Péréquation directe'!I122</f>
        <v>2539156.0365479374</v>
      </c>
      <c r="H112" s="312">
        <f>+'I) Dépenses thématiques'!O111</f>
        <v>-1023656.5004802936</v>
      </c>
      <c r="I112" s="309">
        <f>'K) Plafonnement aide'!J111</f>
        <v>0</v>
      </c>
      <c r="J112" s="312">
        <f>'J) Plafonnement effort'!I111</f>
        <v>0</v>
      </c>
      <c r="K112" s="309">
        <f>'L) Plafonnement taux'!Q112</f>
        <v>0</v>
      </c>
      <c r="L112" s="307">
        <f t="shared" si="3"/>
        <v>4787914.4730855385</v>
      </c>
      <c r="M112" s="227">
        <f>'M) Police'!O112</f>
        <v>223869.78326273023</v>
      </c>
      <c r="N112" s="227">
        <f t="shared" si="4"/>
        <v>5011784.2563482691</v>
      </c>
      <c r="O112" s="399">
        <f t="shared" si="5"/>
        <v>1515499.5360676437</v>
      </c>
      <c r="P112" s="314"/>
      <c r="Q112" s="493"/>
    </row>
    <row r="113" spans="1:17" s="160" customFormat="1" x14ac:dyDescent="0.25">
      <c r="A113" s="157">
        <f>'B) D RI'!A114</f>
        <v>5582</v>
      </c>
      <c r="B113" s="158" t="str">
        <f>'B) D RI'!B114</f>
        <v>Cheseaux-sur-Lausanne</v>
      </c>
      <c r="C113" s="310">
        <f>'B) D RI'!S114</f>
        <v>74.5</v>
      </c>
      <c r="D113" s="159">
        <f>'B) D RI'!AA114</f>
        <v>4339</v>
      </c>
      <c r="E113" s="308">
        <f>'D) Ecrêtage'!C112</f>
        <v>167195.61731543625</v>
      </c>
      <c r="F113" s="312">
        <f>'E) Fact soc'!G118</f>
        <v>3062948.4990868662</v>
      </c>
      <c r="G113" s="309">
        <f>'H) Péréquation directe'!I123</f>
        <v>1023789.2528102752</v>
      </c>
      <c r="H113" s="312">
        <f>+'I) Dépenses thématiques'!O112</f>
        <v>-356289.1355157622</v>
      </c>
      <c r="I113" s="309">
        <f>'K) Plafonnement aide'!J112</f>
        <v>0</v>
      </c>
      <c r="J113" s="312">
        <f>'J) Plafonnement effort'!I112</f>
        <v>0</v>
      </c>
      <c r="K113" s="309">
        <f>'L) Plafonnement taux'!Q113</f>
        <v>0</v>
      </c>
      <c r="L113" s="307">
        <f t="shared" si="3"/>
        <v>3730448.6163813793</v>
      </c>
      <c r="M113" s="227">
        <f>'M) Police'!O113</f>
        <v>508573.44004053733</v>
      </c>
      <c r="N113" s="227">
        <f t="shared" si="4"/>
        <v>4239022.0564219169</v>
      </c>
      <c r="O113" s="399">
        <f t="shared" si="5"/>
        <v>667500.11729451292</v>
      </c>
      <c r="P113" s="314"/>
      <c r="Q113" s="493"/>
    </row>
    <row r="114" spans="1:17" s="160" customFormat="1" x14ac:dyDescent="0.25">
      <c r="A114" s="157">
        <f>'B) D RI'!A115</f>
        <v>5583</v>
      </c>
      <c r="B114" s="158" t="str">
        <f>'B) D RI'!B115</f>
        <v>Crissier</v>
      </c>
      <c r="C114" s="310">
        <f>'B) D RI'!S115</f>
        <v>65</v>
      </c>
      <c r="D114" s="159">
        <f>'B) D RI'!AA115</f>
        <v>7944</v>
      </c>
      <c r="E114" s="308">
        <f>'D) Ecrêtage'!C113</f>
        <v>313349.85476923082</v>
      </c>
      <c r="F114" s="312">
        <f>'E) Fact soc'!G119</f>
        <v>6044271.6497843657</v>
      </c>
      <c r="G114" s="309">
        <f>'H) Péréquation directe'!I124</f>
        <v>1639038.1392702311</v>
      </c>
      <c r="H114" s="312">
        <f>+'I) Dépenses thématiques'!O113</f>
        <v>-2392156.4257416511</v>
      </c>
      <c r="I114" s="309">
        <f>'K) Plafonnement aide'!J113</f>
        <v>0</v>
      </c>
      <c r="J114" s="312">
        <f>'J) Plafonnement effort'!I113</f>
        <v>0</v>
      </c>
      <c r="K114" s="309">
        <f>'L) Plafonnement taux'!Q114</f>
        <v>0</v>
      </c>
      <c r="L114" s="307">
        <f t="shared" si="3"/>
        <v>5291153.3633129457</v>
      </c>
      <c r="M114" s="227">
        <f>'M) Police'!O114</f>
        <v>373583.71138625452</v>
      </c>
      <c r="N114" s="227">
        <f t="shared" si="4"/>
        <v>5664737.0746992007</v>
      </c>
      <c r="O114" s="399">
        <f t="shared" si="5"/>
        <v>-753118.28647141997</v>
      </c>
      <c r="P114" s="314"/>
      <c r="Q114" s="493"/>
    </row>
    <row r="115" spans="1:17" s="160" customFormat="1" x14ac:dyDescent="0.25">
      <c r="A115" s="157">
        <f>'B) D RI'!A116</f>
        <v>5584</v>
      </c>
      <c r="B115" s="158" t="str">
        <f>'B) D RI'!B116</f>
        <v>Epalinges</v>
      </c>
      <c r="C115" s="310">
        <f>'B) D RI'!S116</f>
        <v>66</v>
      </c>
      <c r="D115" s="159">
        <f>'B) D RI'!AA116</f>
        <v>9701</v>
      </c>
      <c r="E115" s="308">
        <f>'D) Ecrêtage'!C114</f>
        <v>475091.38424242428</v>
      </c>
      <c r="F115" s="312">
        <f>'E) Fact soc'!G120</f>
        <v>8434738.2742269207</v>
      </c>
      <c r="G115" s="309">
        <f>'H) Péréquation directe'!I125</f>
        <v>4659906.7272477318</v>
      </c>
      <c r="H115" s="312">
        <f>+'I) Dépenses thématiques'!O114</f>
        <v>-3623895.5148903932</v>
      </c>
      <c r="I115" s="309">
        <f>'K) Plafonnement aide'!J114</f>
        <v>0</v>
      </c>
      <c r="J115" s="312">
        <f>'J) Plafonnement effort'!I114</f>
        <v>0</v>
      </c>
      <c r="K115" s="309">
        <f>'L) Plafonnement taux'!Q115</f>
        <v>0</v>
      </c>
      <c r="L115" s="307">
        <f t="shared" si="3"/>
        <v>9470749.4865842592</v>
      </c>
      <c r="M115" s="227">
        <f>'M) Police'!O115</f>
        <v>1414134.7992631786</v>
      </c>
      <c r="N115" s="227">
        <f t="shared" si="4"/>
        <v>10884884.285847438</v>
      </c>
      <c r="O115" s="399">
        <f t="shared" si="5"/>
        <v>1036011.2123573385</v>
      </c>
      <c r="P115" s="314"/>
      <c r="Q115" s="493"/>
    </row>
    <row r="116" spans="1:17" s="160" customFormat="1" x14ac:dyDescent="0.25">
      <c r="A116" s="157">
        <f>'B) D RI'!A117</f>
        <v>5585</v>
      </c>
      <c r="B116" s="158" t="str">
        <f>'B) D RI'!B117</f>
        <v>Jouxtens-Mézery</v>
      </c>
      <c r="C116" s="310">
        <f>'B) D RI'!S117</f>
        <v>59</v>
      </c>
      <c r="D116" s="159">
        <f>'B) D RI'!AA117</f>
        <v>1423</v>
      </c>
      <c r="E116" s="308">
        <f>'D) Ecrêtage'!C115</f>
        <v>229695.06966101698</v>
      </c>
      <c r="F116" s="312">
        <f>'E) Fact soc'!G121</f>
        <v>7887589.3596754055</v>
      </c>
      <c r="G116" s="309">
        <f>'H) Péréquation directe'!I126</f>
        <v>4321014.7699577641</v>
      </c>
      <c r="H116" s="312">
        <f>+'I) Dépenses thématiques'!O115</f>
        <v>0</v>
      </c>
      <c r="I116" s="309">
        <f>'K) Plafonnement aide'!J115</f>
        <v>0</v>
      </c>
      <c r="J116" s="312">
        <f>'J) Plafonnement effort'!I115</f>
        <v>-1872325.9948874046</v>
      </c>
      <c r="K116" s="309">
        <f>'L) Plafonnement taux'!Q116</f>
        <v>0</v>
      </c>
      <c r="L116" s="307">
        <f t="shared" si="3"/>
        <v>10336278.134745765</v>
      </c>
      <c r="M116" s="227">
        <f>'M) Police'!O116</f>
        <v>398196.72469143459</v>
      </c>
      <c r="N116" s="227">
        <f t="shared" si="4"/>
        <v>10734474.859437199</v>
      </c>
      <c r="O116" s="399">
        <f t="shared" si="5"/>
        <v>2448688.7750703595</v>
      </c>
      <c r="P116" s="314"/>
      <c r="Q116" s="493"/>
    </row>
    <row r="117" spans="1:17" s="160" customFormat="1" x14ac:dyDescent="0.25">
      <c r="A117" s="157">
        <f>'B) D RI'!A118</f>
        <v>5586</v>
      </c>
      <c r="B117" s="158" t="str">
        <f>'B) D RI'!B118</f>
        <v>Lausanne</v>
      </c>
      <c r="C117" s="310">
        <f>'B) D RI'!S118</f>
        <v>79</v>
      </c>
      <c r="D117" s="159">
        <f>'B) D RI'!AA118</f>
        <v>139726</v>
      </c>
      <c r="E117" s="308">
        <f>'D) Ecrêtage'!C116</f>
        <v>6038274.9810970454</v>
      </c>
      <c r="F117" s="312">
        <f>'E) Fact soc'!G122</f>
        <v>108920136.56291933</v>
      </c>
      <c r="G117" s="309">
        <f>'H) Péréquation directe'!I127</f>
        <v>-34138159.861661166</v>
      </c>
      <c r="H117" s="312">
        <f>+'I) Dépenses thématiques'!O116</f>
        <v>-57807078.107040443</v>
      </c>
      <c r="I117" s="309">
        <f>'K) Plafonnement aide'!J116</f>
        <v>0</v>
      </c>
      <c r="J117" s="312">
        <f>'J) Plafonnement effort'!I116</f>
        <v>0</v>
      </c>
      <c r="K117" s="309">
        <f>'L) Plafonnement taux'!Q117</f>
        <v>0</v>
      </c>
      <c r="L117" s="307">
        <f t="shared" ref="L117:L167" si="6">F117+G117+H117+I117+J117+K117</f>
        <v>16974898.594217725</v>
      </c>
      <c r="M117" s="227">
        <f>'M) Police'!O117</f>
        <v>7198985.8730596965</v>
      </c>
      <c r="N117" s="227">
        <f t="shared" si="4"/>
        <v>24173884.467277423</v>
      </c>
      <c r="O117" s="399">
        <f t="shared" si="5"/>
        <v>-91945237.968701601</v>
      </c>
      <c r="P117" s="314"/>
      <c r="Q117" s="493"/>
    </row>
    <row r="118" spans="1:17" s="160" customFormat="1" x14ac:dyDescent="0.25">
      <c r="A118" s="157">
        <f>'B) D RI'!A119</f>
        <v>5587</v>
      </c>
      <c r="B118" s="158" t="str">
        <f>'B) D RI'!B119</f>
        <v>Le Mont-sur-Lausanne</v>
      </c>
      <c r="C118" s="310">
        <f>'B) D RI'!S119</f>
        <v>75</v>
      </c>
      <c r="D118" s="159">
        <f>'B) D RI'!AA119</f>
        <v>8991</v>
      </c>
      <c r="E118" s="308">
        <f>'D) Ecrêtage'!C117</f>
        <v>437426.32075555553</v>
      </c>
      <c r="F118" s="312">
        <f>'E) Fact soc'!G123</f>
        <v>7555978.8820711616</v>
      </c>
      <c r="G118" s="309">
        <f>'H) Péréquation directe'!I128</f>
        <v>4510627.8405609569</v>
      </c>
      <c r="H118" s="312">
        <f>+'I) Dépenses thématiques'!O117</f>
        <v>-2572059.6860221359</v>
      </c>
      <c r="I118" s="309">
        <f>'K) Plafonnement aide'!J117</f>
        <v>0</v>
      </c>
      <c r="J118" s="312">
        <f>'J) Plafonnement effort'!I117</f>
        <v>0</v>
      </c>
      <c r="K118" s="309">
        <f>'L) Plafonnement taux'!Q118</f>
        <v>0</v>
      </c>
      <c r="L118" s="307">
        <f t="shared" si="6"/>
        <v>9494547.0366099812</v>
      </c>
      <c r="M118" s="227">
        <f>'M) Police'!O118</f>
        <v>1307186.4303522343</v>
      </c>
      <c r="N118" s="227">
        <f t="shared" si="4"/>
        <v>10801733.466962215</v>
      </c>
      <c r="O118" s="399">
        <f t="shared" si="5"/>
        <v>1938568.154538821</v>
      </c>
      <c r="P118" s="314"/>
      <c r="Q118" s="493"/>
    </row>
    <row r="119" spans="1:17" s="160" customFormat="1" x14ac:dyDescent="0.25">
      <c r="A119" s="157">
        <f>'B) D RI'!A120</f>
        <v>5588</v>
      </c>
      <c r="B119" s="158" t="str">
        <f>'B) D RI'!B120</f>
        <v>Paudex</v>
      </c>
      <c r="C119" s="310">
        <f>'B) D RI'!S120</f>
        <v>68</v>
      </c>
      <c r="D119" s="159">
        <f>'B) D RI'!AA120</f>
        <v>1532</v>
      </c>
      <c r="E119" s="308">
        <f>'D) Ecrêtage'!C118</f>
        <v>134588.09264705883</v>
      </c>
      <c r="F119" s="312">
        <f>'E) Fact soc'!G124</f>
        <v>3415240.8549245796</v>
      </c>
      <c r="G119" s="309">
        <f>'H) Péréquation directe'!I129</f>
        <v>2379896.9766078112</v>
      </c>
      <c r="H119" s="312">
        <f>+'I) Dépenses thématiques'!O118</f>
        <v>0</v>
      </c>
      <c r="I119" s="309">
        <f>'K) Plafonnement aide'!J118</f>
        <v>0</v>
      </c>
      <c r="J119" s="312">
        <f>'J) Plafonnement effort'!I118</f>
        <v>0</v>
      </c>
      <c r="K119" s="309">
        <f>'L) Plafonnement taux'!Q119</f>
        <v>0</v>
      </c>
      <c r="L119" s="307">
        <f t="shared" si="6"/>
        <v>5795137.8315323908</v>
      </c>
      <c r="M119" s="227">
        <f>'M) Police'!O119</f>
        <v>160459.36640536945</v>
      </c>
      <c r="N119" s="227">
        <f t="shared" si="4"/>
        <v>5955597.1979377605</v>
      </c>
      <c r="O119" s="399">
        <f t="shared" si="5"/>
        <v>2379896.9766078112</v>
      </c>
      <c r="P119" s="314"/>
      <c r="Q119" s="493"/>
    </row>
    <row r="120" spans="1:17" s="160" customFormat="1" x14ac:dyDescent="0.25">
      <c r="A120" s="157">
        <f>'B) D RI'!A121</f>
        <v>5589</v>
      </c>
      <c r="B120" s="158" t="str">
        <f>'B) D RI'!B121</f>
        <v>Prilly</v>
      </c>
      <c r="C120" s="310">
        <f>'B) D RI'!S121</f>
        <v>73.5</v>
      </c>
      <c r="D120" s="159">
        <f>'B) D RI'!AA121</f>
        <v>12423</v>
      </c>
      <c r="E120" s="308">
        <f>'D) Ecrêtage'!C119</f>
        <v>418113.86360020924</v>
      </c>
      <c r="F120" s="312">
        <f>'E) Fact soc'!G125</f>
        <v>7233589.5168114295</v>
      </c>
      <c r="G120" s="309">
        <f>'H) Péréquation directe'!I130</f>
        <v>-2447992.579830314</v>
      </c>
      <c r="H120" s="312">
        <f>+'I) Dépenses thématiques'!O119</f>
        <v>-2827013.6973192398</v>
      </c>
      <c r="I120" s="309">
        <f>'K) Plafonnement aide'!J119</f>
        <v>0</v>
      </c>
      <c r="J120" s="312">
        <f>'J) Plafonnement effort'!I119</f>
        <v>0</v>
      </c>
      <c r="K120" s="309">
        <f>'L) Plafonnement taux'!Q120</f>
        <v>0</v>
      </c>
      <c r="L120" s="307">
        <f t="shared" si="6"/>
        <v>1958583.2396618756</v>
      </c>
      <c r="M120" s="227">
        <f>'M) Police'!O120</f>
        <v>498486.04225729604</v>
      </c>
      <c r="N120" s="227">
        <f t="shared" si="4"/>
        <v>2457069.2819191716</v>
      </c>
      <c r="O120" s="399">
        <f t="shared" si="5"/>
        <v>-5275006.2771495543</v>
      </c>
      <c r="P120" s="314"/>
      <c r="Q120" s="493"/>
    </row>
    <row r="121" spans="1:17" s="160" customFormat="1" x14ac:dyDescent="0.25">
      <c r="A121" s="157">
        <f>'B) D RI'!A122</f>
        <v>5590</v>
      </c>
      <c r="B121" s="158" t="str">
        <f>'B) D RI'!B122</f>
        <v>Pully</v>
      </c>
      <c r="C121" s="310">
        <f>'B) D RI'!S122</f>
        <v>61</v>
      </c>
      <c r="D121" s="159">
        <f>'B) D RI'!AA122</f>
        <v>18495</v>
      </c>
      <c r="E121" s="308">
        <f>'D) Ecrêtage'!C120</f>
        <v>1533094.7704683845</v>
      </c>
      <c r="F121" s="312">
        <f>'E) Fact soc'!G126</f>
        <v>39946403.184118681</v>
      </c>
      <c r="G121" s="309">
        <f>'H) Péréquation directe'!I131</f>
        <v>17159773.672288485</v>
      </c>
      <c r="H121" s="312">
        <f>+'I) Dépenses thématiques'!O120</f>
        <v>-2084073.182346225</v>
      </c>
      <c r="I121" s="309">
        <f>'K) Plafonnement aide'!J120</f>
        <v>0</v>
      </c>
      <c r="J121" s="312">
        <f>'J) Plafonnement effort'!I120</f>
        <v>0</v>
      </c>
      <c r="K121" s="309">
        <f>'L) Plafonnement taux'!Q121</f>
        <v>0</v>
      </c>
      <c r="L121" s="307">
        <f t="shared" si="6"/>
        <v>55022103.674060941</v>
      </c>
      <c r="M121" s="227">
        <f>'M) Police'!O121</f>
        <v>1827794.7972250883</v>
      </c>
      <c r="N121" s="227">
        <f t="shared" si="4"/>
        <v>56849898.471286029</v>
      </c>
      <c r="O121" s="399">
        <f t="shared" si="5"/>
        <v>15075700.48994226</v>
      </c>
      <c r="P121" s="314"/>
      <c r="Q121" s="493"/>
    </row>
    <row r="122" spans="1:17" s="160" customFormat="1" x14ac:dyDescent="0.25">
      <c r="A122" s="157">
        <f>'B) D RI'!A123</f>
        <v>5591</v>
      </c>
      <c r="B122" s="158" t="str">
        <f>'B) D RI'!B123</f>
        <v>Renens</v>
      </c>
      <c r="C122" s="310">
        <f>'B) D RI'!S123</f>
        <v>78.5</v>
      </c>
      <c r="D122" s="159">
        <f>'B) D RI'!AA123</f>
        <v>20928</v>
      </c>
      <c r="E122" s="308">
        <f>'D) Ecrêtage'!C121</f>
        <v>563128.30316651508</v>
      </c>
      <c r="F122" s="312">
        <f>'E) Fact soc'!G127</f>
        <v>10244932.356363542</v>
      </c>
      <c r="G122" s="309">
        <f>'H) Péréquation directe'!I132</f>
        <v>-15136672.70904661</v>
      </c>
      <c r="H122" s="312">
        <f>+'I) Dépenses thématiques'!O121</f>
        <v>-6209586.1604981907</v>
      </c>
      <c r="I122" s="309">
        <f>'K) Plafonnement aide'!J121</f>
        <v>386713.92735094792</v>
      </c>
      <c r="J122" s="312">
        <f>'J) Plafonnement effort'!I121</f>
        <v>0</v>
      </c>
      <c r="K122" s="309">
        <f>'L) Plafonnement taux'!Q122</f>
        <v>0</v>
      </c>
      <c r="L122" s="307">
        <f t="shared" si="6"/>
        <v>-10714612.58583031</v>
      </c>
      <c r="M122" s="227">
        <f>'M) Police'!O122</f>
        <v>671375.96613383945</v>
      </c>
      <c r="N122" s="227">
        <f t="shared" si="4"/>
        <v>-10043236.619696472</v>
      </c>
      <c r="O122" s="399">
        <f t="shared" si="5"/>
        <v>-20959544.942193851</v>
      </c>
      <c r="P122" s="314"/>
      <c r="Q122" s="493"/>
    </row>
    <row r="123" spans="1:17" s="160" customFormat="1" x14ac:dyDescent="0.25">
      <c r="A123" s="157">
        <f>'B) D RI'!A124</f>
        <v>5592</v>
      </c>
      <c r="B123" s="158" t="str">
        <f>'B) D RI'!B124</f>
        <v>Romanel-sur-Lausanne</v>
      </c>
      <c r="C123" s="310">
        <f>'B) D RI'!S124</f>
        <v>72</v>
      </c>
      <c r="D123" s="159">
        <f>'B) D RI'!AA124</f>
        <v>3294</v>
      </c>
      <c r="E123" s="308">
        <f>'D) Ecrêtage'!C122</f>
        <v>113674.73902777777</v>
      </c>
      <c r="F123" s="312">
        <f>'E) Fact soc'!G128</f>
        <v>2028734.5267953984</v>
      </c>
      <c r="G123" s="309">
        <f>'H) Péréquation directe'!I133</f>
        <v>444442.76554978546</v>
      </c>
      <c r="H123" s="312">
        <f>+'I) Dépenses thématiques'!O122</f>
        <v>-274982.56384424132</v>
      </c>
      <c r="I123" s="309">
        <f>'K) Plafonnement aide'!J122</f>
        <v>0</v>
      </c>
      <c r="J123" s="312">
        <f>'J) Plafonnement effort'!I122</f>
        <v>0</v>
      </c>
      <c r="K123" s="309">
        <f>'L) Plafonnement taux'!Q123</f>
        <v>0</v>
      </c>
      <c r="L123" s="307">
        <f t="shared" si="6"/>
        <v>2198194.7285009427</v>
      </c>
      <c r="M123" s="227">
        <f>'M) Police'!O123</f>
        <v>336294.57132087566</v>
      </c>
      <c r="N123" s="227">
        <f t="shared" si="4"/>
        <v>2534489.2998218182</v>
      </c>
      <c r="O123" s="399">
        <f t="shared" si="5"/>
        <v>169460.20170554414</v>
      </c>
      <c r="P123" s="314"/>
      <c r="Q123" s="493"/>
    </row>
    <row r="124" spans="1:17" s="160" customFormat="1" x14ac:dyDescent="0.25">
      <c r="A124" s="157">
        <f>'B) D RI'!A125</f>
        <v>5601</v>
      </c>
      <c r="B124" s="158" t="str">
        <f>'B) D RI'!B125</f>
        <v>Chexbres</v>
      </c>
      <c r="C124" s="310">
        <f>'B) D RI'!S125</f>
        <v>69</v>
      </c>
      <c r="D124" s="159">
        <f>'B) D RI'!AA125</f>
        <v>2235</v>
      </c>
      <c r="E124" s="308">
        <f>'D) Ecrêtage'!C123</f>
        <v>103470.98536231882</v>
      </c>
      <c r="F124" s="312">
        <f>'E) Fact soc'!G129</f>
        <v>1945355.1326032868</v>
      </c>
      <c r="G124" s="309">
        <f>'H) Péréquation directe'!I134</f>
        <v>1475132.7042704569</v>
      </c>
      <c r="H124" s="312">
        <f>+'I) Dépenses thématiques'!O123</f>
        <v>-302656.94711016893</v>
      </c>
      <c r="I124" s="309">
        <f>'K) Plafonnement aide'!J123</f>
        <v>0</v>
      </c>
      <c r="J124" s="312">
        <f>'J) Plafonnement effort'!I123</f>
        <v>0</v>
      </c>
      <c r="K124" s="309">
        <f>'L) Plafonnement taux'!Q124</f>
        <v>0</v>
      </c>
      <c r="L124" s="307">
        <f t="shared" si="6"/>
        <v>3117830.8897635746</v>
      </c>
      <c r="M124" s="227">
        <f>'M) Police'!O124</f>
        <v>123360.75522012207</v>
      </c>
      <c r="N124" s="227">
        <f t="shared" si="4"/>
        <v>3241191.6449836968</v>
      </c>
      <c r="O124" s="399">
        <f t="shared" si="5"/>
        <v>1172475.757160288</v>
      </c>
      <c r="P124" s="314"/>
      <c r="Q124" s="493"/>
    </row>
    <row r="125" spans="1:17" s="160" customFormat="1" x14ac:dyDescent="0.25">
      <c r="A125" s="157">
        <f>'B) D RI'!A126</f>
        <v>5604</v>
      </c>
      <c r="B125" s="158" t="str">
        <f>'B) D RI'!B126</f>
        <v>Forel (Lavaux)</v>
      </c>
      <c r="C125" s="310">
        <f>'B) D RI'!S126</f>
        <v>70</v>
      </c>
      <c r="D125" s="159">
        <f>'B) D RI'!AA126</f>
        <v>2064</v>
      </c>
      <c r="E125" s="308">
        <f>'D) Ecrêtage'!C124</f>
        <v>73971.129714285707</v>
      </c>
      <c r="F125" s="312">
        <f>'E) Fact soc'!G130</f>
        <v>1284917.0365128051</v>
      </c>
      <c r="G125" s="309">
        <f>'H) Péréquation directe'!I135</f>
        <v>528079.62885413598</v>
      </c>
      <c r="H125" s="312">
        <f>+'I) Dépenses thématiques'!O124</f>
        <v>-349092.8799326127</v>
      </c>
      <c r="I125" s="309">
        <f>'K) Plafonnement aide'!J124</f>
        <v>0</v>
      </c>
      <c r="J125" s="312">
        <f>'J) Plafonnement effort'!I124</f>
        <v>0</v>
      </c>
      <c r="K125" s="309">
        <f>'L) Plafonnement taux'!Q125</f>
        <v>0</v>
      </c>
      <c r="L125" s="307">
        <f t="shared" si="6"/>
        <v>1463903.7854343285</v>
      </c>
      <c r="M125" s="227">
        <f>'M) Police'!O125</f>
        <v>223820.98365764727</v>
      </c>
      <c r="N125" s="227">
        <f t="shared" si="4"/>
        <v>1687724.7690919759</v>
      </c>
      <c r="O125" s="399">
        <f t="shared" si="5"/>
        <v>178986.74892152328</v>
      </c>
      <c r="P125" s="314"/>
      <c r="Q125" s="493"/>
    </row>
    <row r="126" spans="1:17" s="160" customFormat="1" x14ac:dyDescent="0.25">
      <c r="A126" s="157">
        <f>'B) D RI'!A127</f>
        <v>5606</v>
      </c>
      <c r="B126" s="158" t="str">
        <f>'B) D RI'!B127</f>
        <v>Lutry</v>
      </c>
      <c r="C126" s="310">
        <f>'B) D RI'!S127</f>
        <v>55.5</v>
      </c>
      <c r="D126" s="159">
        <f>'B) D RI'!AA127</f>
        <v>10357</v>
      </c>
      <c r="E126" s="308">
        <f>'D) Ecrêtage'!C125</f>
        <v>806998.35454311455</v>
      </c>
      <c r="F126" s="312">
        <f>'E) Fact soc'!G131</f>
        <v>20721620.896863993</v>
      </c>
      <c r="G126" s="309">
        <f>'H) Péréquation directe'!I136</f>
        <v>10739862.061995743</v>
      </c>
      <c r="H126" s="312">
        <f>+'I) Dépenses thématiques'!O125</f>
        <v>-2564048.9357694807</v>
      </c>
      <c r="I126" s="309">
        <f>'K) Plafonnement aide'!J125</f>
        <v>0</v>
      </c>
      <c r="J126" s="312">
        <f>'J) Plafonnement effort'!I125</f>
        <v>0</v>
      </c>
      <c r="K126" s="309">
        <f>'L) Plafonnement taux'!Q126</f>
        <v>0</v>
      </c>
      <c r="L126" s="307">
        <f t="shared" si="6"/>
        <v>28897434.023090255</v>
      </c>
      <c r="M126" s="227">
        <f>'M) Police'!O126</f>
        <v>962124.07883464894</v>
      </c>
      <c r="N126" s="227">
        <f t="shared" si="4"/>
        <v>29859558.101924904</v>
      </c>
      <c r="O126" s="399">
        <f t="shared" si="5"/>
        <v>8175813.1262262622</v>
      </c>
      <c r="P126" s="314"/>
      <c r="Q126" s="493"/>
    </row>
    <row r="127" spans="1:17" s="160" customFormat="1" x14ac:dyDescent="0.25">
      <c r="A127" s="157">
        <f>'B) D RI'!A128</f>
        <v>5607</v>
      </c>
      <c r="B127" s="158" t="str">
        <f>'B) D RI'!B128</f>
        <v>Puidoux</v>
      </c>
      <c r="C127" s="310">
        <f>'B) D RI'!S128</f>
        <v>70</v>
      </c>
      <c r="D127" s="159">
        <f>'B) D RI'!AA128</f>
        <v>2881</v>
      </c>
      <c r="E127" s="308">
        <f>'D) Ecrêtage'!C126</f>
        <v>100918.13995031056</v>
      </c>
      <c r="F127" s="312">
        <f>'E) Fact soc'!G132</f>
        <v>1665842.003055369</v>
      </c>
      <c r="G127" s="309">
        <f>'H) Péréquation directe'!I137</f>
        <v>555653.18405925436</v>
      </c>
      <c r="H127" s="312">
        <f>+'I) Dépenses thématiques'!O126</f>
        <v>-812285.66682718112</v>
      </c>
      <c r="I127" s="309">
        <f>'K) Plafonnement aide'!J126</f>
        <v>0</v>
      </c>
      <c r="J127" s="312">
        <f>'J) Plafonnement effort'!I126</f>
        <v>0</v>
      </c>
      <c r="K127" s="309">
        <f>'L) Plafonnement taux'!Q127</f>
        <v>0</v>
      </c>
      <c r="L127" s="307">
        <f t="shared" si="6"/>
        <v>1409209.5202874423</v>
      </c>
      <c r="M127" s="227">
        <f>'M) Police'!O127</f>
        <v>120317.18762595236</v>
      </c>
      <c r="N127" s="227">
        <f t="shared" si="4"/>
        <v>1529526.7079133946</v>
      </c>
      <c r="O127" s="399">
        <f t="shared" si="5"/>
        <v>-256632.48276792676</v>
      </c>
      <c r="P127" s="314"/>
      <c r="Q127" s="493"/>
    </row>
    <row r="128" spans="1:17" s="160" customFormat="1" x14ac:dyDescent="0.25">
      <c r="A128" s="157">
        <f>'B) D RI'!A129</f>
        <v>5609</v>
      </c>
      <c r="B128" s="158" t="str">
        <f>'B) D RI'!B129</f>
        <v>Rivaz</v>
      </c>
      <c r="C128" s="310">
        <f>'B) D RI'!S129</f>
        <v>63.5</v>
      </c>
      <c r="D128" s="159">
        <f>'B) D RI'!AA129</f>
        <v>342</v>
      </c>
      <c r="E128" s="308">
        <f>'D) Ecrêtage'!C127</f>
        <v>13641.583779527558</v>
      </c>
      <c r="F128" s="312">
        <f>'E) Fact soc'!G133</f>
        <v>219028.34569907488</v>
      </c>
      <c r="G128" s="309">
        <f>'H) Péréquation directe'!I138</f>
        <v>190442.51246051519</v>
      </c>
      <c r="H128" s="312">
        <f>+'I) Dépenses thématiques'!O127</f>
        <v>-51322.807237002104</v>
      </c>
      <c r="I128" s="309">
        <f>'K) Plafonnement aide'!J127</f>
        <v>0</v>
      </c>
      <c r="J128" s="312">
        <f>'J) Plafonnement effort'!I127</f>
        <v>0</v>
      </c>
      <c r="K128" s="309">
        <f>'L) Plafonnement taux'!Q128</f>
        <v>0</v>
      </c>
      <c r="L128" s="307">
        <f t="shared" si="6"/>
        <v>358148.05092258792</v>
      </c>
      <c r="M128" s="227">
        <f>'M) Police'!O128</f>
        <v>16263.845091920113</v>
      </c>
      <c r="N128" s="227">
        <f t="shared" si="4"/>
        <v>374411.89601450803</v>
      </c>
      <c r="O128" s="399">
        <f t="shared" si="5"/>
        <v>139119.7052235131</v>
      </c>
      <c r="P128" s="314"/>
      <c r="Q128" s="493"/>
    </row>
    <row r="129" spans="1:17" s="160" customFormat="1" x14ac:dyDescent="0.25">
      <c r="A129" s="157">
        <f>'B) D RI'!A130</f>
        <v>5610</v>
      </c>
      <c r="B129" s="158" t="str">
        <f>'B) D RI'!B130</f>
        <v>St-Saphorin (Lavaux)</v>
      </c>
      <c r="C129" s="310">
        <f>'B) D RI'!S130</f>
        <v>70</v>
      </c>
      <c r="D129" s="159">
        <f>'B) D RI'!AA130</f>
        <v>384</v>
      </c>
      <c r="E129" s="308">
        <f>'D) Ecrêtage'!C128</f>
        <v>22278.713000000003</v>
      </c>
      <c r="F129" s="312">
        <f>'E) Fact soc'!G134</f>
        <v>406706.50426759897</v>
      </c>
      <c r="G129" s="309">
        <f>'H) Péréquation directe'!I139</f>
        <v>397481.87603997771</v>
      </c>
      <c r="H129" s="312">
        <f>+'I) Dépenses thématiques'!O128</f>
        <v>-22361.484978991393</v>
      </c>
      <c r="I129" s="309">
        <f>'K) Plafonnement aide'!J128</f>
        <v>0</v>
      </c>
      <c r="J129" s="312">
        <f>'J) Plafonnement effort'!I128</f>
        <v>0</v>
      </c>
      <c r="K129" s="309">
        <f>'L) Plafonnement taux'!Q129</f>
        <v>0</v>
      </c>
      <c r="L129" s="307">
        <f t="shared" si="6"/>
        <v>781826.89532858517</v>
      </c>
      <c r="M129" s="227">
        <f>'M) Police'!O129</f>
        <v>26561.251459901636</v>
      </c>
      <c r="N129" s="227">
        <f t="shared" si="4"/>
        <v>808388.14678848686</v>
      </c>
      <c r="O129" s="399">
        <f t="shared" si="5"/>
        <v>375120.39106098632</v>
      </c>
      <c r="P129" s="314"/>
      <c r="Q129" s="493"/>
    </row>
    <row r="130" spans="1:17" s="160" customFormat="1" x14ac:dyDescent="0.25">
      <c r="A130" s="157">
        <f>'B) D RI'!A131</f>
        <v>5611</v>
      </c>
      <c r="B130" s="158" t="str">
        <f>'B) D RI'!B131</f>
        <v>Savigny</v>
      </c>
      <c r="C130" s="310">
        <f>'B) D RI'!S131</f>
        <v>69</v>
      </c>
      <c r="D130" s="159">
        <f>'B) D RI'!AA131</f>
        <v>3359</v>
      </c>
      <c r="E130" s="308">
        <f>'D) Ecrêtage'!C129</f>
        <v>134929.74355072467</v>
      </c>
      <c r="F130" s="312">
        <f>'E) Fact soc'!G135</f>
        <v>2637448.846702815</v>
      </c>
      <c r="G130" s="309">
        <f>'H) Péréquation directe'!I140</f>
        <v>1249549.1262238536</v>
      </c>
      <c r="H130" s="312">
        <f>+'I) Dépenses thématiques'!O129</f>
        <v>-492701.99137578084</v>
      </c>
      <c r="I130" s="309">
        <f>'K) Plafonnement aide'!J129</f>
        <v>0</v>
      </c>
      <c r="J130" s="312">
        <f>'J) Plafonnement effort'!I129</f>
        <v>0</v>
      </c>
      <c r="K130" s="309">
        <f>'L) Plafonnement taux'!Q130</f>
        <v>0</v>
      </c>
      <c r="L130" s="307">
        <f t="shared" si="6"/>
        <v>3394295.9815508882</v>
      </c>
      <c r="M130" s="227">
        <f>'M) Police'!O130</f>
        <v>160866.69135110447</v>
      </c>
      <c r="N130" s="227">
        <f t="shared" si="4"/>
        <v>3555162.6729019927</v>
      </c>
      <c r="O130" s="399">
        <f t="shared" si="5"/>
        <v>756847.13484807266</v>
      </c>
      <c r="P130" s="314"/>
      <c r="Q130" s="493"/>
    </row>
    <row r="131" spans="1:17" s="160" customFormat="1" x14ac:dyDescent="0.25">
      <c r="A131" s="157">
        <f>'B) D RI'!A132</f>
        <v>5613</v>
      </c>
      <c r="B131" s="158" t="str">
        <f>'B) D RI'!B132</f>
        <v>Bourg-en-Lavaux</v>
      </c>
      <c r="C131" s="310">
        <f>'B) D RI'!S132</f>
        <v>64</v>
      </c>
      <c r="D131" s="159">
        <f>'B) D RI'!AA132</f>
        <v>5345</v>
      </c>
      <c r="E131" s="308">
        <f>'D) Ecrêtage'!C130</f>
        <v>333126.87406250008</v>
      </c>
      <c r="F131" s="312">
        <f>'E) Fact soc'!G136</f>
        <v>7124988.4752306249</v>
      </c>
      <c r="G131" s="309">
        <f>'H) Péréquation directe'!I141</f>
        <v>4622545.0732493224</v>
      </c>
      <c r="H131" s="312">
        <f>+'I) Dépenses thématiques'!O130</f>
        <v>0</v>
      </c>
      <c r="I131" s="309">
        <f>'K) Plafonnement aide'!J130</f>
        <v>0</v>
      </c>
      <c r="J131" s="312">
        <f>'J) Plafonnement effort'!I130</f>
        <v>0</v>
      </c>
      <c r="K131" s="309">
        <f>'L) Plafonnement taux'!Q131</f>
        <v>0</v>
      </c>
      <c r="L131" s="307">
        <f t="shared" si="6"/>
        <v>11747533.548479948</v>
      </c>
      <c r="M131" s="227">
        <f>'M) Police'!O131</f>
        <v>397162.3796233224</v>
      </c>
      <c r="N131" s="227">
        <f t="shared" si="4"/>
        <v>12144695.92810327</v>
      </c>
      <c r="O131" s="399">
        <f t="shared" si="5"/>
        <v>4622545.0732493224</v>
      </c>
      <c r="P131" s="314"/>
      <c r="Q131" s="493"/>
    </row>
    <row r="132" spans="1:17" s="160" customFormat="1" x14ac:dyDescent="0.25">
      <c r="A132" s="157">
        <f>'B) D RI'!A133</f>
        <v>5621</v>
      </c>
      <c r="B132" s="158" t="str">
        <f>'B) D RI'!B133</f>
        <v>Aclens</v>
      </c>
      <c r="C132" s="310">
        <f>'B) D RI'!S133</f>
        <v>62</v>
      </c>
      <c r="D132" s="159">
        <f>'B) D RI'!AA133</f>
        <v>539</v>
      </c>
      <c r="E132" s="308">
        <f>'D) Ecrêtage'!C131</f>
        <v>27514.906070381232</v>
      </c>
      <c r="F132" s="312">
        <f>'E) Fact soc'!G137</f>
        <v>572991.88423543901</v>
      </c>
      <c r="G132" s="309">
        <f>'H) Péréquation directe'!I142</f>
        <v>482768.3125547283</v>
      </c>
      <c r="H132" s="312">
        <f>+'I) Dépenses thématiques'!O131</f>
        <v>-3174.2434802283024</v>
      </c>
      <c r="I132" s="309">
        <f>'K) Plafonnement aide'!J131</f>
        <v>0</v>
      </c>
      <c r="J132" s="312">
        <f>'J) Plafonnement effort'!I131</f>
        <v>0</v>
      </c>
      <c r="K132" s="309">
        <f>'L) Plafonnement taux'!Q132</f>
        <v>0</v>
      </c>
      <c r="L132" s="307">
        <f t="shared" si="6"/>
        <v>1052585.953309939</v>
      </c>
      <c r="M132" s="227">
        <f>'M) Police'!O132</f>
        <v>77758.261538398729</v>
      </c>
      <c r="N132" s="227">
        <f t="shared" si="4"/>
        <v>1130344.2148483377</v>
      </c>
      <c r="O132" s="399">
        <f t="shared" si="5"/>
        <v>479594.0690745</v>
      </c>
      <c r="P132" s="314"/>
      <c r="Q132" s="493"/>
    </row>
    <row r="133" spans="1:17" s="160" customFormat="1" x14ac:dyDescent="0.25">
      <c r="A133" s="157">
        <f>'B) D RI'!A134</f>
        <v>5622</v>
      </c>
      <c r="B133" s="158" t="str">
        <f>'B) D RI'!B134</f>
        <v>Bremblens</v>
      </c>
      <c r="C133" s="310">
        <f>'B) D RI'!S134</f>
        <v>66</v>
      </c>
      <c r="D133" s="159">
        <f>'B) D RI'!AA134</f>
        <v>577</v>
      </c>
      <c r="E133" s="308">
        <f>'D) Ecrêtage'!C132</f>
        <v>27505.151666666668</v>
      </c>
      <c r="F133" s="312">
        <f>'E) Fact soc'!G138</f>
        <v>529390.18377926096</v>
      </c>
      <c r="G133" s="309">
        <f>'H) Péréquation directe'!I143</f>
        <v>477799.26585449628</v>
      </c>
      <c r="H133" s="312">
        <f>+'I) Dépenses thématiques'!O132</f>
        <v>0</v>
      </c>
      <c r="I133" s="309">
        <f>'K) Plafonnement aide'!J132</f>
        <v>0</v>
      </c>
      <c r="J133" s="312">
        <f>'J) Plafonnement effort'!I132</f>
        <v>0</v>
      </c>
      <c r="K133" s="309">
        <f>'L) Plafonnement taux'!Q133</f>
        <v>0</v>
      </c>
      <c r="L133" s="307">
        <f t="shared" si="6"/>
        <v>1007189.4496337572</v>
      </c>
      <c r="M133" s="227">
        <f>'M) Police'!O133</f>
        <v>83213.300851244407</v>
      </c>
      <c r="N133" s="227">
        <f t="shared" si="4"/>
        <v>1090402.7504850016</v>
      </c>
      <c r="O133" s="399">
        <f t="shared" si="5"/>
        <v>477799.26585449628</v>
      </c>
      <c r="P133" s="314"/>
      <c r="Q133" s="493"/>
    </row>
    <row r="134" spans="1:17" s="160" customFormat="1" x14ac:dyDescent="0.25">
      <c r="A134" s="157">
        <f>'B) D RI'!A135</f>
        <v>5623</v>
      </c>
      <c r="B134" s="158" t="str">
        <f>'B) D RI'!B135</f>
        <v>Buchillon</v>
      </c>
      <c r="C134" s="310">
        <f>'B) D RI'!S135</f>
        <v>53</v>
      </c>
      <c r="D134" s="159">
        <f>'B) D RI'!AA135</f>
        <v>686</v>
      </c>
      <c r="E134" s="308">
        <f>'D) Ecrêtage'!C133</f>
        <v>89779.897358490547</v>
      </c>
      <c r="F134" s="312">
        <f>'E) Fact soc'!G139</f>
        <v>2783607.0210639983</v>
      </c>
      <c r="G134" s="309">
        <f>'H) Péréquation directe'!I144</f>
        <v>1710017.3178248792</v>
      </c>
      <c r="H134" s="312">
        <f>+'I) Dépenses thématiques'!O133</f>
        <v>0</v>
      </c>
      <c r="I134" s="309">
        <f>'K) Plafonnement aide'!J133</f>
        <v>0</v>
      </c>
      <c r="J134" s="312">
        <f>'J) Plafonnement effort'!I133</f>
        <v>-453528.95775680285</v>
      </c>
      <c r="K134" s="309">
        <f>'L) Plafonnement taux'!Q134</f>
        <v>0</v>
      </c>
      <c r="L134" s="307">
        <f t="shared" si="6"/>
        <v>4040095.3811320751</v>
      </c>
      <c r="M134" s="227">
        <f>'M) Police'!O134</f>
        <v>107037.88992582407</v>
      </c>
      <c r="N134" s="227">
        <f t="shared" si="4"/>
        <v>4147133.2710578991</v>
      </c>
      <c r="O134" s="399">
        <f t="shared" si="5"/>
        <v>1256488.3600680763</v>
      </c>
      <c r="P134" s="314"/>
      <c r="Q134" s="493"/>
    </row>
    <row r="135" spans="1:17" s="160" customFormat="1" x14ac:dyDescent="0.25">
      <c r="A135" s="157">
        <f>'B) D RI'!A136</f>
        <v>5624</v>
      </c>
      <c r="B135" s="158" t="str">
        <f>'B) D RI'!B136</f>
        <v>Bussigny</v>
      </c>
      <c r="C135" s="310">
        <f>'B) D RI'!S136</f>
        <v>64</v>
      </c>
      <c r="D135" s="159">
        <f>'B) D RI'!AA136</f>
        <v>8962</v>
      </c>
      <c r="E135" s="308">
        <f>'D) Ecrêtage'!C134</f>
        <v>397950.93625000003</v>
      </c>
      <c r="F135" s="312">
        <f>'E) Fact soc'!G140</f>
        <v>7778192.9398488672</v>
      </c>
      <c r="G135" s="309">
        <f>'H) Péréquation directe'!I145</f>
        <v>3342940.6752898339</v>
      </c>
      <c r="H135" s="312">
        <f>+'I) Dépenses thématiques'!O134</f>
        <v>-1048032.4860593491</v>
      </c>
      <c r="I135" s="309">
        <f>'K) Plafonnement aide'!J134</f>
        <v>0</v>
      </c>
      <c r="J135" s="312">
        <f>'J) Plafonnement effort'!I134</f>
        <v>0</v>
      </c>
      <c r="K135" s="309">
        <f>'L) Plafonnement taux'!Q135</f>
        <v>0</v>
      </c>
      <c r="L135" s="307">
        <f t="shared" si="6"/>
        <v>10073101.129079353</v>
      </c>
      <c r="M135" s="227">
        <f>'M) Police'!O135</f>
        <v>474447.28456439718</v>
      </c>
      <c r="N135" s="227">
        <f t="shared" ref="N135:N193" si="7">L135+M135</f>
        <v>10547548.413643749</v>
      </c>
      <c r="O135" s="399">
        <f t="shared" ref="O135:O198" si="8">SUM(G135:K135)</f>
        <v>2294908.1892304849</v>
      </c>
      <c r="P135" s="314"/>
      <c r="Q135" s="493"/>
    </row>
    <row r="136" spans="1:17" s="160" customFormat="1" x14ac:dyDescent="0.25">
      <c r="A136" s="157">
        <f>'B) D RI'!A137</f>
        <v>5625</v>
      </c>
      <c r="B136" s="158" t="str">
        <f>'B) D RI'!B137</f>
        <v>Bussy-Chardonney</v>
      </c>
      <c r="C136" s="310">
        <f>'B) D RI'!S137</f>
        <v>77</v>
      </c>
      <c r="D136" s="159">
        <f>'B) D RI'!AA137</f>
        <v>384</v>
      </c>
      <c r="E136" s="308">
        <f>'D) Ecrêtage'!C135</f>
        <v>16807.989913419911</v>
      </c>
      <c r="F136" s="312">
        <f>'E) Fact soc'!G141</f>
        <v>290489.98598669027</v>
      </c>
      <c r="G136" s="309">
        <f>'H) Péréquation directe'!I146</f>
        <v>257796.7725847199</v>
      </c>
      <c r="H136" s="312">
        <f>+'I) Dépenses thématiques'!O135</f>
        <v>-34533.70060020563</v>
      </c>
      <c r="I136" s="309">
        <f>'K) Plafonnement aide'!J135</f>
        <v>0</v>
      </c>
      <c r="J136" s="312">
        <f>'J) Plafonnement effort'!I135</f>
        <v>0</v>
      </c>
      <c r="K136" s="309">
        <f>'L) Plafonnement taux'!Q136</f>
        <v>0</v>
      </c>
      <c r="L136" s="307">
        <f t="shared" si="6"/>
        <v>513753.05797120457</v>
      </c>
      <c r="M136" s="227">
        <f>'M) Police'!O136</f>
        <v>51050.133393803626</v>
      </c>
      <c r="N136" s="227">
        <f t="shared" si="7"/>
        <v>564803.19136500824</v>
      </c>
      <c r="O136" s="399">
        <f t="shared" si="8"/>
        <v>223263.07198451427</v>
      </c>
      <c r="P136" s="314"/>
      <c r="Q136" s="493"/>
    </row>
    <row r="137" spans="1:17" s="160" customFormat="1" x14ac:dyDescent="0.25">
      <c r="A137" s="157">
        <f>'B) D RI'!A138</f>
        <v>5627</v>
      </c>
      <c r="B137" s="158" t="str">
        <f>'B) D RI'!B138</f>
        <v>Chavannes-près-Renens</v>
      </c>
      <c r="C137" s="310">
        <f>'B) D RI'!S138</f>
        <v>79</v>
      </c>
      <c r="D137" s="159">
        <f>'B) D RI'!AA138</f>
        <v>7887</v>
      </c>
      <c r="E137" s="308">
        <f>'D) Ecrêtage'!C136</f>
        <v>211976.34008438818</v>
      </c>
      <c r="F137" s="312">
        <f>'E) Fact soc'!G142</f>
        <v>4532938.7334451936</v>
      </c>
      <c r="G137" s="309">
        <f>'H) Péréquation directe'!I147</f>
        <v>-3280358.7566900114</v>
      </c>
      <c r="H137" s="312">
        <f>+'I) Dépenses thématiques'!O136</f>
        <v>-1313403.0464514729</v>
      </c>
      <c r="I137" s="309">
        <f>'K) Plafonnement aide'!J136</f>
        <v>0</v>
      </c>
      <c r="J137" s="312">
        <f>'J) Plafonnement effort'!I136</f>
        <v>0</v>
      </c>
      <c r="K137" s="309">
        <f>'L) Plafonnement taux'!Q137</f>
        <v>0</v>
      </c>
      <c r="L137" s="307">
        <f t="shared" si="6"/>
        <v>-60823.069696290651</v>
      </c>
      <c r="M137" s="227">
        <f>'M) Police'!O137</f>
        <v>252723.61435470087</v>
      </c>
      <c r="N137" s="227">
        <f t="shared" si="7"/>
        <v>191900.54465841022</v>
      </c>
      <c r="O137" s="399">
        <f t="shared" si="8"/>
        <v>-4593761.803141484</v>
      </c>
      <c r="P137" s="314"/>
      <c r="Q137" s="493"/>
    </row>
    <row r="138" spans="1:17" s="160" customFormat="1" x14ac:dyDescent="0.25">
      <c r="A138" s="157">
        <f>'B) D RI'!A139</f>
        <v>5628</v>
      </c>
      <c r="B138" s="158" t="str">
        <f>'B) D RI'!B139</f>
        <v>Chigny</v>
      </c>
      <c r="C138" s="310">
        <f>'B) D RI'!S139</f>
        <v>62</v>
      </c>
      <c r="D138" s="159">
        <f>'B) D RI'!AA139</f>
        <v>382</v>
      </c>
      <c r="E138" s="308">
        <f>'D) Ecrêtage'!C137</f>
        <v>22390.960806451614</v>
      </c>
      <c r="F138" s="312">
        <f>'E) Fact soc'!G143</f>
        <v>467814.25288006134</v>
      </c>
      <c r="G138" s="309">
        <f>'H) Péréquation directe'!I148</f>
        <v>399978.84075358987</v>
      </c>
      <c r="H138" s="312">
        <f>+'I) Dépenses thématiques'!O137</f>
        <v>0</v>
      </c>
      <c r="I138" s="309">
        <f>'K) Plafonnement aide'!J137</f>
        <v>0</v>
      </c>
      <c r="J138" s="312">
        <f>'J) Plafonnement effort'!I137</f>
        <v>0</v>
      </c>
      <c r="K138" s="309">
        <f>'L) Plafonnement taux'!Q138</f>
        <v>0</v>
      </c>
      <c r="L138" s="307">
        <f t="shared" si="6"/>
        <v>867793.09363365127</v>
      </c>
      <c r="M138" s="227">
        <f>'M) Police'!O138</f>
        <v>60076.020732424004</v>
      </c>
      <c r="N138" s="227">
        <f t="shared" si="7"/>
        <v>927869.11436607526</v>
      </c>
      <c r="O138" s="399">
        <f t="shared" si="8"/>
        <v>399978.84075358987</v>
      </c>
      <c r="P138" s="314"/>
      <c r="Q138" s="493"/>
    </row>
    <row r="139" spans="1:17" s="160" customFormat="1" x14ac:dyDescent="0.25">
      <c r="A139" s="157">
        <f>'B) D RI'!A140</f>
        <v>5629</v>
      </c>
      <c r="B139" s="158" t="str">
        <f>'B) D RI'!B140</f>
        <v>Clarmont</v>
      </c>
      <c r="C139" s="310">
        <f>'B) D RI'!S140</f>
        <v>75</v>
      </c>
      <c r="D139" s="159">
        <f>'B) D RI'!AA140</f>
        <v>191</v>
      </c>
      <c r="E139" s="308">
        <f>'D) Ecrêtage'!C138</f>
        <v>6767.1243999999997</v>
      </c>
      <c r="F139" s="312">
        <f>'E) Fact soc'!G144</f>
        <v>150763.45955791863</v>
      </c>
      <c r="G139" s="309">
        <f>'H) Péréquation directe'!I149</f>
        <v>61644.395063556934</v>
      </c>
      <c r="H139" s="312">
        <f>+'I) Dépenses thématiques'!O138</f>
        <v>-46869.637103254834</v>
      </c>
      <c r="I139" s="309">
        <f>'K) Plafonnement aide'!J138</f>
        <v>0</v>
      </c>
      <c r="J139" s="312">
        <f>'J) Plafonnement effort'!I138</f>
        <v>0</v>
      </c>
      <c r="K139" s="309">
        <f>'L) Plafonnement taux'!Q139</f>
        <v>0</v>
      </c>
      <c r="L139" s="307">
        <f t="shared" si="6"/>
        <v>165538.21751822071</v>
      </c>
      <c r="M139" s="227">
        <f>'M) Police'!O139</f>
        <v>20608.143592013523</v>
      </c>
      <c r="N139" s="227">
        <f t="shared" si="7"/>
        <v>186146.36111023423</v>
      </c>
      <c r="O139" s="399">
        <f t="shared" si="8"/>
        <v>14774.7579603021</v>
      </c>
      <c r="P139" s="314"/>
      <c r="Q139" s="493"/>
    </row>
    <row r="140" spans="1:17" s="160" customFormat="1" x14ac:dyDescent="0.25">
      <c r="A140" s="157">
        <f>'B) D RI'!A141</f>
        <v>5631</v>
      </c>
      <c r="B140" s="158" t="str">
        <f>'B) D RI'!B141</f>
        <v>Denens</v>
      </c>
      <c r="C140" s="310">
        <f>'B) D RI'!S141</f>
        <v>70</v>
      </c>
      <c r="D140" s="159">
        <f>'B) D RI'!AA141</f>
        <v>742</v>
      </c>
      <c r="E140" s="308">
        <f>'D) Ecrêtage'!C139</f>
        <v>51475.873428571431</v>
      </c>
      <c r="F140" s="312">
        <f>'E) Fact soc'!G145</f>
        <v>1105993.3915390924</v>
      </c>
      <c r="G140" s="309">
        <f>'H) Péréquation directe'!I150</f>
        <v>936645.33940817311</v>
      </c>
      <c r="H140" s="312">
        <f>+'I) Dépenses thématiques'!O139</f>
        <v>0</v>
      </c>
      <c r="I140" s="309">
        <f>'K) Plafonnement aide'!J139</f>
        <v>0</v>
      </c>
      <c r="J140" s="312">
        <f>'J) Plafonnement effort'!I139</f>
        <v>0</v>
      </c>
      <c r="K140" s="309">
        <f>'L) Plafonnement taux'!Q140</f>
        <v>0</v>
      </c>
      <c r="L140" s="307">
        <f t="shared" si="6"/>
        <v>2042638.7309472654</v>
      </c>
      <c r="M140" s="227">
        <f>'M) Police'!O140</f>
        <v>126210.27925419684</v>
      </c>
      <c r="N140" s="227">
        <f t="shared" si="7"/>
        <v>2168849.0102014621</v>
      </c>
      <c r="O140" s="399">
        <f t="shared" si="8"/>
        <v>936645.33940817311</v>
      </c>
      <c r="P140" s="314"/>
      <c r="Q140" s="493"/>
    </row>
    <row r="141" spans="1:17" s="160" customFormat="1" x14ac:dyDescent="0.25">
      <c r="A141" s="157">
        <f>'B) D RI'!A142</f>
        <v>5632</v>
      </c>
      <c r="B141" s="158" t="str">
        <f>'B) D RI'!B142</f>
        <v>Denges</v>
      </c>
      <c r="C141" s="310">
        <f>'B) D RI'!S142</f>
        <v>62</v>
      </c>
      <c r="D141" s="159">
        <f>'B) D RI'!AA142</f>
        <v>1609</v>
      </c>
      <c r="E141" s="308">
        <f>'D) Ecrêtage'!C140</f>
        <v>72992.009193548365</v>
      </c>
      <c r="F141" s="312">
        <f>'E) Fact soc'!G146</f>
        <v>1244384.0841051333</v>
      </c>
      <c r="G141" s="309">
        <f>'H) Péréquation directe'!I151</f>
        <v>1077379.5643599471</v>
      </c>
      <c r="H141" s="312">
        <f>+'I) Dépenses thématiques'!O140</f>
        <v>-158736.88762351027</v>
      </c>
      <c r="I141" s="309">
        <f>'K) Plafonnement aide'!J140</f>
        <v>0</v>
      </c>
      <c r="J141" s="312">
        <f>'J) Plafonnement effort'!I140</f>
        <v>0</v>
      </c>
      <c r="K141" s="309">
        <f>'L) Plafonnement taux'!Q141</f>
        <v>0</v>
      </c>
      <c r="L141" s="307">
        <f t="shared" si="6"/>
        <v>2163026.7608415699</v>
      </c>
      <c r="M141" s="227">
        <f>'M) Police'!O141</f>
        <v>221175.23607922631</v>
      </c>
      <c r="N141" s="227">
        <f t="shared" si="7"/>
        <v>2384201.9969207961</v>
      </c>
      <c r="O141" s="399">
        <f t="shared" si="8"/>
        <v>918642.67673643678</v>
      </c>
      <c r="P141" s="314"/>
      <c r="Q141" s="493"/>
    </row>
    <row r="142" spans="1:17" s="160" customFormat="1" x14ac:dyDescent="0.25">
      <c r="A142" s="157">
        <f>'B) D RI'!A143</f>
        <v>5633</v>
      </c>
      <c r="B142" s="158" t="str">
        <f>'B) D RI'!B143</f>
        <v>Echandens</v>
      </c>
      <c r="C142" s="310">
        <f>'B) D RI'!S143</f>
        <v>62</v>
      </c>
      <c r="D142" s="159">
        <f>'B) D RI'!AA143</f>
        <v>2739</v>
      </c>
      <c r="E142" s="308">
        <f>'D) Ecrêtage'!C141</f>
        <v>160902.30048387093</v>
      </c>
      <c r="F142" s="312">
        <f>'E) Fact soc'!G147</f>
        <v>3100696.3006851585</v>
      </c>
      <c r="G142" s="309">
        <f>'H) Péréquation directe'!I152</f>
        <v>2481782.1991851283</v>
      </c>
      <c r="H142" s="312">
        <f>+'I) Dépenses thématiques'!O141</f>
        <v>-551586.73815527325</v>
      </c>
      <c r="I142" s="309">
        <f>'K) Plafonnement aide'!J141</f>
        <v>0</v>
      </c>
      <c r="J142" s="312">
        <f>'J) Plafonnement effort'!I141</f>
        <v>0</v>
      </c>
      <c r="K142" s="309">
        <f>'L) Plafonnement taux'!Q142</f>
        <v>0</v>
      </c>
      <c r="L142" s="307">
        <f t="shared" si="6"/>
        <v>5030891.7617150135</v>
      </c>
      <c r="M142" s="227">
        <f>'M) Police'!O142</f>
        <v>431178.45364897471</v>
      </c>
      <c r="N142" s="227">
        <f t="shared" si="7"/>
        <v>5462070.2153639887</v>
      </c>
      <c r="O142" s="399">
        <f t="shared" si="8"/>
        <v>1930195.4610298551</v>
      </c>
      <c r="P142" s="314"/>
      <c r="Q142" s="493"/>
    </row>
    <row r="143" spans="1:17" s="160" customFormat="1" x14ac:dyDescent="0.25">
      <c r="A143" s="157">
        <f>'B) D RI'!A144</f>
        <v>5634</v>
      </c>
      <c r="B143" s="158" t="str">
        <f>'B) D RI'!B144</f>
        <v>Echichens</v>
      </c>
      <c r="C143" s="310">
        <f>'B) D RI'!S144</f>
        <v>68</v>
      </c>
      <c r="D143" s="159">
        <f>'B) D RI'!AA144</f>
        <v>3077</v>
      </c>
      <c r="E143" s="308">
        <f>'D) Ecrêtage'!C142</f>
        <v>173253.00779411764</v>
      </c>
      <c r="F143" s="312">
        <f>'E) Fact soc'!G148</f>
        <v>3585007.2110498417</v>
      </c>
      <c r="G143" s="309">
        <f>'H) Péréquation directe'!I153</f>
        <v>2598375.8137741447</v>
      </c>
      <c r="H143" s="312">
        <f>+'I) Dépenses thématiques'!O142</f>
        <v>0</v>
      </c>
      <c r="I143" s="309">
        <f>'K) Plafonnement aide'!J142</f>
        <v>0</v>
      </c>
      <c r="J143" s="312">
        <f>'J) Plafonnement effort'!I142</f>
        <v>0</v>
      </c>
      <c r="K143" s="309">
        <f>'L) Plafonnement taux'!Q143</f>
        <v>0</v>
      </c>
      <c r="L143" s="307">
        <f t="shared" si="6"/>
        <v>6183383.024823986</v>
      </c>
      <c r="M143" s="227">
        <f>'M) Police'!O143</f>
        <v>475439.30181207671</v>
      </c>
      <c r="N143" s="227">
        <f t="shared" si="7"/>
        <v>6658822.3266360629</v>
      </c>
      <c r="O143" s="399">
        <f t="shared" si="8"/>
        <v>2598375.8137741447</v>
      </c>
      <c r="P143" s="314"/>
      <c r="Q143" s="493"/>
    </row>
    <row r="144" spans="1:17" s="160" customFormat="1" x14ac:dyDescent="0.25">
      <c r="A144" s="157">
        <f>'B) D RI'!A145</f>
        <v>5635</v>
      </c>
      <c r="B144" s="158" t="str">
        <f>'B) D RI'!B145</f>
        <v>Ecublens</v>
      </c>
      <c r="C144" s="310">
        <f>'B) D RI'!S145</f>
        <v>64</v>
      </c>
      <c r="D144" s="159">
        <f>'B) D RI'!AA145</f>
        <v>13089</v>
      </c>
      <c r="E144" s="308">
        <f>'D) Ecrêtage'!C143</f>
        <v>489428.14554687496</v>
      </c>
      <c r="F144" s="312">
        <f>'E) Fact soc'!G149</f>
        <v>9118647.4423422944</v>
      </c>
      <c r="G144" s="309">
        <f>'H) Péréquation directe'!I154</f>
        <v>-177658.21355390549</v>
      </c>
      <c r="H144" s="312">
        <f>+'I) Dépenses thématiques'!O143</f>
        <v>-2895169.738119537</v>
      </c>
      <c r="I144" s="309">
        <f>'K) Plafonnement aide'!J143</f>
        <v>0</v>
      </c>
      <c r="J144" s="312">
        <f>'J) Plafonnement effort'!I143</f>
        <v>0</v>
      </c>
      <c r="K144" s="309">
        <f>'L) Plafonnement taux'!Q144</f>
        <v>0</v>
      </c>
      <c r="L144" s="307">
        <f t="shared" si="6"/>
        <v>6045819.4906688519</v>
      </c>
      <c r="M144" s="227">
        <f>'M) Police'!O144</f>
        <v>583508.7531952085</v>
      </c>
      <c r="N144" s="227">
        <f t="shared" si="7"/>
        <v>6629328.2438640604</v>
      </c>
      <c r="O144" s="399">
        <f t="shared" si="8"/>
        <v>-3072827.9516734425</v>
      </c>
      <c r="P144" s="314"/>
      <c r="Q144" s="493"/>
    </row>
    <row r="145" spans="1:17" s="160" customFormat="1" x14ac:dyDescent="0.25">
      <c r="A145" s="157">
        <f>'B) D RI'!A146</f>
        <v>5636</v>
      </c>
      <c r="B145" s="158" t="str">
        <f>'B) D RI'!B146</f>
        <v>Etoy</v>
      </c>
      <c r="C145" s="310">
        <f>'B) D RI'!S146</f>
        <v>61</v>
      </c>
      <c r="D145" s="159">
        <f>'B) D RI'!AA146</f>
        <v>2933</v>
      </c>
      <c r="E145" s="308">
        <f>'D) Ecrêtage'!C144</f>
        <v>176252.1018032787</v>
      </c>
      <c r="F145" s="312">
        <f>'E) Fact soc'!G150</f>
        <v>3759596.492169857</v>
      </c>
      <c r="G145" s="309">
        <f>'H) Péréquation directe'!I155</f>
        <v>2720639.380326075</v>
      </c>
      <c r="H145" s="312">
        <f>+'I) Dépenses thématiques'!O144</f>
        <v>-182306.13757619794</v>
      </c>
      <c r="I145" s="309">
        <f>'K) Plafonnement aide'!J144</f>
        <v>0</v>
      </c>
      <c r="J145" s="312">
        <f>'J) Plafonnement effort'!I144</f>
        <v>0</v>
      </c>
      <c r="K145" s="309">
        <f>'L) Plafonnement taux'!Q145</f>
        <v>0</v>
      </c>
      <c r="L145" s="307">
        <f t="shared" si="6"/>
        <v>6297929.7349197343</v>
      </c>
      <c r="M145" s="227">
        <f>'M) Police'!O145</f>
        <v>466431.50568119675</v>
      </c>
      <c r="N145" s="227">
        <f t="shared" si="7"/>
        <v>6764361.2406009315</v>
      </c>
      <c r="O145" s="399">
        <f t="shared" si="8"/>
        <v>2538333.2427498773</v>
      </c>
      <c r="P145" s="314"/>
      <c r="Q145" s="493"/>
    </row>
    <row r="146" spans="1:17" s="160" customFormat="1" x14ac:dyDescent="0.25">
      <c r="A146" s="157">
        <f>'B) D RI'!A147</f>
        <v>5637</v>
      </c>
      <c r="B146" s="158" t="str">
        <f>'B) D RI'!B147</f>
        <v>Lavigny</v>
      </c>
      <c r="C146" s="310">
        <f>'B) D RI'!S147</f>
        <v>74.5</v>
      </c>
      <c r="D146" s="159">
        <f>'B) D RI'!AA147</f>
        <v>992</v>
      </c>
      <c r="E146" s="308">
        <f>'D) Ecrêtage'!C145</f>
        <v>37192.899776286358</v>
      </c>
      <c r="F146" s="312">
        <f>'E) Fact soc'!G151</f>
        <v>666471.21109418862</v>
      </c>
      <c r="G146" s="309">
        <f>'H) Péréquation directe'!I156</f>
        <v>409508.66897248948</v>
      </c>
      <c r="H146" s="312">
        <f>+'I) Dépenses thématiques'!O145</f>
        <v>-183051.05411167315</v>
      </c>
      <c r="I146" s="309">
        <f>'K) Plafonnement aide'!J145</f>
        <v>0</v>
      </c>
      <c r="J146" s="312">
        <f>'J) Plafonnement effort'!I145</f>
        <v>0</v>
      </c>
      <c r="K146" s="309">
        <f>'L) Plafonnement taux'!Q146</f>
        <v>0</v>
      </c>
      <c r="L146" s="307">
        <f t="shared" si="6"/>
        <v>892928.82595500501</v>
      </c>
      <c r="M146" s="227">
        <f>'M) Police'!O146</f>
        <v>113495.68612539148</v>
      </c>
      <c r="N146" s="227">
        <f t="shared" si="7"/>
        <v>1006424.5120803965</v>
      </c>
      <c r="O146" s="399">
        <f t="shared" si="8"/>
        <v>226457.61486081633</v>
      </c>
      <c r="P146" s="314"/>
      <c r="Q146" s="493"/>
    </row>
    <row r="147" spans="1:17" s="160" customFormat="1" x14ac:dyDescent="0.25">
      <c r="A147" s="157">
        <f>'B) D RI'!A148</f>
        <v>5638</v>
      </c>
      <c r="B147" s="158" t="str">
        <f>'B) D RI'!B148</f>
        <v>Lonay</v>
      </c>
      <c r="C147" s="310">
        <f>'B) D RI'!S148</f>
        <v>55</v>
      </c>
      <c r="D147" s="159">
        <f>'B) D RI'!AA148</f>
        <v>2676</v>
      </c>
      <c r="E147" s="308">
        <f>'D) Ecrêtage'!C146</f>
        <v>157137.98454545456</v>
      </c>
      <c r="F147" s="312">
        <f>'E) Fact soc'!G152</f>
        <v>4319933.9244946996</v>
      </c>
      <c r="G147" s="309">
        <f>'H) Péréquation directe'!I157</f>
        <v>2428631.6092328168</v>
      </c>
      <c r="H147" s="312">
        <f>+'I) Dépenses thématiques'!O146</f>
        <v>-384623.2179924919</v>
      </c>
      <c r="I147" s="309">
        <f>'K) Plafonnement aide'!J146</f>
        <v>0</v>
      </c>
      <c r="J147" s="312">
        <f>'J) Plafonnement effort'!I146</f>
        <v>0</v>
      </c>
      <c r="K147" s="309">
        <f>'L) Plafonnement taux'!Q147</f>
        <v>0</v>
      </c>
      <c r="L147" s="307">
        <f t="shared" si="6"/>
        <v>6363942.3157350244</v>
      </c>
      <c r="M147" s="227">
        <f>'M) Police'!O147</f>
        <v>421185.3055941537</v>
      </c>
      <c r="N147" s="227">
        <f t="shared" si="7"/>
        <v>6785127.6213291781</v>
      </c>
      <c r="O147" s="399">
        <f t="shared" si="8"/>
        <v>2044008.3912403248</v>
      </c>
      <c r="P147" s="314"/>
      <c r="Q147" s="493"/>
    </row>
    <row r="148" spans="1:17" s="160" customFormat="1" x14ac:dyDescent="0.25">
      <c r="A148" s="157">
        <f>'B) D RI'!A149</f>
        <v>5639</v>
      </c>
      <c r="B148" s="158" t="str">
        <f>'B) D RI'!B149</f>
        <v>Lully</v>
      </c>
      <c r="C148" s="310">
        <f>'B) D RI'!S149</f>
        <v>61</v>
      </c>
      <c r="D148" s="159">
        <f>'B) D RI'!AA149</f>
        <v>818</v>
      </c>
      <c r="E148" s="308">
        <f>'D) Ecrêtage'!C147</f>
        <v>47176.43180327869</v>
      </c>
      <c r="F148" s="312">
        <f>'E) Fact soc'!G153</f>
        <v>869096.13799074583</v>
      </c>
      <c r="G148" s="309">
        <f>'H) Péréquation directe'!I158</f>
        <v>841079.95303040266</v>
      </c>
      <c r="H148" s="312">
        <f>+'I) Dépenses thématiques'!O147</f>
        <v>0</v>
      </c>
      <c r="I148" s="309">
        <f>'K) Plafonnement aide'!J147</f>
        <v>0</v>
      </c>
      <c r="J148" s="312">
        <f>'J) Plafonnement effort'!I147</f>
        <v>0</v>
      </c>
      <c r="K148" s="309">
        <f>'L) Plafonnement taux'!Q148</f>
        <v>0</v>
      </c>
      <c r="L148" s="307">
        <f t="shared" si="6"/>
        <v>1710176.0910211485</v>
      </c>
      <c r="M148" s="227">
        <f>'M) Police'!O148</f>
        <v>127725.61002664996</v>
      </c>
      <c r="N148" s="227">
        <f t="shared" si="7"/>
        <v>1837901.7010477984</v>
      </c>
      <c r="O148" s="399">
        <f t="shared" si="8"/>
        <v>841079.95303040266</v>
      </c>
      <c r="P148" s="314"/>
      <c r="Q148" s="493"/>
    </row>
    <row r="149" spans="1:17" s="160" customFormat="1" x14ac:dyDescent="0.25">
      <c r="A149" s="157">
        <f>'B) D RI'!A150</f>
        <v>5640</v>
      </c>
      <c r="B149" s="158" t="str">
        <f>'B) D RI'!B150</f>
        <v>Lussy-sur-Morges</v>
      </c>
      <c r="C149" s="310">
        <f>'B) D RI'!S150</f>
        <v>66</v>
      </c>
      <c r="D149" s="159">
        <f>'B) D RI'!AA150</f>
        <v>696</v>
      </c>
      <c r="E149" s="308">
        <f>'D) Ecrêtage'!C148</f>
        <v>61400.456666666665</v>
      </c>
      <c r="F149" s="312">
        <f>'E) Fact soc'!G154</f>
        <v>1736633.7301760232</v>
      </c>
      <c r="G149" s="309">
        <f>'H) Péréquation directe'!I159</f>
        <v>1140982.3321459931</v>
      </c>
      <c r="H149" s="312">
        <f>+'I) Dépenses thématiques'!O148</f>
        <v>0</v>
      </c>
      <c r="I149" s="309">
        <f>'K) Plafonnement aide'!J148</f>
        <v>0</v>
      </c>
      <c r="J149" s="312">
        <f>'J) Plafonnement effort'!I148</f>
        <v>-114595.51232201634</v>
      </c>
      <c r="K149" s="309">
        <f>'L) Plafonnement taux'!Q149</f>
        <v>0</v>
      </c>
      <c r="L149" s="307">
        <f t="shared" si="6"/>
        <v>2763020.55</v>
      </c>
      <c r="M149" s="227">
        <f>'M) Police'!O149</f>
        <v>73203.194873784989</v>
      </c>
      <c r="N149" s="227">
        <f t="shared" si="7"/>
        <v>2836223.7448737849</v>
      </c>
      <c r="O149" s="399">
        <f t="shared" si="8"/>
        <v>1026386.8198239768</v>
      </c>
      <c r="P149" s="314"/>
      <c r="Q149" s="493"/>
    </row>
    <row r="150" spans="1:17" s="160" customFormat="1" x14ac:dyDescent="0.25">
      <c r="A150" s="157">
        <f>'B) D RI'!A151</f>
        <v>5642</v>
      </c>
      <c r="B150" s="158" t="str">
        <f>'B) D RI'!B151</f>
        <v>Morges</v>
      </c>
      <c r="C150" s="310">
        <f>'B) D RI'!S151</f>
        <v>68.5</v>
      </c>
      <c r="D150" s="159">
        <f>'B) D RI'!AA151</f>
        <v>15862</v>
      </c>
      <c r="E150" s="308">
        <f>'D) Ecrêtage'!C149</f>
        <v>842114.79489051085</v>
      </c>
      <c r="F150" s="312">
        <f>'E) Fact soc'!G155</f>
        <v>17047853.214152928</v>
      </c>
      <c r="G150" s="309">
        <f>'H) Péréquation directe'!I160</f>
        <v>6114107.5701209828</v>
      </c>
      <c r="H150" s="312">
        <f>+'I) Dépenses thématiques'!O149</f>
        <v>-972367.81060273899</v>
      </c>
      <c r="I150" s="309">
        <f>'K) Plafonnement aide'!J149</f>
        <v>0</v>
      </c>
      <c r="J150" s="312">
        <f>'J) Plafonnement effort'!I149</f>
        <v>0</v>
      </c>
      <c r="K150" s="309">
        <f>'L) Plafonnement taux'!Q150</f>
        <v>0</v>
      </c>
      <c r="L150" s="307">
        <f t="shared" si="6"/>
        <v>22189592.973671172</v>
      </c>
      <c r="M150" s="227">
        <f>'M) Police'!O150</f>
        <v>1003990.7971878962</v>
      </c>
      <c r="N150" s="227">
        <f t="shared" si="7"/>
        <v>23193583.770859066</v>
      </c>
      <c r="O150" s="399">
        <f t="shared" si="8"/>
        <v>5141739.7595182434</v>
      </c>
      <c r="P150" s="314"/>
      <c r="Q150" s="493"/>
    </row>
    <row r="151" spans="1:17" s="160" customFormat="1" x14ac:dyDescent="0.25">
      <c r="A151" s="157">
        <f>'B) D RI'!A152</f>
        <v>5643</v>
      </c>
      <c r="B151" s="158" t="str">
        <f>'B) D RI'!B152</f>
        <v>Préverenges</v>
      </c>
      <c r="C151" s="310">
        <f>'B) D RI'!S152</f>
        <v>64</v>
      </c>
      <c r="D151" s="159">
        <f>'B) D RI'!AA152</f>
        <v>5243</v>
      </c>
      <c r="E151" s="308">
        <f>'D) Ecrêtage'!C150</f>
        <v>259364.760625</v>
      </c>
      <c r="F151" s="312">
        <f>'E) Fact soc'!G156</f>
        <v>4895220.5829126667</v>
      </c>
      <c r="G151" s="309">
        <f>'H) Péréquation directe'!I161</f>
        <v>3208317.1163546713</v>
      </c>
      <c r="H151" s="312">
        <f>+'I) Dépenses thématiques'!O150</f>
        <v>0</v>
      </c>
      <c r="I151" s="309">
        <f>'K) Plafonnement aide'!J150</f>
        <v>0</v>
      </c>
      <c r="J151" s="312">
        <f>'J) Plafonnement effort'!I150</f>
        <v>0</v>
      </c>
      <c r="K151" s="309">
        <f>'L) Plafonnement taux'!Q151</f>
        <v>0</v>
      </c>
      <c r="L151" s="307">
        <f t="shared" si="6"/>
        <v>8103537.699267338</v>
      </c>
      <c r="M151" s="227">
        <f>'M) Police'!O151</f>
        <v>309221.30137399852</v>
      </c>
      <c r="N151" s="227">
        <f t="shared" si="7"/>
        <v>8412759.0006413367</v>
      </c>
      <c r="O151" s="399">
        <f t="shared" si="8"/>
        <v>3208317.1163546713</v>
      </c>
      <c r="P151" s="314"/>
      <c r="Q151" s="493"/>
    </row>
    <row r="152" spans="1:17" s="160" customFormat="1" x14ac:dyDescent="0.25">
      <c r="A152" s="157">
        <f>'B) D RI'!A153</f>
        <v>5644</v>
      </c>
      <c r="B152" s="158" t="str">
        <f>'B) D RI'!B153</f>
        <v>Reverolle</v>
      </c>
      <c r="C152" s="310">
        <f>'B) D RI'!S153</f>
        <v>76</v>
      </c>
      <c r="D152" s="159">
        <f>'B) D RI'!AA153</f>
        <v>413</v>
      </c>
      <c r="E152" s="308">
        <f>'D) Ecrêtage'!C151</f>
        <v>16859.730657894735</v>
      </c>
      <c r="F152" s="312">
        <f>'E) Fact soc'!G157</f>
        <v>288479.23813299288</v>
      </c>
      <c r="G152" s="309">
        <f>'H) Péréquation directe'!I162</f>
        <v>225898.22939567629</v>
      </c>
      <c r="H152" s="312">
        <f>+'I) Dépenses thématiques'!O151</f>
        <v>-50055.82166938416</v>
      </c>
      <c r="I152" s="309">
        <f>'K) Plafonnement aide'!J151</f>
        <v>0</v>
      </c>
      <c r="J152" s="312">
        <f>'J) Plafonnement effort'!I151</f>
        <v>0</v>
      </c>
      <c r="K152" s="309">
        <f>'L) Plafonnement taux'!Q152</f>
        <v>0</v>
      </c>
      <c r="L152" s="307">
        <f t="shared" si="6"/>
        <v>464321.64585928502</v>
      </c>
      <c r="M152" s="227">
        <f>'M) Police'!O152</f>
        <v>51730.656847500592</v>
      </c>
      <c r="N152" s="227">
        <f t="shared" si="7"/>
        <v>516052.30270678562</v>
      </c>
      <c r="O152" s="399">
        <f t="shared" si="8"/>
        <v>175842.40772629212</v>
      </c>
      <c r="P152" s="314"/>
      <c r="Q152" s="493"/>
    </row>
    <row r="153" spans="1:17" s="160" customFormat="1" x14ac:dyDescent="0.25">
      <c r="A153" s="157">
        <f>'B) D RI'!A154</f>
        <v>5645</v>
      </c>
      <c r="B153" s="158" t="str">
        <f>'B) D RI'!B154</f>
        <v>Romanel-sur-Morges</v>
      </c>
      <c r="C153" s="310">
        <f>'B) D RI'!S154</f>
        <v>56</v>
      </c>
      <c r="D153" s="159">
        <f>'B) D RI'!AA154</f>
        <v>470</v>
      </c>
      <c r="E153" s="308">
        <f>'D) Ecrêtage'!C152</f>
        <v>29743.552142857145</v>
      </c>
      <c r="F153" s="312">
        <f>'E) Fact soc'!G158</f>
        <v>629782.76944932796</v>
      </c>
      <c r="G153" s="309">
        <f>'H) Péréquation directe'!I163</f>
        <v>536024.53097325924</v>
      </c>
      <c r="H153" s="312">
        <f>+'I) Dépenses thématiques'!O152</f>
        <v>0</v>
      </c>
      <c r="I153" s="309">
        <f>'K) Plafonnement aide'!J152</f>
        <v>0</v>
      </c>
      <c r="J153" s="312">
        <f>'J) Plafonnement effort'!I152</f>
        <v>0</v>
      </c>
      <c r="K153" s="309">
        <f>'L) Plafonnement taux'!Q153</f>
        <v>0</v>
      </c>
      <c r="L153" s="307">
        <f t="shared" si="6"/>
        <v>1165807.3004225872</v>
      </c>
      <c r="M153" s="227">
        <f>'M) Police'!O153</f>
        <v>76531.819284847035</v>
      </c>
      <c r="N153" s="227">
        <f t="shared" si="7"/>
        <v>1242339.1197074342</v>
      </c>
      <c r="O153" s="399">
        <f t="shared" si="8"/>
        <v>536024.53097325924</v>
      </c>
      <c r="P153" s="314"/>
      <c r="Q153" s="493"/>
    </row>
    <row r="154" spans="1:17" s="160" customFormat="1" x14ac:dyDescent="0.25">
      <c r="A154" s="157">
        <f>'B) D RI'!A155</f>
        <v>5646</v>
      </c>
      <c r="B154" s="158" t="str">
        <f>'B) D RI'!B155</f>
        <v>Saint-Prex</v>
      </c>
      <c r="C154" s="310">
        <f>'B) D RI'!S155</f>
        <v>55</v>
      </c>
      <c r="D154" s="159">
        <f>'B) D RI'!AA155</f>
        <v>5774</v>
      </c>
      <c r="E154" s="308">
        <f>'D) Ecrêtage'!C153</f>
        <v>419083.43709090899</v>
      </c>
      <c r="F154" s="312">
        <f>'E) Fact soc'!G159</f>
        <v>9279074.7527597435</v>
      </c>
      <c r="G154" s="309">
        <f>'H) Péréquation directe'!I164</f>
        <v>6083556.692325728</v>
      </c>
      <c r="H154" s="312">
        <f>+'I) Dépenses thématiques'!O153</f>
        <v>0</v>
      </c>
      <c r="I154" s="309">
        <f>'K) Plafonnement aide'!J153</f>
        <v>0</v>
      </c>
      <c r="J154" s="312">
        <f>'J) Plafonnement effort'!I153</f>
        <v>0</v>
      </c>
      <c r="K154" s="309">
        <f>'L) Plafonnement taux'!Q154</f>
        <v>0</v>
      </c>
      <c r="L154" s="307">
        <f t="shared" si="6"/>
        <v>15362631.445085471</v>
      </c>
      <c r="M154" s="227">
        <f>'M) Police'!O154</f>
        <v>499641.9925716311</v>
      </c>
      <c r="N154" s="227">
        <f t="shared" si="7"/>
        <v>15862273.437657103</v>
      </c>
      <c r="O154" s="399">
        <f t="shared" si="8"/>
        <v>6083556.692325728</v>
      </c>
      <c r="P154" s="314"/>
      <c r="Q154" s="493"/>
    </row>
    <row r="155" spans="1:17" s="160" customFormat="1" x14ac:dyDescent="0.25">
      <c r="A155" s="157">
        <f>'B) D RI'!A156</f>
        <v>5648</v>
      </c>
      <c r="B155" s="158" t="str">
        <f>'B) D RI'!B156</f>
        <v>Saint-Sulpice</v>
      </c>
      <c r="C155" s="310">
        <f>'B) D RI'!S156</f>
        <v>55</v>
      </c>
      <c r="D155" s="159">
        <f>'B) D RI'!AA156</f>
        <v>4717</v>
      </c>
      <c r="E155" s="308">
        <f>'D) Ecrêtage'!C154</f>
        <v>383471.67436363641</v>
      </c>
      <c r="F155" s="312">
        <f>'E) Fact soc'!G160</f>
        <v>9512323.221918229</v>
      </c>
      <c r="G155" s="309">
        <f>'H) Péréquation directe'!I165</f>
        <v>5980030.9496113956</v>
      </c>
      <c r="H155" s="312">
        <f>+'I) Dépenses thématiques'!O154</f>
        <v>0</v>
      </c>
      <c r="I155" s="309">
        <f>'K) Plafonnement aide'!J154</f>
        <v>0</v>
      </c>
      <c r="J155" s="312">
        <f>'J) Plafonnement effort'!I154</f>
        <v>0</v>
      </c>
      <c r="K155" s="309">
        <f>'L) Plafonnement taux'!Q155</f>
        <v>0</v>
      </c>
      <c r="L155" s="307">
        <f t="shared" si="6"/>
        <v>15492354.171529625</v>
      </c>
      <c r="M155" s="227">
        <f>'M) Police'!O155</f>
        <v>457184.73820826464</v>
      </c>
      <c r="N155" s="227">
        <f t="shared" si="7"/>
        <v>15949538.909737889</v>
      </c>
      <c r="O155" s="399">
        <f t="shared" si="8"/>
        <v>5980030.9496113956</v>
      </c>
      <c r="P155" s="314"/>
      <c r="Q155" s="493"/>
    </row>
    <row r="156" spans="1:17" s="160" customFormat="1" x14ac:dyDescent="0.25">
      <c r="A156" s="157">
        <f>'B) D RI'!A157</f>
        <v>5649</v>
      </c>
      <c r="B156" s="158" t="str">
        <f>'B) D RI'!B157</f>
        <v>Tolochenaz</v>
      </c>
      <c r="C156" s="310">
        <f>'B) D RI'!S157</f>
        <v>65</v>
      </c>
      <c r="D156" s="159">
        <f>'B) D RI'!AA157</f>
        <v>1907</v>
      </c>
      <c r="E156" s="308">
        <f>'D) Ecrêtage'!C155</f>
        <v>109794.23076923077</v>
      </c>
      <c r="F156" s="312">
        <f>'E) Fact soc'!G161</f>
        <v>2068987.3541509476</v>
      </c>
      <c r="G156" s="309">
        <f>'H) Péréquation directe'!I166</f>
        <v>1751943.6344315775</v>
      </c>
      <c r="H156" s="312">
        <f>+'I) Dépenses thématiques'!O155</f>
        <v>-476507.68348350923</v>
      </c>
      <c r="I156" s="309">
        <f>'K) Plafonnement aide'!J155</f>
        <v>0</v>
      </c>
      <c r="J156" s="312">
        <f>'J) Plafonnement effort'!I155</f>
        <v>0</v>
      </c>
      <c r="K156" s="309">
        <f>'L) Plafonnement taux'!Q156</f>
        <v>0</v>
      </c>
      <c r="L156" s="307">
        <f t="shared" si="6"/>
        <v>3344423.3050990161</v>
      </c>
      <c r="M156" s="227">
        <f>'M) Police'!O156</f>
        <v>130899.49012350972</v>
      </c>
      <c r="N156" s="227">
        <f t="shared" si="7"/>
        <v>3475322.795222526</v>
      </c>
      <c r="O156" s="399">
        <f t="shared" si="8"/>
        <v>1275435.9509480684</v>
      </c>
      <c r="P156" s="314"/>
      <c r="Q156" s="493"/>
    </row>
    <row r="157" spans="1:17" s="160" customFormat="1" x14ac:dyDescent="0.25">
      <c r="A157" s="157">
        <f>'B) D RI'!A158</f>
        <v>5650</v>
      </c>
      <c r="B157" s="158" t="str">
        <f>'B) D RI'!B158</f>
        <v>Vaux-sur-Morges</v>
      </c>
      <c r="C157" s="310">
        <f>'B) D RI'!S158</f>
        <v>56</v>
      </c>
      <c r="D157" s="159">
        <f>'B) D RI'!AA158</f>
        <v>196</v>
      </c>
      <c r="E157" s="308">
        <f>'D) Ecrêtage'!C156</f>
        <v>162834.69392857142</v>
      </c>
      <c r="F157" s="312">
        <f>'E) Fact soc'!G162</f>
        <v>7368678.8639374375</v>
      </c>
      <c r="G157" s="309">
        <f>'H) Péréquation directe'!I167</f>
        <v>3233160.1504558627</v>
      </c>
      <c r="H157" s="312">
        <f>+'I) Dépenses thématiques'!O156</f>
        <v>0</v>
      </c>
      <c r="I157" s="309">
        <f>'K) Plafonnement aide'!J156</f>
        <v>0</v>
      </c>
      <c r="J157" s="312">
        <f>'J) Plafonnement effort'!I156</f>
        <v>-3274277.7876075851</v>
      </c>
      <c r="K157" s="309">
        <f>'L) Plafonnement taux'!Q157</f>
        <v>0</v>
      </c>
      <c r="L157" s="307">
        <f t="shared" si="6"/>
        <v>7327561.2267857147</v>
      </c>
      <c r="M157" s="227">
        <f>'M) Police'!O157</f>
        <v>211263.08255637059</v>
      </c>
      <c r="N157" s="227">
        <f t="shared" si="7"/>
        <v>7538824.3093420854</v>
      </c>
      <c r="O157" s="399">
        <f t="shared" si="8"/>
        <v>-41117.637151722331</v>
      </c>
      <c r="P157" s="314"/>
      <c r="Q157" s="493"/>
    </row>
    <row r="158" spans="1:17" s="160" customFormat="1" x14ac:dyDescent="0.25">
      <c r="A158" s="157">
        <f>'B) D RI'!A159</f>
        <v>5651</v>
      </c>
      <c r="B158" s="158" t="str">
        <f>'B) D RI'!B159</f>
        <v>Villars-Sainte-Croix</v>
      </c>
      <c r="C158" s="310">
        <f>'B) D RI'!S159</f>
        <v>62</v>
      </c>
      <c r="D158" s="159">
        <f>'B) D RI'!AA159</f>
        <v>973</v>
      </c>
      <c r="E158" s="308">
        <f>'D) Ecrêtage'!C157</f>
        <v>58682.807419354831</v>
      </c>
      <c r="F158" s="312">
        <f>'E) Fact soc'!G163</f>
        <v>1184718.7729052808</v>
      </c>
      <c r="G158" s="309">
        <f>'H) Péréquation directe'!I168</f>
        <v>1051811.9936491475</v>
      </c>
      <c r="H158" s="312">
        <f>+'I) Dépenses thématiques'!O157</f>
        <v>0</v>
      </c>
      <c r="I158" s="309">
        <f>'K) Plafonnement aide'!J157</f>
        <v>0</v>
      </c>
      <c r="J158" s="312">
        <f>'J) Plafonnement effort'!I157</f>
        <v>0</v>
      </c>
      <c r="K158" s="309">
        <f>'L) Plafonnement taux'!Q158</f>
        <v>0</v>
      </c>
      <c r="L158" s="307">
        <f t="shared" si="6"/>
        <v>2236530.7665544283</v>
      </c>
      <c r="M158" s="227">
        <f>'M) Police'!O158</f>
        <v>69963.143931988569</v>
      </c>
      <c r="N158" s="227">
        <f t="shared" si="7"/>
        <v>2306493.9104864169</v>
      </c>
      <c r="O158" s="399">
        <f t="shared" si="8"/>
        <v>1051811.9936491475</v>
      </c>
      <c r="P158" s="314"/>
      <c r="Q158" s="493"/>
    </row>
    <row r="159" spans="1:17" s="160" customFormat="1" x14ac:dyDescent="0.25">
      <c r="A159" s="157">
        <f>'B) D RI'!A160</f>
        <v>5652</v>
      </c>
      <c r="B159" s="158" t="str">
        <f>'B) D RI'!B160</f>
        <v>Villars-sous-Yens</v>
      </c>
      <c r="C159" s="310">
        <f>'B) D RI'!S160</f>
        <v>76</v>
      </c>
      <c r="D159" s="159">
        <f>'B) D RI'!AA160</f>
        <v>603</v>
      </c>
      <c r="E159" s="308">
        <f>'D) Ecrêtage'!C158</f>
        <v>32935.200285087711</v>
      </c>
      <c r="F159" s="312">
        <f>'E) Fact soc'!G164</f>
        <v>586267.14705282368</v>
      </c>
      <c r="G159" s="309">
        <f>'H) Péréquation directe'!I169</f>
        <v>583170.22206894436</v>
      </c>
      <c r="H159" s="312">
        <f>+'I) Dépenses thématiques'!O158</f>
        <v>0</v>
      </c>
      <c r="I159" s="309">
        <f>'K) Plafonnement aide'!J158</f>
        <v>0</v>
      </c>
      <c r="J159" s="312">
        <f>'J) Plafonnement effort'!I158</f>
        <v>0</v>
      </c>
      <c r="K159" s="309">
        <f>'L) Plafonnement taux'!Q159</f>
        <v>0</v>
      </c>
      <c r="L159" s="307">
        <f t="shared" si="6"/>
        <v>1169437.369121768</v>
      </c>
      <c r="M159" s="227">
        <f>'M) Police'!O159</f>
        <v>91959.145160808708</v>
      </c>
      <c r="N159" s="227">
        <f t="shared" si="7"/>
        <v>1261396.5142825767</v>
      </c>
      <c r="O159" s="399">
        <f t="shared" si="8"/>
        <v>583170.22206894436</v>
      </c>
      <c r="P159" s="314"/>
      <c r="Q159" s="493"/>
    </row>
    <row r="160" spans="1:17" s="160" customFormat="1" x14ac:dyDescent="0.25">
      <c r="A160" s="157">
        <f>'B) D RI'!A161</f>
        <v>5653</v>
      </c>
      <c r="B160" s="158" t="str">
        <f>'B) D RI'!B161</f>
        <v>Vufflens-le-Château</v>
      </c>
      <c r="C160" s="310">
        <f>'B) D RI'!S161</f>
        <v>60</v>
      </c>
      <c r="D160" s="159">
        <f>'B) D RI'!AA161</f>
        <v>883</v>
      </c>
      <c r="E160" s="308">
        <f>'D) Ecrêtage'!C159</f>
        <v>71866.827999999994</v>
      </c>
      <c r="F160" s="312">
        <f>'E) Fact soc'!G165</f>
        <v>2520648.8416742105</v>
      </c>
      <c r="G160" s="309">
        <f>'H) Péréquation directe'!I170</f>
        <v>1326887.2078166173</v>
      </c>
      <c r="H160" s="312">
        <f>+'I) Dépenses thématiques'!O159</f>
        <v>0</v>
      </c>
      <c r="I160" s="309">
        <f>'K) Plafonnement aide'!J159</f>
        <v>0</v>
      </c>
      <c r="J160" s="312">
        <f>'J) Plafonnement effort'!I159</f>
        <v>-613528.78949082759</v>
      </c>
      <c r="K160" s="309">
        <f>'L) Plafonnement taux'!Q160</f>
        <v>0</v>
      </c>
      <c r="L160" s="307">
        <f t="shared" si="6"/>
        <v>3234007.2600000007</v>
      </c>
      <c r="M160" s="227">
        <f>'M) Police'!O160</f>
        <v>162842.13553379878</v>
      </c>
      <c r="N160" s="227">
        <f t="shared" si="7"/>
        <v>3396849.3955337997</v>
      </c>
      <c r="O160" s="399">
        <f t="shared" si="8"/>
        <v>713358.41832578974</v>
      </c>
      <c r="P160" s="314"/>
      <c r="Q160" s="493"/>
    </row>
    <row r="161" spans="1:17" s="160" customFormat="1" x14ac:dyDescent="0.25">
      <c r="A161" s="157">
        <f>'B) D RI'!A162</f>
        <v>5654</v>
      </c>
      <c r="B161" s="158" t="str">
        <f>'B) D RI'!B162</f>
        <v>Vullierens</v>
      </c>
      <c r="C161" s="310">
        <f>'B) D RI'!S162</f>
        <v>76</v>
      </c>
      <c r="D161" s="159">
        <f>'B) D RI'!AA162</f>
        <v>513</v>
      </c>
      <c r="E161" s="308">
        <f>'D) Ecrêtage'!C160</f>
        <v>18067.402499999997</v>
      </c>
      <c r="F161" s="312">
        <f>'E) Fact soc'!G166</f>
        <v>292261.14718037349</v>
      </c>
      <c r="G161" s="309">
        <f>'H) Péréquation directe'!I171</f>
        <v>157343.54522893656</v>
      </c>
      <c r="H161" s="312">
        <f>+'I) Dépenses thématiques'!O160</f>
        <v>-20015.425587751593</v>
      </c>
      <c r="I161" s="309">
        <f>'K) Plafonnement aide'!J160</f>
        <v>0</v>
      </c>
      <c r="J161" s="312">
        <f>'J) Plafonnement effort'!I160</f>
        <v>0</v>
      </c>
      <c r="K161" s="309">
        <f>'L) Plafonnement taux'!Q161</f>
        <v>0</v>
      </c>
      <c r="L161" s="307">
        <f t="shared" si="6"/>
        <v>429589.26682155841</v>
      </c>
      <c r="M161" s="227">
        <f>'M) Police'!O161</f>
        <v>54953.815158840094</v>
      </c>
      <c r="N161" s="227">
        <f t="shared" si="7"/>
        <v>484543.08198039851</v>
      </c>
      <c r="O161" s="399">
        <f t="shared" si="8"/>
        <v>137328.11964118498</v>
      </c>
      <c r="P161" s="314"/>
      <c r="Q161" s="493"/>
    </row>
    <row r="162" spans="1:17" s="160" customFormat="1" x14ac:dyDescent="0.25">
      <c r="A162" s="157">
        <f>'B) D RI'!A163</f>
        <v>5655</v>
      </c>
      <c r="B162" s="158" t="str">
        <f>'B) D RI'!B163</f>
        <v>Yens</v>
      </c>
      <c r="C162" s="310">
        <f>'B) D RI'!S163</f>
        <v>73</v>
      </c>
      <c r="D162" s="159">
        <f>'B) D RI'!AA163</f>
        <v>1477</v>
      </c>
      <c r="E162" s="308">
        <f>'D) Ecrêtage'!C161</f>
        <v>77231.578767123297</v>
      </c>
      <c r="F162" s="312">
        <f>'E) Fact soc'!G167</f>
        <v>1510281.1106004845</v>
      </c>
      <c r="G162" s="309">
        <f>'H) Péréquation directe'!I172</f>
        <v>1251729.7630611965</v>
      </c>
      <c r="H162" s="312">
        <f>+'I) Dépenses thématiques'!O161</f>
        <v>0</v>
      </c>
      <c r="I162" s="309">
        <f>'K) Plafonnement aide'!J161</f>
        <v>0</v>
      </c>
      <c r="J162" s="312">
        <f>'J) Plafonnement effort'!I161</f>
        <v>0</v>
      </c>
      <c r="K162" s="309">
        <f>'L) Plafonnement taux'!Q162</f>
        <v>0</v>
      </c>
      <c r="L162" s="307">
        <f t="shared" si="6"/>
        <v>2762010.8736616811</v>
      </c>
      <c r="M162" s="227">
        <f>'M) Police'!O162</f>
        <v>221144.62356679668</v>
      </c>
      <c r="N162" s="227">
        <f t="shared" si="7"/>
        <v>2983155.4972284776</v>
      </c>
      <c r="O162" s="399">
        <f t="shared" si="8"/>
        <v>1251729.7630611965</v>
      </c>
      <c r="P162" s="314"/>
      <c r="Q162" s="493"/>
    </row>
    <row r="163" spans="1:17" s="160" customFormat="1" x14ac:dyDescent="0.25">
      <c r="A163" s="157">
        <f>'B) D RI'!A164</f>
        <v>5661</v>
      </c>
      <c r="B163" s="158" t="str">
        <f>'B) D RI'!B164</f>
        <v>Boulens</v>
      </c>
      <c r="C163" s="310">
        <f>'B) D RI'!S164</f>
        <v>73</v>
      </c>
      <c r="D163" s="159">
        <f>'B) D RI'!AA164</f>
        <v>361</v>
      </c>
      <c r="E163" s="308">
        <f>'D) Ecrêtage'!C162</f>
        <v>10067.366438356165</v>
      </c>
      <c r="F163" s="312">
        <f>'E) Fact soc'!G168</f>
        <v>154082.96105970879</v>
      </c>
      <c r="G163" s="309">
        <f>'H) Péréquation directe'!I173</f>
        <v>9532.3145439714426</v>
      </c>
      <c r="H163" s="312">
        <f>+'I) Dépenses thématiques'!O162</f>
        <v>-76262.497688634176</v>
      </c>
      <c r="I163" s="309">
        <f>'K) Plafonnement aide'!J162</f>
        <v>0</v>
      </c>
      <c r="J163" s="312">
        <f>'J) Plafonnement effort'!I162</f>
        <v>0</v>
      </c>
      <c r="K163" s="309">
        <f>'L) Plafonnement taux'!Q163</f>
        <v>0</v>
      </c>
      <c r="L163" s="307">
        <f t="shared" si="6"/>
        <v>87352.777915046056</v>
      </c>
      <c r="M163" s="227">
        <f>'M) Police'!O163</f>
        <v>30612.975869822785</v>
      </c>
      <c r="N163" s="227">
        <f t="shared" si="7"/>
        <v>117965.75378486884</v>
      </c>
      <c r="O163" s="399">
        <f t="shared" si="8"/>
        <v>-66730.183144662733</v>
      </c>
      <c r="P163" s="314"/>
      <c r="Q163" s="493"/>
    </row>
    <row r="164" spans="1:17" s="160" customFormat="1" x14ac:dyDescent="0.25">
      <c r="A164" s="157">
        <f>'B) D RI'!A165</f>
        <v>5663</v>
      </c>
      <c r="B164" s="158" t="str">
        <f>'B) D RI'!B165</f>
        <v>Bussy-sur-Moudon</v>
      </c>
      <c r="C164" s="310">
        <f>'B) D RI'!S165</f>
        <v>80</v>
      </c>
      <c r="D164" s="159">
        <f>'B) D RI'!AA165</f>
        <v>218</v>
      </c>
      <c r="E164" s="308">
        <f>'D) Ecrêtage'!C163</f>
        <v>6357.5273750000006</v>
      </c>
      <c r="F164" s="312">
        <f>'E) Fact soc'!G169</f>
        <v>116096.59945191049</v>
      </c>
      <c r="G164" s="309">
        <f>'H) Péréquation directe'!I174</f>
        <v>582.11598697307636</v>
      </c>
      <c r="H164" s="312">
        <f>+'I) Dépenses thématiques'!O163</f>
        <v>-29801.965860612585</v>
      </c>
      <c r="I164" s="309">
        <f>'K) Plafonnement aide'!J163</f>
        <v>0</v>
      </c>
      <c r="J164" s="312">
        <f>'J) Plafonnement effort'!I163</f>
        <v>0</v>
      </c>
      <c r="K164" s="309">
        <f>'L) Plafonnement taux'!Q164</f>
        <v>0</v>
      </c>
      <c r="L164" s="307">
        <f t="shared" si="6"/>
        <v>86876.749578270974</v>
      </c>
      <c r="M164" s="227">
        <f>'M) Police'!O164</f>
        <v>19498.902742570066</v>
      </c>
      <c r="N164" s="227">
        <f t="shared" si="7"/>
        <v>106375.65232084104</v>
      </c>
      <c r="O164" s="399">
        <f t="shared" si="8"/>
        <v>-29219.849873639509</v>
      </c>
      <c r="P164" s="314"/>
      <c r="Q164" s="493"/>
    </row>
    <row r="165" spans="1:17" s="160" customFormat="1" x14ac:dyDescent="0.25">
      <c r="A165" s="157">
        <f>'B) D RI'!A166</f>
        <v>5665</v>
      </c>
      <c r="B165" s="158" t="str">
        <f>'B) D RI'!B166</f>
        <v>Chavannes-sur-Moudon</v>
      </c>
      <c r="C165" s="310">
        <f>'B) D RI'!S166</f>
        <v>73</v>
      </c>
      <c r="D165" s="159">
        <f>'B) D RI'!AA166</f>
        <v>210</v>
      </c>
      <c r="E165" s="308">
        <f>'D) Ecrêtage'!C164</f>
        <v>4734.8986301369869</v>
      </c>
      <c r="F165" s="312">
        <f>'E) Fact soc'!G170</f>
        <v>84311.882415610526</v>
      </c>
      <c r="G165" s="309">
        <f>'H) Péréquation directe'!I175</f>
        <v>-40554.25434183664</v>
      </c>
      <c r="H165" s="312">
        <f>+'I) Dépenses thématiques'!O164</f>
        <v>-20781.549970738964</v>
      </c>
      <c r="I165" s="309">
        <f>'K) Plafonnement aide'!J164</f>
        <v>0</v>
      </c>
      <c r="J165" s="312">
        <f>'J) Plafonnement effort'!I164</f>
        <v>0</v>
      </c>
      <c r="K165" s="309">
        <f>'L) Plafonnement taux'!Q165</f>
        <v>0</v>
      </c>
      <c r="L165" s="307">
        <f t="shared" si="6"/>
        <v>22976.078103034921</v>
      </c>
      <c r="M165" s="227">
        <f>'M) Police'!O165</f>
        <v>14443.023415450189</v>
      </c>
      <c r="N165" s="227">
        <f t="shared" si="7"/>
        <v>37419.101518485113</v>
      </c>
      <c r="O165" s="399">
        <f t="shared" si="8"/>
        <v>-61335.804312575608</v>
      </c>
      <c r="P165" s="314"/>
      <c r="Q165" s="493"/>
    </row>
    <row r="166" spans="1:17" s="160" customFormat="1" x14ac:dyDescent="0.25">
      <c r="A166" s="157">
        <f>'B) D RI'!A167</f>
        <v>5669</v>
      </c>
      <c r="B166" s="158" t="str">
        <f>'B) D RI'!B167</f>
        <v>Curtilles</v>
      </c>
      <c r="C166" s="310">
        <f>'B) D RI'!S167</f>
        <v>75</v>
      </c>
      <c r="D166" s="159">
        <f>'B) D RI'!AA167</f>
        <v>310</v>
      </c>
      <c r="E166" s="308">
        <f>'D) Ecrêtage'!C165</f>
        <v>10002.199066666666</v>
      </c>
      <c r="F166" s="312">
        <f>'E) Fact soc'!G171</f>
        <v>154560.57103144846</v>
      </c>
      <c r="G166" s="309">
        <f>'H) Péréquation directe'!I176</f>
        <v>58572.118354149134</v>
      </c>
      <c r="H166" s="312">
        <f>+'I) Dépenses thématiques'!O165</f>
        <v>0</v>
      </c>
      <c r="I166" s="309">
        <f>'K) Plafonnement aide'!J165</f>
        <v>0</v>
      </c>
      <c r="J166" s="312">
        <f>'J) Plafonnement effort'!I165</f>
        <v>0</v>
      </c>
      <c r="K166" s="309">
        <f>'L) Plafonnement taux'!Q166</f>
        <v>0</v>
      </c>
      <c r="L166" s="307">
        <f t="shared" si="6"/>
        <v>213132.68938559759</v>
      </c>
      <c r="M166" s="227">
        <f>'M) Police'!O166</f>
        <v>30676.571686256913</v>
      </c>
      <c r="N166" s="227">
        <f t="shared" si="7"/>
        <v>243809.2610718545</v>
      </c>
      <c r="O166" s="399">
        <f t="shared" si="8"/>
        <v>58572.118354149134</v>
      </c>
      <c r="P166" s="314"/>
      <c r="Q166" s="493"/>
    </row>
    <row r="167" spans="1:17" s="160" customFormat="1" x14ac:dyDescent="0.25">
      <c r="A167" s="157">
        <f>'B) D RI'!A168</f>
        <v>5671</v>
      </c>
      <c r="B167" s="158" t="str">
        <f>'B) D RI'!B168</f>
        <v>Dompierre</v>
      </c>
      <c r="C167" s="310">
        <f>'B) D RI'!S168</f>
        <v>80</v>
      </c>
      <c r="D167" s="159">
        <f>'B) D RI'!AA168</f>
        <v>232</v>
      </c>
      <c r="E167" s="308">
        <f>'D) Ecrêtage'!C166</f>
        <v>6571.3844999999983</v>
      </c>
      <c r="F167" s="312">
        <f>'E) Fact soc'!G172</f>
        <v>120548.36113394867</v>
      </c>
      <c r="G167" s="309">
        <f>'H) Péréquation directe'!I177</f>
        <v>-8197.0556861176447</v>
      </c>
      <c r="H167" s="312">
        <f>+'I) Dépenses thématiques'!O166</f>
        <v>-39737.354647376073</v>
      </c>
      <c r="I167" s="309">
        <f>'K) Plafonnement aide'!J166</f>
        <v>0</v>
      </c>
      <c r="J167" s="312">
        <f>'J) Plafonnement effort'!I166</f>
        <v>0</v>
      </c>
      <c r="K167" s="309">
        <f>'L) Plafonnement taux'!Q167</f>
        <v>0</v>
      </c>
      <c r="L167" s="307">
        <f t="shared" si="6"/>
        <v>72613.950800454943</v>
      </c>
      <c r="M167" s="227">
        <f>'M) Police'!O167</f>
        <v>20156.524176805877</v>
      </c>
      <c r="N167" s="227">
        <f t="shared" si="7"/>
        <v>92770.474977260819</v>
      </c>
      <c r="O167" s="399">
        <f t="shared" si="8"/>
        <v>-47934.410333493717</v>
      </c>
      <c r="P167" s="314"/>
      <c r="Q167" s="493"/>
    </row>
    <row r="168" spans="1:17" s="160" customFormat="1" x14ac:dyDescent="0.25">
      <c r="A168" s="157">
        <f>'B) D RI'!A169</f>
        <v>5673</v>
      </c>
      <c r="B168" s="158" t="str">
        <f>'B) D RI'!B169</f>
        <v>Hermenches</v>
      </c>
      <c r="C168" s="310">
        <f>'B) D RI'!S169</f>
        <v>75</v>
      </c>
      <c r="D168" s="159">
        <f>'B) D RI'!AA169</f>
        <v>367</v>
      </c>
      <c r="E168" s="308">
        <f>'D) Ecrêtage'!C167</f>
        <v>9909.6989333333331</v>
      </c>
      <c r="F168" s="312">
        <f>'E) Fact soc'!G173</f>
        <v>168896.91571658928</v>
      </c>
      <c r="G168" s="309">
        <f>'H) Péréquation directe'!I178</f>
        <v>-12323.726686992304</v>
      </c>
      <c r="H168" s="312">
        <f>+'I) Dépenses thématiques'!O167</f>
        <v>-92114.034839305183</v>
      </c>
      <c r="I168" s="309">
        <f>'K) Plafonnement aide'!J167</f>
        <v>0</v>
      </c>
      <c r="J168" s="312">
        <f>'J) Plafonnement effort'!I167</f>
        <v>0</v>
      </c>
      <c r="K168" s="309">
        <f>'L) Plafonnement taux'!Q168</f>
        <v>0</v>
      </c>
      <c r="L168" s="307">
        <f t="shared" ref="L168:L220" si="9">F168+G168+H168+I168+J168+K168</f>
        <v>64459.154190291796</v>
      </c>
      <c r="M168" s="227">
        <f>'M) Police'!O168</f>
        <v>30333.447728093233</v>
      </c>
      <c r="N168" s="227">
        <f t="shared" si="7"/>
        <v>94792.601918385029</v>
      </c>
      <c r="O168" s="399">
        <f t="shared" si="8"/>
        <v>-104437.76152629749</v>
      </c>
      <c r="P168" s="314"/>
      <c r="Q168" s="493"/>
    </row>
    <row r="169" spans="1:17" s="160" customFormat="1" x14ac:dyDescent="0.25">
      <c r="A169" s="157">
        <f>'B) D RI'!A170</f>
        <v>5674</v>
      </c>
      <c r="B169" s="158" t="str">
        <f>'B) D RI'!B170</f>
        <v>Lovatens</v>
      </c>
      <c r="C169" s="310">
        <f>'B) D RI'!S170</f>
        <v>75</v>
      </c>
      <c r="D169" s="159">
        <f>'B) D RI'!AA170</f>
        <v>136</v>
      </c>
      <c r="E169" s="308">
        <f>'D) Ecrêtage'!C168</f>
        <v>3215.0507999999995</v>
      </c>
      <c r="F169" s="312">
        <f>'E) Fact soc'!G174</f>
        <v>47327.537415906518</v>
      </c>
      <c r="G169" s="309">
        <f>'H) Péréquation directe'!I179</f>
        <v>-23896.862273103143</v>
      </c>
      <c r="H169" s="312">
        <f>+'I) Dépenses thématiques'!O168</f>
        <v>-12427.911301915214</v>
      </c>
      <c r="I169" s="309">
        <f>'K) Plafonnement aide'!J168</f>
        <v>0</v>
      </c>
      <c r="J169" s="312">
        <f>'J) Plafonnement effort'!I168</f>
        <v>0</v>
      </c>
      <c r="K169" s="309">
        <f>'L) Plafonnement taux'!Q169</f>
        <v>0</v>
      </c>
      <c r="L169" s="307">
        <f t="shared" si="9"/>
        <v>11002.763840888161</v>
      </c>
      <c r="M169" s="227">
        <f>'M) Police'!O169</f>
        <v>9779.6447282541558</v>
      </c>
      <c r="N169" s="227">
        <f t="shared" si="7"/>
        <v>20782.408569142317</v>
      </c>
      <c r="O169" s="399">
        <f t="shared" si="8"/>
        <v>-36324.773575018356</v>
      </c>
      <c r="P169" s="314"/>
      <c r="Q169" s="493"/>
    </row>
    <row r="170" spans="1:17" s="160" customFormat="1" x14ac:dyDescent="0.25">
      <c r="A170" s="157">
        <f>'B) D RI'!A171</f>
        <v>5675</v>
      </c>
      <c r="B170" s="158" t="str">
        <f>'B) D RI'!B171</f>
        <v>Lucens</v>
      </c>
      <c r="C170" s="310">
        <f>'B) D RI'!S171</f>
        <v>69</v>
      </c>
      <c r="D170" s="159">
        <f>'B) D RI'!AA171</f>
        <v>4220</v>
      </c>
      <c r="E170" s="308">
        <f>'D) Ecrêtage'!C169</f>
        <v>97758.400909090895</v>
      </c>
      <c r="F170" s="312">
        <f>'E) Fact soc'!G175</f>
        <v>1895615.4201690583</v>
      </c>
      <c r="G170" s="309">
        <f>'H) Péréquation directe'!I180</f>
        <v>-1392359.2196683423</v>
      </c>
      <c r="H170" s="312">
        <f>+'I) Dépenses thématiques'!O169</f>
        <v>-477088.99967832561</v>
      </c>
      <c r="I170" s="309">
        <f>'K) Plafonnement aide'!J169</f>
        <v>0</v>
      </c>
      <c r="J170" s="312">
        <f>'J) Plafonnement effort'!I169</f>
        <v>0</v>
      </c>
      <c r="K170" s="309">
        <f>'L) Plafonnement taux'!Q170</f>
        <v>0</v>
      </c>
      <c r="L170" s="307">
        <f t="shared" ref="L170" si="10">F170+G170+H170+I170+J170+K170</f>
        <v>26167.200822390383</v>
      </c>
      <c r="M170" s="227">
        <f>'M) Police'!O170</f>
        <v>291639.96853325062</v>
      </c>
      <c r="N170" s="227">
        <f t="shared" ref="N170" si="11">L170+M170</f>
        <v>317807.169355641</v>
      </c>
      <c r="O170" s="399">
        <f t="shared" si="8"/>
        <v>-1869448.2193466679</v>
      </c>
      <c r="P170" s="314"/>
      <c r="Q170" s="493"/>
    </row>
    <row r="171" spans="1:17" s="160" customFormat="1" x14ac:dyDescent="0.25">
      <c r="A171" s="157">
        <f>'B) D RI'!A172</f>
        <v>5678</v>
      </c>
      <c r="B171" s="158" t="str">
        <f>'B) D RI'!B172</f>
        <v>Moudon</v>
      </c>
      <c r="C171" s="310">
        <f>'B) D RI'!S172</f>
        <v>75</v>
      </c>
      <c r="D171" s="159">
        <f>'B) D RI'!AA172</f>
        <v>6080</v>
      </c>
      <c r="E171" s="308">
        <f>'D) Ecrêtage'!C170</f>
        <v>126080.27293333331</v>
      </c>
      <c r="F171" s="312">
        <f>'E) Fact soc'!G176</f>
        <v>2606363.9719164721</v>
      </c>
      <c r="G171" s="309">
        <f>'H) Péréquation directe'!I181</f>
        <v>-3536220.3926691776</v>
      </c>
      <c r="H171" s="312">
        <f>+'I) Dépenses thématiques'!O170</f>
        <v>-1108823.9398942168</v>
      </c>
      <c r="I171" s="309">
        <f>'K) Plafonnement aide'!J170</f>
        <v>0</v>
      </c>
      <c r="J171" s="312">
        <f>'J) Plafonnement effort'!I170</f>
        <v>0</v>
      </c>
      <c r="K171" s="309">
        <f>'L) Plafonnement taux'!Q171</f>
        <v>0</v>
      </c>
      <c r="L171" s="307">
        <f t="shared" si="9"/>
        <v>-2038680.3606469224</v>
      </c>
      <c r="M171" s="227">
        <f>'M) Police'!O171</f>
        <v>378583.52667200641</v>
      </c>
      <c r="N171" s="227">
        <f t="shared" si="7"/>
        <v>-1660096.833974916</v>
      </c>
      <c r="O171" s="399">
        <f t="shared" si="8"/>
        <v>-4645044.3325633947</v>
      </c>
      <c r="P171" s="314"/>
      <c r="Q171" s="493"/>
    </row>
    <row r="172" spans="1:17" s="160" customFormat="1" x14ac:dyDescent="0.25">
      <c r="A172" s="157">
        <f>'B) D RI'!A173</f>
        <v>5680</v>
      </c>
      <c r="B172" s="158" t="str">
        <f>'B) D RI'!B173</f>
        <v>Ogens</v>
      </c>
      <c r="C172" s="310">
        <f>'B) D RI'!S173</f>
        <v>78</v>
      </c>
      <c r="D172" s="159">
        <f>'B) D RI'!AA173</f>
        <v>296</v>
      </c>
      <c r="E172" s="308">
        <f>'D) Ecrêtage'!C171</f>
        <v>6313.5037606837595</v>
      </c>
      <c r="F172" s="312">
        <f>'E) Fact soc'!G177</f>
        <v>129427.79098761189</v>
      </c>
      <c r="G172" s="309">
        <f>'H) Péréquation directe'!I182</f>
        <v>-94803.927488851987</v>
      </c>
      <c r="H172" s="312">
        <f>+'I) Dépenses thématiques'!O171</f>
        <v>-28312.071496967135</v>
      </c>
      <c r="I172" s="309">
        <f>'K) Plafonnement aide'!J171</f>
        <v>0</v>
      </c>
      <c r="J172" s="312">
        <f>'J) Plafonnement effort'!I171</f>
        <v>0</v>
      </c>
      <c r="K172" s="309">
        <f>'L) Plafonnement taux'!Q172</f>
        <v>0</v>
      </c>
      <c r="L172" s="307">
        <f t="shared" si="9"/>
        <v>6311.7920017927718</v>
      </c>
      <c r="M172" s="227">
        <f>'M) Police'!O172</f>
        <v>18896.763227695468</v>
      </c>
      <c r="N172" s="227">
        <f t="shared" si="7"/>
        <v>25208.55522948824</v>
      </c>
      <c r="O172" s="399">
        <f t="shared" si="8"/>
        <v>-123115.99898581913</v>
      </c>
      <c r="P172" s="314"/>
      <c r="Q172" s="493"/>
    </row>
    <row r="173" spans="1:17" s="160" customFormat="1" x14ac:dyDescent="0.25">
      <c r="A173" s="157">
        <f>'B) D RI'!A174</f>
        <v>5683</v>
      </c>
      <c r="B173" s="158" t="str">
        <f>'B) D RI'!B174</f>
        <v>Prévonloup</v>
      </c>
      <c r="C173" s="310">
        <f>'B) D RI'!S174</f>
        <v>74</v>
      </c>
      <c r="D173" s="159">
        <f>'B) D RI'!AA174</f>
        <v>194</v>
      </c>
      <c r="E173" s="308">
        <f>'D) Ecrêtage'!C172</f>
        <v>4589.3872972972958</v>
      </c>
      <c r="F173" s="312">
        <f>'E) Fact soc'!G178</f>
        <v>71550.125481803349</v>
      </c>
      <c r="G173" s="309">
        <f>'H) Péréquation directe'!I183</f>
        <v>-31266.434713486145</v>
      </c>
      <c r="H173" s="312">
        <f>+'I) Dépenses thématiques'!O172</f>
        <v>-21874.058655472887</v>
      </c>
      <c r="I173" s="309">
        <f>'K) Plafonnement aide'!J172</f>
        <v>0</v>
      </c>
      <c r="J173" s="312">
        <f>'J) Plafonnement effort'!I172</f>
        <v>0</v>
      </c>
      <c r="K173" s="309">
        <f>'L) Plafonnement taux'!Q173</f>
        <v>0</v>
      </c>
      <c r="L173" s="307">
        <f t="shared" si="9"/>
        <v>18409.632112844316</v>
      </c>
      <c r="M173" s="227">
        <f>'M) Police'!O173</f>
        <v>13818.487891293513</v>
      </c>
      <c r="N173" s="227">
        <f t="shared" si="7"/>
        <v>32228.120004137829</v>
      </c>
      <c r="O173" s="399">
        <f t="shared" si="8"/>
        <v>-53140.493368959033</v>
      </c>
      <c r="P173" s="314"/>
      <c r="Q173" s="493"/>
    </row>
    <row r="174" spans="1:17" s="160" customFormat="1" x14ac:dyDescent="0.25">
      <c r="A174" s="157">
        <f>'B) D RI'!A175</f>
        <v>5684</v>
      </c>
      <c r="B174" s="158" t="str">
        <f>'B) D RI'!B175</f>
        <v>Rossenges</v>
      </c>
      <c r="C174" s="310">
        <f>'B) D RI'!S175</f>
        <v>75</v>
      </c>
      <c r="D174" s="159">
        <f>'B) D RI'!AA175</f>
        <v>84</v>
      </c>
      <c r="E174" s="308">
        <f>'D) Ecrêtage'!C173</f>
        <v>3098.721</v>
      </c>
      <c r="F174" s="312">
        <f>'E) Fact soc'!G179</f>
        <v>45523.841383246661</v>
      </c>
      <c r="G174" s="309">
        <f>'H) Péréquation directe'!I184</f>
        <v>32294.102327461704</v>
      </c>
      <c r="H174" s="312">
        <f>+'I) Dépenses thématiques'!O173</f>
        <v>-11738.219003396134</v>
      </c>
      <c r="I174" s="309">
        <f>'K) Plafonnement aide'!J173</f>
        <v>0</v>
      </c>
      <c r="J174" s="312">
        <f>'J) Plafonnement effort'!I173</f>
        <v>0</v>
      </c>
      <c r="K174" s="309">
        <f>'L) Plafonnement taux'!Q174</f>
        <v>0</v>
      </c>
      <c r="L174" s="307">
        <f t="shared" si="9"/>
        <v>66079.724707312227</v>
      </c>
      <c r="M174" s="227">
        <f>'M) Police'!O174</f>
        <v>9676.4197653338651</v>
      </c>
      <c r="N174" s="227">
        <f t="shared" si="7"/>
        <v>75756.14447264609</v>
      </c>
      <c r="O174" s="399">
        <f t="shared" si="8"/>
        <v>20555.883324065569</v>
      </c>
      <c r="P174" s="314"/>
      <c r="Q174" s="493"/>
    </row>
    <row r="175" spans="1:17" s="160" customFormat="1" x14ac:dyDescent="0.25">
      <c r="A175" s="157">
        <f>'B) D RI'!A176</f>
        <v>5688</v>
      </c>
      <c r="B175" s="158" t="str">
        <f>'B) D RI'!B176</f>
        <v>Syens</v>
      </c>
      <c r="C175" s="310">
        <f>'B) D RI'!S176</f>
        <v>75.599999999999994</v>
      </c>
      <c r="D175" s="159">
        <f>'B) D RI'!AA176</f>
        <v>155</v>
      </c>
      <c r="E175" s="308">
        <f>'D) Ecrêtage'!C174</f>
        <v>2742.3284391534398</v>
      </c>
      <c r="F175" s="312">
        <f>'E) Fact soc'!G180</f>
        <v>40409.612180245524</v>
      </c>
      <c r="G175" s="309">
        <f>'H) Péréquation directe'!I185</f>
        <v>-67843.330758204582</v>
      </c>
      <c r="H175" s="312">
        <f>+'I) Dépenses thématiques'!O174</f>
        <v>-41915.783793332375</v>
      </c>
      <c r="I175" s="309">
        <f>'K) Plafonnement aide'!J174</f>
        <v>5495.0910647315441</v>
      </c>
      <c r="J175" s="312">
        <f>'J) Plafonnement effort'!I174</f>
        <v>0</v>
      </c>
      <c r="K175" s="309">
        <f>'L) Plafonnement taux'!Q175</f>
        <v>0</v>
      </c>
      <c r="L175" s="307">
        <f t="shared" si="9"/>
        <v>-63854.411306559879</v>
      </c>
      <c r="M175" s="227">
        <f>'M) Police'!O175</f>
        <v>8125.5066452107221</v>
      </c>
      <c r="N175" s="227">
        <f t="shared" si="7"/>
        <v>-55728.904661349159</v>
      </c>
      <c r="O175" s="399">
        <f t="shared" si="8"/>
        <v>-104264.02348680541</v>
      </c>
      <c r="P175" s="314"/>
      <c r="Q175" s="493"/>
    </row>
    <row r="176" spans="1:17" s="160" customFormat="1" x14ac:dyDescent="0.25">
      <c r="A176" s="157">
        <f>'B) D RI'!A177</f>
        <v>5690</v>
      </c>
      <c r="B176" s="158" t="str">
        <f>'B) D RI'!B177</f>
        <v>Villars-le-Comte</v>
      </c>
      <c r="C176" s="310">
        <f>'B) D RI'!S177</f>
        <v>70</v>
      </c>
      <c r="D176" s="159">
        <f>'B) D RI'!AA177</f>
        <v>122</v>
      </c>
      <c r="E176" s="308">
        <f>'D) Ecrêtage'!C175</f>
        <v>3018.1645000000003</v>
      </c>
      <c r="F176" s="312">
        <f>'E) Fact soc'!G181</f>
        <v>123206.37203302459</v>
      </c>
      <c r="G176" s="309">
        <f>'H) Péréquation directe'!I186</f>
        <v>-7928.7305519157162</v>
      </c>
      <c r="H176" s="312">
        <f>+'I) Dépenses thématiques'!O175</f>
        <v>0</v>
      </c>
      <c r="I176" s="309">
        <f>'K) Plafonnement aide'!J175</f>
        <v>0</v>
      </c>
      <c r="J176" s="312">
        <f>'J) Plafonnement effort'!I175</f>
        <v>0</v>
      </c>
      <c r="K176" s="309">
        <f>'L) Plafonnement taux'!Q176</f>
        <v>0</v>
      </c>
      <c r="L176" s="307">
        <f t="shared" si="9"/>
        <v>115277.64148110888</v>
      </c>
      <c r="M176" s="227">
        <f>'M) Police'!O176</f>
        <v>9019.8269123117789</v>
      </c>
      <c r="N176" s="227">
        <f t="shared" si="7"/>
        <v>124297.46839342066</v>
      </c>
      <c r="O176" s="399">
        <f t="shared" si="8"/>
        <v>-7928.7305519157162</v>
      </c>
      <c r="P176" s="314"/>
      <c r="Q176" s="493"/>
    </row>
    <row r="177" spans="1:17" s="160" customFormat="1" x14ac:dyDescent="0.25">
      <c r="A177" s="157">
        <f>'B) D RI'!A178</f>
        <v>5692</v>
      </c>
      <c r="B177" s="158" t="str">
        <f>'B) D RI'!B178</f>
        <v>Vucherens</v>
      </c>
      <c r="C177" s="310">
        <f>'B) D RI'!S178</f>
        <v>79</v>
      </c>
      <c r="D177" s="159">
        <f>'B) D RI'!AA178</f>
        <v>580</v>
      </c>
      <c r="E177" s="308">
        <f>'D) Ecrêtage'!C176</f>
        <v>16002.190506329114</v>
      </c>
      <c r="F177" s="312">
        <f>'E) Fact soc'!G182</f>
        <v>285682.93876971729</v>
      </c>
      <c r="G177" s="309">
        <f>'H) Péréquation directe'!I187</f>
        <v>-32689.854251736426</v>
      </c>
      <c r="H177" s="312">
        <f>+'I) Dépenses thématiques'!O176</f>
        <v>-67612.185806788577</v>
      </c>
      <c r="I177" s="309">
        <f>'K) Plafonnement aide'!J176</f>
        <v>0</v>
      </c>
      <c r="J177" s="312">
        <f>'J) Plafonnement effort'!I176</f>
        <v>0</v>
      </c>
      <c r="K177" s="309">
        <f>'L) Plafonnement taux'!Q177</f>
        <v>0</v>
      </c>
      <c r="L177" s="307">
        <f t="shared" si="9"/>
        <v>185380.89871119231</v>
      </c>
      <c r="M177" s="227">
        <f>'M) Police'!O177</f>
        <v>48670.66637832937</v>
      </c>
      <c r="N177" s="227">
        <f t="shared" si="7"/>
        <v>234051.56508952167</v>
      </c>
      <c r="O177" s="399">
        <f t="shared" si="8"/>
        <v>-100302.040058525</v>
      </c>
      <c r="P177" s="314"/>
      <c r="Q177" s="493"/>
    </row>
    <row r="178" spans="1:17" s="160" customFormat="1" x14ac:dyDescent="0.25">
      <c r="A178" s="157">
        <f>'B) D RI'!A179</f>
        <v>5693</v>
      </c>
      <c r="B178" s="158" t="str">
        <f>'B) D RI'!B179</f>
        <v>Montanaire</v>
      </c>
      <c r="C178" s="310">
        <f>'B) D RI'!S179</f>
        <v>72</v>
      </c>
      <c r="D178" s="159">
        <f>'B) D RI'!AA179</f>
        <v>2717</v>
      </c>
      <c r="E178" s="308">
        <f>'D) Ecrêtage'!C177</f>
        <v>70807.212499999965</v>
      </c>
      <c r="F178" s="312">
        <f>'E) Fact soc'!G183</f>
        <v>1208818.6463697727</v>
      </c>
      <c r="G178" s="309">
        <f>'H) Péréquation directe'!I188</f>
        <v>-487677.83495772653</v>
      </c>
      <c r="H178" s="312">
        <f>+'I) Dépenses thématiques'!O177</f>
        <v>-574374.51686143992</v>
      </c>
      <c r="I178" s="309">
        <f>'K) Plafonnement aide'!J177</f>
        <v>0</v>
      </c>
      <c r="J178" s="312">
        <f>'J) Plafonnement effort'!I177</f>
        <v>0</v>
      </c>
      <c r="K178" s="309">
        <f>'L) Plafonnement taux'!Q178</f>
        <v>0</v>
      </c>
      <c r="L178" s="307">
        <f>F178+G178+H178+I178+J178+K178</f>
        <v>146766.29455060628</v>
      </c>
      <c r="M178" s="227">
        <f>'M) Police'!O178</f>
        <v>215473.59199653496</v>
      </c>
      <c r="N178" s="227">
        <f t="shared" si="7"/>
        <v>362239.88654714124</v>
      </c>
      <c r="O178" s="399">
        <f t="shared" si="8"/>
        <v>-1062052.3518191664</v>
      </c>
      <c r="P178" s="314"/>
      <c r="Q178" s="493"/>
    </row>
    <row r="179" spans="1:17" s="160" customFormat="1" x14ac:dyDescent="0.25">
      <c r="A179" s="157">
        <f>'B) D RI'!A180</f>
        <v>5701</v>
      </c>
      <c r="B179" s="158" t="str">
        <f>'B) D RI'!B180</f>
        <v>Arnex-sur-Nyon</v>
      </c>
      <c r="C179" s="310">
        <f>'B) D RI'!S180</f>
        <v>70</v>
      </c>
      <c r="D179" s="159">
        <f>'B) D RI'!AA180</f>
        <v>229</v>
      </c>
      <c r="E179" s="308">
        <f>'D) Ecrêtage'!C178</f>
        <v>12068.134285714286</v>
      </c>
      <c r="F179" s="312">
        <f>'E) Fact soc'!G184</f>
        <v>216223.94082308756</v>
      </c>
      <c r="G179" s="309">
        <f>'H) Péréquation directe'!I189</f>
        <v>212674.44350984279</v>
      </c>
      <c r="H179" s="312">
        <f>+'I) Dépenses thématiques'!O178</f>
        <v>-172362.4810194833</v>
      </c>
      <c r="I179" s="309">
        <f>'K) Plafonnement aide'!J178</f>
        <v>0</v>
      </c>
      <c r="J179" s="312">
        <f>'J) Plafonnement effort'!I178</f>
        <v>0</v>
      </c>
      <c r="K179" s="309">
        <f>'L) Plafonnement taux'!Q179</f>
        <v>0</v>
      </c>
      <c r="L179" s="307">
        <f>F179+G179+H179+I179+J179+K179</f>
        <v>256535.90331344702</v>
      </c>
      <c r="M179" s="227">
        <f>'M) Police'!O179</f>
        <v>34399.028167074022</v>
      </c>
      <c r="N179" s="227">
        <f t="shared" si="7"/>
        <v>290934.93148052105</v>
      </c>
      <c r="O179" s="399">
        <f t="shared" si="8"/>
        <v>40311.962490359496</v>
      </c>
      <c r="P179" s="314"/>
      <c r="Q179" s="493"/>
    </row>
    <row r="180" spans="1:17" s="160" customFormat="1" x14ac:dyDescent="0.25">
      <c r="A180" s="157">
        <f>'B) D RI'!A181</f>
        <v>5702</v>
      </c>
      <c r="B180" s="158" t="str">
        <f>'B) D RI'!B181</f>
        <v>Arzier-Le Muids</v>
      </c>
      <c r="C180" s="310">
        <f>'B) D RI'!S181</f>
        <v>64</v>
      </c>
      <c r="D180" s="159">
        <f>'B) D RI'!AA181</f>
        <v>2801</v>
      </c>
      <c r="E180" s="308">
        <f>'D) Ecrêtage'!C179</f>
        <v>173952.76901041667</v>
      </c>
      <c r="F180" s="312">
        <f>'E) Fact soc'!G185</f>
        <v>3864330.6578436852</v>
      </c>
      <c r="G180" s="309">
        <f>'H) Péréquation directe'!I190</f>
        <v>2721069.734219823</v>
      </c>
      <c r="H180" s="312">
        <f>+'I) Dépenses thématiques'!O179</f>
        <v>-275671.3500097543</v>
      </c>
      <c r="I180" s="309">
        <f>'K) Plafonnement aide'!J179</f>
        <v>0</v>
      </c>
      <c r="J180" s="312">
        <f>'J) Plafonnement effort'!I179</f>
        <v>0</v>
      </c>
      <c r="K180" s="309">
        <f>'L) Plafonnement taux'!Q180</f>
        <v>0</v>
      </c>
      <c r="L180" s="307">
        <f t="shared" si="9"/>
        <v>6309729.0420537535</v>
      </c>
      <c r="M180" s="227">
        <f>'M) Police'!O180</f>
        <v>452155.40565908886</v>
      </c>
      <c r="N180" s="227">
        <f t="shared" si="7"/>
        <v>6761884.4477128424</v>
      </c>
      <c r="O180" s="399">
        <f t="shared" si="8"/>
        <v>2445398.3842100687</v>
      </c>
      <c r="P180" s="314"/>
      <c r="Q180" s="493"/>
    </row>
    <row r="181" spans="1:17" s="160" customFormat="1" x14ac:dyDescent="0.25">
      <c r="A181" s="157">
        <f>'B) D RI'!A182</f>
        <v>5703</v>
      </c>
      <c r="B181" s="158" t="str">
        <f>'B) D RI'!B182</f>
        <v>Bassins</v>
      </c>
      <c r="C181" s="310">
        <f>'B) D RI'!S182</f>
        <v>74</v>
      </c>
      <c r="D181" s="159">
        <f>'B) D RI'!AA182</f>
        <v>1395</v>
      </c>
      <c r="E181" s="308">
        <f>'D) Ecrêtage'!C180</f>
        <v>58992.28158301158</v>
      </c>
      <c r="F181" s="312">
        <f>'E) Fact soc'!G186</f>
        <v>1041922.7659929006</v>
      </c>
      <c r="G181" s="309">
        <f>'H) Péréquation directe'!I191</f>
        <v>769385.62390288245</v>
      </c>
      <c r="H181" s="312">
        <f>+'I) Dépenses thématiques'!O180</f>
        <v>-351042.53015735361</v>
      </c>
      <c r="I181" s="309">
        <f>'K) Plafonnement aide'!J180</f>
        <v>0</v>
      </c>
      <c r="J181" s="312">
        <f>'J) Plafonnement effort'!I180</f>
        <v>0</v>
      </c>
      <c r="K181" s="309">
        <f>'L) Plafonnement taux'!Q181</f>
        <v>0</v>
      </c>
      <c r="L181" s="307">
        <f t="shared" si="9"/>
        <v>1460265.8597384295</v>
      </c>
      <c r="M181" s="227">
        <f>'M) Police'!O181</f>
        <v>179871.23343178869</v>
      </c>
      <c r="N181" s="227">
        <f t="shared" si="7"/>
        <v>1640137.0931702182</v>
      </c>
      <c r="O181" s="399">
        <f t="shared" si="8"/>
        <v>418343.09374552884</v>
      </c>
      <c r="P181" s="314"/>
      <c r="Q181" s="493"/>
    </row>
    <row r="182" spans="1:17" s="160" customFormat="1" x14ac:dyDescent="0.25">
      <c r="A182" s="157">
        <f>'B) D RI'!A183</f>
        <v>5704</v>
      </c>
      <c r="B182" s="158" t="str">
        <f>'B) D RI'!B183</f>
        <v>Begnins</v>
      </c>
      <c r="C182" s="310">
        <f>'B) D RI'!S183</f>
        <v>64</v>
      </c>
      <c r="D182" s="159">
        <f>'B) D RI'!AA183</f>
        <v>1931</v>
      </c>
      <c r="E182" s="308">
        <f>'D) Ecrêtage'!C181</f>
        <v>129564.85270833333</v>
      </c>
      <c r="F182" s="312">
        <f>'E) Fact soc'!G187</f>
        <v>2842775.7944342764</v>
      </c>
      <c r="G182" s="309">
        <f>'H) Péréquation directe'!I192</f>
        <v>2139046.1030278727</v>
      </c>
      <c r="H182" s="312">
        <f>+'I) Dépenses thématiques'!O181</f>
        <v>0</v>
      </c>
      <c r="I182" s="309">
        <f>'K) Plafonnement aide'!J181</f>
        <v>0</v>
      </c>
      <c r="J182" s="312">
        <f>'J) Plafonnement effort'!I181</f>
        <v>0</v>
      </c>
      <c r="K182" s="309">
        <f>'L) Plafonnement taux'!Q182</f>
        <v>0</v>
      </c>
      <c r="L182" s="307">
        <f t="shared" si="9"/>
        <v>4981821.8974621492</v>
      </c>
      <c r="M182" s="227">
        <f>'M) Police'!O182</f>
        <v>323210.33220934507</v>
      </c>
      <c r="N182" s="227">
        <f t="shared" si="7"/>
        <v>5305032.2296714941</v>
      </c>
      <c r="O182" s="399">
        <f t="shared" si="8"/>
        <v>2139046.1030278727</v>
      </c>
      <c r="P182" s="314"/>
      <c r="Q182" s="493"/>
    </row>
    <row r="183" spans="1:17" s="160" customFormat="1" x14ac:dyDescent="0.25">
      <c r="A183" s="157">
        <f>'B) D RI'!A184</f>
        <v>5705</v>
      </c>
      <c r="B183" s="158" t="str">
        <f>'B) D RI'!B184</f>
        <v>Bogis-Bossey</v>
      </c>
      <c r="C183" s="310">
        <f>'B) D RI'!S184</f>
        <v>76</v>
      </c>
      <c r="D183" s="159">
        <f>'B) D RI'!AA184</f>
        <v>825</v>
      </c>
      <c r="E183" s="308">
        <f>'D) Ecrêtage'!C182</f>
        <v>47436.61605263158</v>
      </c>
      <c r="F183" s="312">
        <f>'E) Fact soc'!G188</f>
        <v>995166.48959438351</v>
      </c>
      <c r="G183" s="309">
        <f>'H) Péréquation directe'!I193</f>
        <v>845405.97747687006</v>
      </c>
      <c r="H183" s="312">
        <f>+'I) Dépenses thématiques'!O182</f>
        <v>0</v>
      </c>
      <c r="I183" s="309">
        <f>'K) Plafonnement aide'!J182</f>
        <v>0</v>
      </c>
      <c r="J183" s="312">
        <f>'J) Plafonnement effort'!I182</f>
        <v>0</v>
      </c>
      <c r="K183" s="309">
        <f>'L) Plafonnement taux'!Q183</f>
        <v>0</v>
      </c>
      <c r="L183" s="307">
        <f t="shared" si="9"/>
        <v>1840572.4670712536</v>
      </c>
      <c r="M183" s="227">
        <f>'M) Police'!O183</f>
        <v>128647.50104492967</v>
      </c>
      <c r="N183" s="227">
        <f t="shared" si="7"/>
        <v>1969219.9681161833</v>
      </c>
      <c r="O183" s="399">
        <f t="shared" si="8"/>
        <v>845405.97747687006</v>
      </c>
      <c r="P183" s="314"/>
      <c r="Q183" s="493"/>
    </row>
    <row r="184" spans="1:17" s="160" customFormat="1" x14ac:dyDescent="0.25">
      <c r="A184" s="157">
        <f>'B) D RI'!A185</f>
        <v>5706</v>
      </c>
      <c r="B184" s="158" t="str">
        <f>'B) D RI'!B185</f>
        <v>Borex</v>
      </c>
      <c r="C184" s="310">
        <f>'B) D RI'!S185</f>
        <v>58</v>
      </c>
      <c r="D184" s="159">
        <f>'B) D RI'!AA185</f>
        <v>1132</v>
      </c>
      <c r="E184" s="308">
        <f>'D) Ecrêtage'!C183</f>
        <v>76683.378793103446</v>
      </c>
      <c r="F184" s="312">
        <f>'E) Fact soc'!G189</f>
        <v>1591318.1194359257</v>
      </c>
      <c r="G184" s="309">
        <f>'H) Péréquation directe'!I194</f>
        <v>1362119.4899935434</v>
      </c>
      <c r="H184" s="312">
        <f>+'I) Dépenses thématiques'!O183</f>
        <v>0</v>
      </c>
      <c r="I184" s="309">
        <f>'K) Plafonnement aide'!J183</f>
        <v>0</v>
      </c>
      <c r="J184" s="312">
        <f>'J) Plafonnement effort'!I183</f>
        <v>0</v>
      </c>
      <c r="K184" s="309">
        <f>'L) Plafonnement taux'!Q184</f>
        <v>0</v>
      </c>
      <c r="L184" s="307">
        <f t="shared" si="9"/>
        <v>2953437.6094294693</v>
      </c>
      <c r="M184" s="227">
        <f>'M) Police'!O184</f>
        <v>190343.33382047989</v>
      </c>
      <c r="N184" s="227">
        <f t="shared" si="7"/>
        <v>3143780.9432499493</v>
      </c>
      <c r="O184" s="399">
        <f t="shared" si="8"/>
        <v>1362119.4899935434</v>
      </c>
      <c r="P184" s="314"/>
      <c r="Q184" s="493"/>
    </row>
    <row r="185" spans="1:17" s="160" customFormat="1" x14ac:dyDescent="0.25">
      <c r="A185" s="157">
        <f>'B) D RI'!A186</f>
        <v>5707</v>
      </c>
      <c r="B185" s="158" t="str">
        <f>'B) D RI'!B186</f>
        <v>Chavannes-de-Bogis</v>
      </c>
      <c r="C185" s="310">
        <f>'B) D RI'!S186</f>
        <v>59</v>
      </c>
      <c r="D185" s="159">
        <f>'B) D RI'!AA186</f>
        <v>1357</v>
      </c>
      <c r="E185" s="308">
        <f>'D) Ecrêtage'!C184</f>
        <v>81307.638983050841</v>
      </c>
      <c r="F185" s="312">
        <f>'E) Fact soc'!G190</f>
        <v>1808981.2649503581</v>
      </c>
      <c r="G185" s="309">
        <f>'H) Péréquation directe'!I195</f>
        <v>1375489.5075133874</v>
      </c>
      <c r="H185" s="312">
        <f>+'I) Dépenses thématiques'!O184</f>
        <v>0</v>
      </c>
      <c r="I185" s="309">
        <f>'K) Plafonnement aide'!J184</f>
        <v>0</v>
      </c>
      <c r="J185" s="312">
        <f>'J) Plafonnement effort'!I184</f>
        <v>0</v>
      </c>
      <c r="K185" s="309">
        <f>'L) Plafonnement taux'!Q185</f>
        <v>0</v>
      </c>
      <c r="L185" s="307">
        <f t="shared" si="9"/>
        <v>3184470.7724637454</v>
      </c>
      <c r="M185" s="227">
        <f>'M) Police'!O185</f>
        <v>215518.04621249839</v>
      </c>
      <c r="N185" s="227">
        <f t="shared" si="7"/>
        <v>3399988.818676244</v>
      </c>
      <c r="O185" s="399">
        <f t="shared" si="8"/>
        <v>1375489.5075133874</v>
      </c>
      <c r="P185" s="314"/>
      <c r="Q185" s="493"/>
    </row>
    <row r="186" spans="1:17" s="160" customFormat="1" x14ac:dyDescent="0.25">
      <c r="A186" s="157">
        <f>'B) D RI'!A187</f>
        <v>5708</v>
      </c>
      <c r="B186" s="158" t="str">
        <f>'B) D RI'!B187</f>
        <v>Chavannes-des-Bois</v>
      </c>
      <c r="C186" s="310">
        <f>'B) D RI'!S187</f>
        <v>68</v>
      </c>
      <c r="D186" s="159">
        <f>'B) D RI'!AA187</f>
        <v>960</v>
      </c>
      <c r="E186" s="308">
        <f>'D) Ecrêtage'!C185</f>
        <v>64704.48911764707</v>
      </c>
      <c r="F186" s="312">
        <f>'E) Fact soc'!G191</f>
        <v>1525222.8267562927</v>
      </c>
      <c r="G186" s="309">
        <f>'H) Péréquation directe'!I196</f>
        <v>1173919.0921540153</v>
      </c>
      <c r="H186" s="312">
        <f>+'I) Dépenses thématiques'!O185</f>
        <v>0</v>
      </c>
      <c r="I186" s="309">
        <f>'K) Plafonnement aide'!J185</f>
        <v>0</v>
      </c>
      <c r="J186" s="312">
        <f>'J) Plafonnement effort'!I185</f>
        <v>0</v>
      </c>
      <c r="K186" s="309">
        <f>'L) Plafonnement taux'!Q186</f>
        <v>0</v>
      </c>
      <c r="L186" s="307">
        <f t="shared" si="9"/>
        <v>2699141.9189103078</v>
      </c>
      <c r="M186" s="227">
        <f>'M) Police'!O186</f>
        <v>161031.63164387451</v>
      </c>
      <c r="N186" s="227">
        <f t="shared" si="7"/>
        <v>2860173.5505541824</v>
      </c>
      <c r="O186" s="399">
        <f t="shared" si="8"/>
        <v>1173919.0921540153</v>
      </c>
      <c r="P186" s="314"/>
      <c r="Q186" s="493"/>
    </row>
    <row r="187" spans="1:17" s="160" customFormat="1" x14ac:dyDescent="0.25">
      <c r="A187" s="157">
        <f>'B) D RI'!A188</f>
        <v>5709</v>
      </c>
      <c r="B187" s="158" t="str">
        <f>'B) D RI'!B188</f>
        <v>Chéserex</v>
      </c>
      <c r="C187" s="310">
        <f>'B) D RI'!S188</f>
        <v>57</v>
      </c>
      <c r="D187" s="159">
        <f>'B) D RI'!AA188</f>
        <v>1238</v>
      </c>
      <c r="E187" s="308">
        <f>'D) Ecrêtage'!C186</f>
        <v>99426.699824561394</v>
      </c>
      <c r="F187" s="312">
        <f>'E) Fact soc'!G192</f>
        <v>2479999.2615934224</v>
      </c>
      <c r="G187" s="309">
        <f>'H) Péréquation directe'!I197</f>
        <v>1779851.464284305</v>
      </c>
      <c r="H187" s="312">
        <f>+'I) Dépenses thématiques'!O186</f>
        <v>0</v>
      </c>
      <c r="I187" s="309">
        <f>'K) Plafonnement aide'!J186</f>
        <v>0</v>
      </c>
      <c r="J187" s="312">
        <f>'J) Plafonnement effort'!I186</f>
        <v>0</v>
      </c>
      <c r="K187" s="309">
        <f>'L) Plafonnement taux'!Q187</f>
        <v>0</v>
      </c>
      <c r="L187" s="307">
        <f t="shared" si="9"/>
        <v>4259850.7258777274</v>
      </c>
      <c r="M187" s="227">
        <f>'M) Police'!O187</f>
        <v>226721.27805264265</v>
      </c>
      <c r="N187" s="227">
        <f t="shared" si="7"/>
        <v>4486572.0039303703</v>
      </c>
      <c r="O187" s="399">
        <f t="shared" si="8"/>
        <v>1779851.464284305</v>
      </c>
      <c r="P187" s="314"/>
      <c r="Q187" s="493"/>
    </row>
    <row r="188" spans="1:17" s="160" customFormat="1" x14ac:dyDescent="0.25">
      <c r="A188" s="157">
        <f>'B) D RI'!A189</f>
        <v>5710</v>
      </c>
      <c r="B188" s="158" t="str">
        <f>'B) D RI'!B189</f>
        <v>Coinsins</v>
      </c>
      <c r="C188" s="310">
        <f>'B) D RI'!S189</f>
        <v>51</v>
      </c>
      <c r="D188" s="159">
        <f>'B) D RI'!AA189</f>
        <v>494</v>
      </c>
      <c r="E188" s="308">
        <f>'D) Ecrêtage'!C187</f>
        <v>112110.92803921571</v>
      </c>
      <c r="F188" s="312">
        <f>'E) Fact soc'!G193</f>
        <v>4001536.115234836</v>
      </c>
      <c r="G188" s="309">
        <f>'H) Péréquation directe'!I198</f>
        <v>2180908.0705701737</v>
      </c>
      <c r="H188" s="312">
        <f>+'I) Dépenses thématiques'!O187</f>
        <v>0</v>
      </c>
      <c r="I188" s="309">
        <f>'K) Plafonnement aide'!J187</f>
        <v>0</v>
      </c>
      <c r="J188" s="312">
        <f>'J) Plafonnement effort'!I187</f>
        <v>-1137452.4240403031</v>
      </c>
      <c r="K188" s="309">
        <f>'L) Plafonnement taux'!Q188</f>
        <v>0</v>
      </c>
      <c r="L188" s="307">
        <f t="shared" si="9"/>
        <v>5044991.761764707</v>
      </c>
      <c r="M188" s="227">
        <f>'M) Police'!O188</f>
        <v>176829.54365327678</v>
      </c>
      <c r="N188" s="227">
        <f t="shared" si="7"/>
        <v>5221821.3054179838</v>
      </c>
      <c r="O188" s="399">
        <f t="shared" si="8"/>
        <v>1043455.6465298706</v>
      </c>
      <c r="P188" s="314"/>
      <c r="Q188" s="493"/>
    </row>
    <row r="189" spans="1:17" s="160" customFormat="1" x14ac:dyDescent="0.25">
      <c r="A189" s="157">
        <f>'B) D RI'!A190</f>
        <v>5711</v>
      </c>
      <c r="B189" s="158" t="str">
        <f>'B) D RI'!B190</f>
        <v>Commugny</v>
      </c>
      <c r="C189" s="310">
        <f>'B) D RI'!S190</f>
        <v>57</v>
      </c>
      <c r="D189" s="159">
        <f>'B) D RI'!AA190</f>
        <v>2935</v>
      </c>
      <c r="E189" s="308">
        <f>'D) Ecrêtage'!C188</f>
        <v>257487.27623481784</v>
      </c>
      <c r="F189" s="312">
        <f>'E) Fact soc'!G194</f>
        <v>6641777.1852600537</v>
      </c>
      <c r="G189" s="309">
        <f>'H) Péréquation directe'!I199</f>
        <v>4345182.8845916782</v>
      </c>
      <c r="H189" s="312">
        <f>+'I) Dépenses thématiques'!O188</f>
        <v>0</v>
      </c>
      <c r="I189" s="309">
        <f>'K) Plafonnement aide'!J188</f>
        <v>0</v>
      </c>
      <c r="J189" s="312">
        <f>'J) Plafonnement effort'!I188</f>
        <v>0</v>
      </c>
      <c r="K189" s="309">
        <f>'L) Plafonnement taux'!Q189</f>
        <v>0</v>
      </c>
      <c r="L189" s="307">
        <f t="shared" si="9"/>
        <v>10986960.069851732</v>
      </c>
      <c r="M189" s="227">
        <f>'M) Police'!O189</f>
        <v>563456.92772892653</v>
      </c>
      <c r="N189" s="227">
        <f t="shared" si="7"/>
        <v>11550416.997580659</v>
      </c>
      <c r="O189" s="399">
        <f t="shared" si="8"/>
        <v>4345182.8845916782</v>
      </c>
      <c r="P189" s="314"/>
      <c r="Q189" s="493"/>
    </row>
    <row r="190" spans="1:17" s="160" customFormat="1" x14ac:dyDescent="0.25">
      <c r="A190" s="157">
        <f>'B) D RI'!A191</f>
        <v>5712</v>
      </c>
      <c r="B190" s="158" t="str">
        <f>'B) D RI'!B191</f>
        <v>Coppet</v>
      </c>
      <c r="C190" s="310">
        <f>'B) D RI'!S191</f>
        <v>53</v>
      </c>
      <c r="D190" s="159">
        <f>'B) D RI'!AA191</f>
        <v>3211</v>
      </c>
      <c r="E190" s="308">
        <f>'D) Ecrêtage'!C189</f>
        <v>389043.84018867929</v>
      </c>
      <c r="F190" s="312">
        <f>'E) Fact soc'!G195</f>
        <v>11800015.109192647</v>
      </c>
      <c r="G190" s="309">
        <f>'H) Péréquation directe'!I200</f>
        <v>6848299.2752975617</v>
      </c>
      <c r="H190" s="312">
        <f>+'I) Dépenses thématiques'!O189</f>
        <v>0</v>
      </c>
      <c r="I190" s="309">
        <f>'K) Plafonnement aide'!J189</f>
        <v>0</v>
      </c>
      <c r="J190" s="312">
        <f>'J) Plafonnement effort'!I189</f>
        <v>-1141341.5759996397</v>
      </c>
      <c r="K190" s="309">
        <f>'L) Plafonnement taux'!Q190</f>
        <v>0</v>
      </c>
      <c r="L190" s="307">
        <f t="shared" si="9"/>
        <v>17506972.808490567</v>
      </c>
      <c r="M190" s="227">
        <f>'M) Police'!O190</f>
        <v>744420.19746184908</v>
      </c>
      <c r="N190" s="227">
        <f t="shared" si="7"/>
        <v>18251393.005952418</v>
      </c>
      <c r="O190" s="399">
        <f t="shared" si="8"/>
        <v>5706957.6992979217</v>
      </c>
      <c r="P190" s="314"/>
      <c r="Q190" s="493"/>
    </row>
    <row r="191" spans="1:17" s="160" customFormat="1" x14ac:dyDescent="0.25">
      <c r="A191" s="157">
        <f>'B) D RI'!A192</f>
        <v>5713</v>
      </c>
      <c r="B191" s="158" t="str">
        <f>'B) D RI'!B192</f>
        <v>Crans-près-Céligny</v>
      </c>
      <c r="C191" s="310">
        <f>'B) D RI'!S192</f>
        <v>56</v>
      </c>
      <c r="D191" s="159">
        <f>'B) D RI'!AA192</f>
        <v>2286</v>
      </c>
      <c r="E191" s="308">
        <f>'D) Ecrêtage'!C190</f>
        <v>285689.07035714283</v>
      </c>
      <c r="F191" s="312">
        <f>'E) Fact soc'!G196</f>
        <v>8691804.7284708247</v>
      </c>
      <c r="G191" s="309">
        <f>'H) Péréquation directe'!I201</f>
        <v>5137700.0681718709</v>
      </c>
      <c r="H191" s="312">
        <f>+'I) Dépenses thématiques'!O190</f>
        <v>0</v>
      </c>
      <c r="I191" s="309">
        <f>'K) Plafonnement aide'!J190</f>
        <v>0</v>
      </c>
      <c r="J191" s="312">
        <f>'J) Plafonnement effort'!I190</f>
        <v>-973496.63057126792</v>
      </c>
      <c r="K191" s="309">
        <f>'L) Plafonnement taux'!Q191</f>
        <v>0</v>
      </c>
      <c r="L191" s="307">
        <f t="shared" si="9"/>
        <v>12856008.166071426</v>
      </c>
      <c r="M191" s="227">
        <f>'M) Police'!O191</f>
        <v>340605.81673194497</v>
      </c>
      <c r="N191" s="227">
        <f t="shared" si="7"/>
        <v>13196613.982803371</v>
      </c>
      <c r="O191" s="399">
        <f t="shared" si="8"/>
        <v>4164203.4376006029</v>
      </c>
      <c r="P191" s="314"/>
      <c r="Q191" s="493"/>
    </row>
    <row r="192" spans="1:17" s="160" customFormat="1" x14ac:dyDescent="0.25">
      <c r="A192" s="157">
        <f>'B) D RI'!A193</f>
        <v>5714</v>
      </c>
      <c r="B192" s="158" t="str">
        <f>'B) D RI'!B193</f>
        <v>Crassier</v>
      </c>
      <c r="C192" s="310">
        <f>'B) D RI'!S193</f>
        <v>68</v>
      </c>
      <c r="D192" s="159">
        <f>'B) D RI'!AA193</f>
        <v>1169</v>
      </c>
      <c r="E192" s="308">
        <f>'D) Ecrêtage'!C191</f>
        <v>69757.357205882377</v>
      </c>
      <c r="F192" s="312">
        <f>'E) Fact soc'!G197</f>
        <v>1425891.9622207661</v>
      </c>
      <c r="G192" s="309">
        <f>'H) Péréquation directe'!I202</f>
        <v>1210537.5760578243</v>
      </c>
      <c r="H192" s="312">
        <f>+'I) Dépenses thématiques'!O191</f>
        <v>0</v>
      </c>
      <c r="I192" s="309">
        <f>'K) Plafonnement aide'!J191</f>
        <v>0</v>
      </c>
      <c r="J192" s="312">
        <f>'J) Plafonnement effort'!I191</f>
        <v>0</v>
      </c>
      <c r="K192" s="309">
        <f>'L) Plafonnement taux'!Q192</f>
        <v>0</v>
      </c>
      <c r="L192" s="307">
        <f t="shared" si="9"/>
        <v>2636429.5382785904</v>
      </c>
      <c r="M192" s="227">
        <f>'M) Police'!O192</f>
        <v>185319.1865884604</v>
      </c>
      <c r="N192" s="227">
        <f t="shared" si="7"/>
        <v>2821748.724867051</v>
      </c>
      <c r="O192" s="399">
        <f t="shared" si="8"/>
        <v>1210537.5760578243</v>
      </c>
      <c r="P192" s="314"/>
      <c r="Q192" s="493"/>
    </row>
    <row r="193" spans="1:17" s="160" customFormat="1" x14ac:dyDescent="0.25">
      <c r="A193" s="157">
        <f>'B) D RI'!A194</f>
        <v>5715</v>
      </c>
      <c r="B193" s="158" t="str">
        <f>'B) D RI'!B194</f>
        <v>Duillier</v>
      </c>
      <c r="C193" s="310">
        <f>'B) D RI'!S194</f>
        <v>66</v>
      </c>
      <c r="D193" s="159">
        <f>'B) D RI'!AA194</f>
        <v>1090</v>
      </c>
      <c r="E193" s="308">
        <f>'D) Ecrêtage'!C192</f>
        <v>70129.929393939397</v>
      </c>
      <c r="F193" s="312">
        <f>'E) Fact soc'!G198</f>
        <v>1501101.4297484469</v>
      </c>
      <c r="G193" s="309">
        <f>'H) Péréquation directe'!I203</f>
        <v>1245780.5971707872</v>
      </c>
      <c r="H193" s="312">
        <f>+'I) Dépenses thématiques'!O192</f>
        <v>0</v>
      </c>
      <c r="I193" s="309">
        <f>'K) Plafonnement aide'!J192</f>
        <v>0</v>
      </c>
      <c r="J193" s="312">
        <f>'J) Plafonnement effort'!I192</f>
        <v>0</v>
      </c>
      <c r="K193" s="309">
        <f>'L) Plafonnement taux'!Q193</f>
        <v>0</v>
      </c>
      <c r="L193" s="307">
        <f t="shared" si="9"/>
        <v>2746882.0269192341</v>
      </c>
      <c r="M193" s="227">
        <f>'M) Police'!O193</f>
        <v>178859.98762070975</v>
      </c>
      <c r="N193" s="227">
        <f t="shared" si="7"/>
        <v>2925742.014539944</v>
      </c>
      <c r="O193" s="399">
        <f t="shared" si="8"/>
        <v>1245780.5971707872</v>
      </c>
      <c r="P193" s="314"/>
      <c r="Q193" s="493"/>
    </row>
    <row r="194" spans="1:17" s="160" customFormat="1" x14ac:dyDescent="0.25">
      <c r="A194" s="157">
        <f>'B) D RI'!A195</f>
        <v>5716</v>
      </c>
      <c r="B194" s="158" t="str">
        <f>'B) D RI'!B195</f>
        <v>Eysins</v>
      </c>
      <c r="C194" s="310">
        <f>'B) D RI'!S195</f>
        <v>61</v>
      </c>
      <c r="D194" s="159">
        <f>'B) D RI'!AA195</f>
        <v>1737</v>
      </c>
      <c r="E194" s="308">
        <f>'D) Ecrêtage'!C193</f>
        <v>206146.61786885248</v>
      </c>
      <c r="F194" s="312">
        <f>'E) Fact soc'!G199</f>
        <v>6377633.2673162641</v>
      </c>
      <c r="G194" s="309">
        <f>'H) Péréquation directe'!I204</f>
        <v>3739435.3567804457</v>
      </c>
      <c r="H194" s="312">
        <f>+'I) Dépenses thématiques'!O193</f>
        <v>0</v>
      </c>
      <c r="I194" s="309">
        <f>'K) Plafonnement aide'!J193</f>
        <v>0</v>
      </c>
      <c r="J194" s="312">
        <f>'J) Plafonnement effort'!I193</f>
        <v>-840470.81999834778</v>
      </c>
      <c r="K194" s="309">
        <f>'L) Plafonnement taux'!Q194</f>
        <v>0</v>
      </c>
      <c r="L194" s="307">
        <f t="shared" si="9"/>
        <v>9276597.8040983621</v>
      </c>
      <c r="M194" s="227">
        <f>'M) Police'!O194</f>
        <v>397560.44506263523</v>
      </c>
      <c r="N194" s="227">
        <f t="shared" ref="N194:N254" si="12">L194+M194</f>
        <v>9674158.2491609976</v>
      </c>
      <c r="O194" s="399">
        <f t="shared" si="8"/>
        <v>2898964.536782098</v>
      </c>
      <c r="P194" s="314"/>
      <c r="Q194" s="493"/>
    </row>
    <row r="195" spans="1:17" s="160" customFormat="1" x14ac:dyDescent="0.25">
      <c r="A195" s="157">
        <f>'B) D RI'!A196</f>
        <v>5717</v>
      </c>
      <c r="B195" s="158" t="str">
        <f>'B) D RI'!B196</f>
        <v>Founex</v>
      </c>
      <c r="C195" s="310">
        <f>'B) D RI'!S196</f>
        <v>57</v>
      </c>
      <c r="D195" s="159">
        <f>'B) D RI'!AA196</f>
        <v>3772</v>
      </c>
      <c r="E195" s="308">
        <f>'D) Ecrêtage'!C194</f>
        <v>344775.19280701759</v>
      </c>
      <c r="F195" s="312">
        <f>'E) Fact soc'!G200</f>
        <v>9407615.2036280688</v>
      </c>
      <c r="G195" s="309">
        <f>'H) Péréquation directe'!I205</f>
        <v>5680719.1645953385</v>
      </c>
      <c r="H195" s="312">
        <f>+'I) Dépenses thématiques'!O194</f>
        <v>0</v>
      </c>
      <c r="I195" s="309">
        <f>'K) Plafonnement aide'!J194</f>
        <v>0</v>
      </c>
      <c r="J195" s="312">
        <f>'J) Plafonnement effort'!I194</f>
        <v>0</v>
      </c>
      <c r="K195" s="309">
        <f>'L) Plafonnement taux'!Q195</f>
        <v>0</v>
      </c>
      <c r="L195" s="307">
        <f t="shared" si="9"/>
        <v>15088334.368223406</v>
      </c>
      <c r="M195" s="227">
        <f>'M) Police'!O195</f>
        <v>740664.78458728781</v>
      </c>
      <c r="N195" s="227">
        <f t="shared" si="12"/>
        <v>15828999.152810695</v>
      </c>
      <c r="O195" s="399">
        <f t="shared" si="8"/>
        <v>5680719.1645953385</v>
      </c>
      <c r="P195" s="314"/>
      <c r="Q195" s="493"/>
    </row>
    <row r="196" spans="1:17" s="160" customFormat="1" x14ac:dyDescent="0.25">
      <c r="A196" s="157">
        <f>'B) D RI'!A197</f>
        <v>5718</v>
      </c>
      <c r="B196" s="158" t="str">
        <f>'B) D RI'!B197</f>
        <v>Genolier</v>
      </c>
      <c r="C196" s="310">
        <f>'B) D RI'!S197</f>
        <v>55</v>
      </c>
      <c r="D196" s="159">
        <f>'B) D RI'!AA197</f>
        <v>2000</v>
      </c>
      <c r="E196" s="308">
        <f>'D) Ecrêtage'!C195</f>
        <v>171473.77890909091</v>
      </c>
      <c r="F196" s="312">
        <f>'E) Fact soc'!G201</f>
        <v>4653862.9081177805</v>
      </c>
      <c r="G196" s="309">
        <f>'H) Péréquation directe'!I206</f>
        <v>2953233.5567758828</v>
      </c>
      <c r="H196" s="312">
        <f>+'I) Dépenses thématiques'!O195</f>
        <v>0</v>
      </c>
      <c r="I196" s="309">
        <f>'K) Plafonnement aide'!J195</f>
        <v>0</v>
      </c>
      <c r="J196" s="312">
        <f>'J) Plafonnement effort'!I195</f>
        <v>0</v>
      </c>
      <c r="K196" s="309">
        <f>'L) Plafonnement taux'!Q196</f>
        <v>0</v>
      </c>
      <c r="L196" s="307">
        <f t="shared" si="9"/>
        <v>7607096.4648936633</v>
      </c>
      <c r="M196" s="227">
        <f>'M) Police'!O196</f>
        <v>379204.76827117411</v>
      </c>
      <c r="N196" s="227">
        <f t="shared" si="12"/>
        <v>7986301.2331648376</v>
      </c>
      <c r="O196" s="399">
        <f t="shared" si="8"/>
        <v>2953233.5567758828</v>
      </c>
      <c r="P196" s="314"/>
      <c r="Q196" s="493"/>
    </row>
    <row r="197" spans="1:17" s="160" customFormat="1" x14ac:dyDescent="0.25">
      <c r="A197" s="157">
        <f>'B) D RI'!A198</f>
        <v>5719</v>
      </c>
      <c r="B197" s="158" t="str">
        <f>'B) D RI'!B198</f>
        <v>Gingins</v>
      </c>
      <c r="C197" s="310">
        <f>'B) D RI'!S198</f>
        <v>57</v>
      </c>
      <c r="D197" s="159">
        <f>'B) D RI'!AA198</f>
        <v>1239</v>
      </c>
      <c r="E197" s="308">
        <f>'D) Ecrêtage'!C196</f>
        <v>142317.67801169588</v>
      </c>
      <c r="F197" s="312">
        <f>'E) Fact soc'!G202</f>
        <v>4110896.608271278</v>
      </c>
      <c r="G197" s="309">
        <f>'H) Péréquation directe'!I207</f>
        <v>2637606.2468853742</v>
      </c>
      <c r="H197" s="312">
        <f>+'I) Dépenses thématiques'!O196</f>
        <v>0</v>
      </c>
      <c r="I197" s="309">
        <f>'K) Plafonnement aide'!J196</f>
        <v>0</v>
      </c>
      <c r="J197" s="312">
        <f>'J) Plafonnement effort'!I196</f>
        <v>-344207.34463033732</v>
      </c>
      <c r="K197" s="309">
        <f>'L) Plafonnement taux'!Q197</f>
        <v>0</v>
      </c>
      <c r="L197" s="307">
        <f t="shared" si="9"/>
        <v>6404295.5105263153</v>
      </c>
      <c r="M197" s="227">
        <f>'M) Police'!O197</f>
        <v>277944.38393895287</v>
      </c>
      <c r="N197" s="227">
        <f t="shared" si="12"/>
        <v>6682239.8944652686</v>
      </c>
      <c r="O197" s="399">
        <f t="shared" si="8"/>
        <v>2293398.9022550369</v>
      </c>
      <c r="P197" s="314"/>
      <c r="Q197" s="493"/>
    </row>
    <row r="198" spans="1:17" s="160" customFormat="1" x14ac:dyDescent="0.25">
      <c r="A198" s="157">
        <f>'B) D RI'!A199</f>
        <v>5720</v>
      </c>
      <c r="B198" s="158" t="str">
        <f>'B) D RI'!B199</f>
        <v>Givrins</v>
      </c>
      <c r="C198" s="310">
        <f>'B) D RI'!S199</f>
        <v>67</v>
      </c>
      <c r="D198" s="159">
        <f>'B) D RI'!AA199</f>
        <v>1032</v>
      </c>
      <c r="E198" s="308">
        <f>'D) Ecrêtage'!C197</f>
        <v>82564.367429519058</v>
      </c>
      <c r="F198" s="312">
        <f>'E) Fact soc'!G203</f>
        <v>2187813.2407735381</v>
      </c>
      <c r="G198" s="309">
        <f>'H) Péréquation directe'!I208</f>
        <v>1514954.6681908567</v>
      </c>
      <c r="H198" s="312">
        <f>+'I) Dépenses thématiques'!O197</f>
        <v>-40005.618853129818</v>
      </c>
      <c r="I198" s="309">
        <f>'K) Plafonnement aide'!J197</f>
        <v>0</v>
      </c>
      <c r="J198" s="312">
        <f>'J) Plafonnement effort'!I197</f>
        <v>0</v>
      </c>
      <c r="K198" s="309">
        <f>'L) Plafonnement taux'!Q198</f>
        <v>0</v>
      </c>
      <c r="L198" s="307">
        <f t="shared" si="9"/>
        <v>3662762.2901112647</v>
      </c>
      <c r="M198" s="227">
        <f>'M) Police'!O198</f>
        <v>188616.33172644541</v>
      </c>
      <c r="N198" s="227">
        <f t="shared" si="12"/>
        <v>3851378.62183771</v>
      </c>
      <c r="O198" s="399">
        <f t="shared" si="8"/>
        <v>1474949.0493377268</v>
      </c>
      <c r="P198" s="314"/>
      <c r="Q198" s="493"/>
    </row>
    <row r="199" spans="1:17" s="160" customFormat="1" x14ac:dyDescent="0.25">
      <c r="A199" s="157">
        <f>'B) D RI'!A200</f>
        <v>5721</v>
      </c>
      <c r="B199" s="158" t="str">
        <f>'B) D RI'!B200</f>
        <v>Gland</v>
      </c>
      <c r="C199" s="310">
        <f>'B) D RI'!S200</f>
        <v>62.5</v>
      </c>
      <c r="D199" s="159">
        <f>'B) D RI'!AA200</f>
        <v>13194</v>
      </c>
      <c r="E199" s="308">
        <f>'D) Ecrêtage'!C198</f>
        <v>655037.95408000017</v>
      </c>
      <c r="F199" s="312">
        <f>'E) Fact soc'!G204</f>
        <v>17563431.432870831</v>
      </c>
      <c r="G199" s="309">
        <f>'H) Péréquation directe'!I209</f>
        <v>5096056.3646534383</v>
      </c>
      <c r="H199" s="312">
        <f>+'I) Dépenses thématiques'!O198</f>
        <v>0</v>
      </c>
      <c r="I199" s="309">
        <f>'K) Plafonnement aide'!J198</f>
        <v>0</v>
      </c>
      <c r="J199" s="312">
        <f>'J) Plafonnement effort'!I198</f>
        <v>0</v>
      </c>
      <c r="K199" s="309">
        <f>'L) Plafonnement taux'!Q199</f>
        <v>0</v>
      </c>
      <c r="L199" s="307">
        <f t="shared" si="9"/>
        <v>22659487.79752427</v>
      </c>
      <c r="M199" s="227">
        <f>'M) Police'!O199</f>
        <v>1933906.360346796</v>
      </c>
      <c r="N199" s="227">
        <f t="shared" si="12"/>
        <v>24593394.157871068</v>
      </c>
      <c r="O199" s="399">
        <f t="shared" ref="O199:O262" si="13">SUM(G199:K199)</f>
        <v>5096056.3646534383</v>
      </c>
      <c r="P199" s="314"/>
      <c r="Q199" s="493"/>
    </row>
    <row r="200" spans="1:17" s="160" customFormat="1" x14ac:dyDescent="0.25">
      <c r="A200" s="157">
        <f>'B) D RI'!A201</f>
        <v>5722</v>
      </c>
      <c r="B200" s="158" t="str">
        <f>'B) D RI'!B201</f>
        <v>Grens</v>
      </c>
      <c r="C200" s="310">
        <f>'B) D RI'!S201</f>
        <v>62</v>
      </c>
      <c r="D200" s="159">
        <f>'B) D RI'!AA201</f>
        <v>383</v>
      </c>
      <c r="E200" s="308">
        <f>'D) Ecrêtage'!C199</f>
        <v>20306.92935483871</v>
      </c>
      <c r="F200" s="312">
        <f>'E) Fact soc'!G205</f>
        <v>395265.79968694906</v>
      </c>
      <c r="G200" s="309">
        <f>'H) Péréquation directe'!I210</f>
        <v>358158.63889411406</v>
      </c>
      <c r="H200" s="312">
        <f>+'I) Dépenses thématiques'!O199</f>
        <v>-207385.96133561325</v>
      </c>
      <c r="I200" s="309">
        <f>'K) Plafonnement aide'!J199</f>
        <v>0</v>
      </c>
      <c r="J200" s="312">
        <f>'J) Plafonnement effort'!I199</f>
        <v>0</v>
      </c>
      <c r="K200" s="309">
        <f>'L) Plafonnement taux'!Q200</f>
        <v>0</v>
      </c>
      <c r="L200" s="307">
        <f t="shared" si="9"/>
        <v>546038.4772454499</v>
      </c>
      <c r="M200" s="227">
        <f>'M) Police'!O200</f>
        <v>57678.769804304706</v>
      </c>
      <c r="N200" s="227">
        <f t="shared" si="12"/>
        <v>603717.2470497546</v>
      </c>
      <c r="O200" s="399">
        <f t="shared" si="13"/>
        <v>150772.67755850081</v>
      </c>
      <c r="P200" s="314"/>
      <c r="Q200" s="493"/>
    </row>
    <row r="201" spans="1:17" s="160" customFormat="1" x14ac:dyDescent="0.25">
      <c r="A201" s="157">
        <f>'B) D RI'!A202</f>
        <v>5723</v>
      </c>
      <c r="B201" s="158" t="str">
        <f>'B) D RI'!B202</f>
        <v>Mies</v>
      </c>
      <c r="C201" s="310">
        <f>'B) D RI'!S202</f>
        <v>53</v>
      </c>
      <c r="D201" s="159">
        <f>'B) D RI'!AA202</f>
        <v>2116</v>
      </c>
      <c r="E201" s="308">
        <f>'D) Ecrêtage'!C200</f>
        <v>571754.57660377375</v>
      </c>
      <c r="F201" s="312">
        <f>'E) Fact soc'!G206</f>
        <v>22008010.394518293</v>
      </c>
      <c r="G201" s="309">
        <f>'H) Péréquation directe'!I211</f>
        <v>10920723.525747446</v>
      </c>
      <c r="H201" s="312">
        <f>+'I) Dépenses thématiques'!O200</f>
        <v>0</v>
      </c>
      <c r="I201" s="309">
        <f>'K) Plafonnement aide'!J200</f>
        <v>0</v>
      </c>
      <c r="J201" s="312">
        <f>'J) Plafonnement effort'!I200</f>
        <v>-7199777.9730959199</v>
      </c>
      <c r="K201" s="309">
        <f>'L) Plafonnement taux'!Q201</f>
        <v>0</v>
      </c>
      <c r="L201" s="307">
        <f t="shared" si="9"/>
        <v>25728955.947169822</v>
      </c>
      <c r="M201" s="227">
        <f>'M) Police'!O201</f>
        <v>866566.39515095961</v>
      </c>
      <c r="N201" s="227">
        <f t="shared" si="12"/>
        <v>26595522.342320781</v>
      </c>
      <c r="O201" s="399">
        <f t="shared" si="13"/>
        <v>3720945.5526515264</v>
      </c>
      <c r="P201" s="314"/>
      <c r="Q201" s="493"/>
    </row>
    <row r="202" spans="1:17" s="160" customFormat="1" x14ac:dyDescent="0.25">
      <c r="A202" s="157">
        <f>'B) D RI'!A203</f>
        <v>5724</v>
      </c>
      <c r="B202" s="158" t="str">
        <f>'B) D RI'!B203</f>
        <v>Nyon</v>
      </c>
      <c r="C202" s="310">
        <f>'B) D RI'!S203</f>
        <v>61</v>
      </c>
      <c r="D202" s="159">
        <f>'B) D RI'!AA203</f>
        <v>21416</v>
      </c>
      <c r="E202" s="308">
        <f>'D) Ecrêtage'!C201</f>
        <v>1403046.442824716</v>
      </c>
      <c r="F202" s="312">
        <f>'E) Fact soc'!G207</f>
        <v>32170875.128055278</v>
      </c>
      <c r="G202" s="309">
        <f>'H) Péréquation directe'!I212</f>
        <v>11475459.161625216</v>
      </c>
      <c r="H202" s="312">
        <f>+'I) Dépenses thématiques'!O201</f>
        <v>-594768.18815043836</v>
      </c>
      <c r="I202" s="309">
        <f>'K) Plafonnement aide'!J201</f>
        <v>0</v>
      </c>
      <c r="J202" s="312">
        <f>'J) Plafonnement effort'!I201</f>
        <v>0</v>
      </c>
      <c r="K202" s="309">
        <f>'L) Plafonnement taux'!Q202</f>
        <v>0</v>
      </c>
      <c r="L202" s="307">
        <f t="shared" si="9"/>
        <v>43051566.10153006</v>
      </c>
      <c r="M202" s="227">
        <f>'M) Police'!O202</f>
        <v>1672747.8547700569</v>
      </c>
      <c r="N202" s="227">
        <f t="shared" si="12"/>
        <v>44724313.956300117</v>
      </c>
      <c r="O202" s="399">
        <f t="shared" si="13"/>
        <v>10880690.973474778</v>
      </c>
      <c r="P202" s="314"/>
      <c r="Q202" s="493"/>
    </row>
    <row r="203" spans="1:17" s="160" customFormat="1" x14ac:dyDescent="0.25">
      <c r="A203" s="157">
        <f>'B) D RI'!A204</f>
        <v>5725</v>
      </c>
      <c r="B203" s="158" t="str">
        <f>'B) D RI'!B204</f>
        <v>Prangins</v>
      </c>
      <c r="C203" s="310">
        <f>'B) D RI'!S204</f>
        <v>56</v>
      </c>
      <c r="D203" s="159">
        <f>'B) D RI'!AA204</f>
        <v>4088</v>
      </c>
      <c r="E203" s="308">
        <f>'D) Ecrêtage'!C202</f>
        <v>339116.20058673463</v>
      </c>
      <c r="F203" s="312">
        <f>'E) Fact soc'!G208</f>
        <v>9151696.6750882342</v>
      </c>
      <c r="G203" s="309">
        <f>'H) Péréquation directe'!I213</f>
        <v>5408706.6878037658</v>
      </c>
      <c r="H203" s="312">
        <f>+'I) Dépenses thématiques'!O202</f>
        <v>0</v>
      </c>
      <c r="I203" s="309">
        <f>'K) Plafonnement aide'!J202</f>
        <v>0</v>
      </c>
      <c r="J203" s="312">
        <f>'J) Plafonnement effort'!I202</f>
        <v>0</v>
      </c>
      <c r="K203" s="309">
        <f>'L) Plafonnement taux'!Q203</f>
        <v>0</v>
      </c>
      <c r="L203" s="307">
        <f t="shared" si="9"/>
        <v>14560403.362892</v>
      </c>
      <c r="M203" s="227">
        <f>'M) Police'!O203</f>
        <v>404303.00789415889</v>
      </c>
      <c r="N203" s="227">
        <f t="shared" si="12"/>
        <v>14964706.370786158</v>
      </c>
      <c r="O203" s="399">
        <f t="shared" si="13"/>
        <v>5408706.6878037658</v>
      </c>
      <c r="P203" s="314"/>
      <c r="Q203" s="493"/>
    </row>
    <row r="204" spans="1:17" s="160" customFormat="1" x14ac:dyDescent="0.25">
      <c r="A204" s="157">
        <f>'B) D RI'!A205</f>
        <v>5726</v>
      </c>
      <c r="B204" s="158" t="str">
        <f>'B) D RI'!B205</f>
        <v>La Rippe</v>
      </c>
      <c r="C204" s="310">
        <f>'B) D RI'!S205</f>
        <v>65</v>
      </c>
      <c r="D204" s="159">
        <f>'B) D RI'!AA205</f>
        <v>1136</v>
      </c>
      <c r="E204" s="308">
        <f>'D) Ecrêtage'!C203</f>
        <v>61326.535692307698</v>
      </c>
      <c r="F204" s="312">
        <f>'E) Fact soc'!G209</f>
        <v>1135514.1320744064</v>
      </c>
      <c r="G204" s="309">
        <f>'H) Péréquation directe'!I214</f>
        <v>1053472.8345596576</v>
      </c>
      <c r="H204" s="312">
        <f>+'I) Dépenses thématiques'!O203</f>
        <v>-684.0050105154944</v>
      </c>
      <c r="I204" s="309">
        <f>'K) Plafonnement aide'!J203</f>
        <v>0</v>
      </c>
      <c r="J204" s="312">
        <f>'J) Plafonnement effort'!I203</f>
        <v>0</v>
      </c>
      <c r="K204" s="309">
        <f>'L) Plafonnement taux'!Q204</f>
        <v>0</v>
      </c>
      <c r="L204" s="307">
        <f t="shared" si="9"/>
        <v>2188302.9616235485</v>
      </c>
      <c r="M204" s="227">
        <f>'M) Police'!O204</f>
        <v>172384.05138122186</v>
      </c>
      <c r="N204" s="227">
        <f t="shared" si="12"/>
        <v>2360687.0130047705</v>
      </c>
      <c r="O204" s="399">
        <f t="shared" si="13"/>
        <v>1052788.8295491422</v>
      </c>
      <c r="P204" s="314"/>
      <c r="Q204" s="493"/>
    </row>
    <row r="205" spans="1:17" s="160" customFormat="1" x14ac:dyDescent="0.25">
      <c r="A205" s="157">
        <f>'B) D RI'!A206</f>
        <v>5727</v>
      </c>
      <c r="B205" s="158" t="str">
        <f>'B) D RI'!B206</f>
        <v>Saint-Cergue</v>
      </c>
      <c r="C205" s="310">
        <f>'B) D RI'!S206</f>
        <v>66</v>
      </c>
      <c r="D205" s="159">
        <f>'B) D RI'!AA206</f>
        <v>2603</v>
      </c>
      <c r="E205" s="308">
        <f>'D) Ecrêtage'!C204</f>
        <v>96125.190858585862</v>
      </c>
      <c r="F205" s="312">
        <f>'E) Fact soc'!G210</f>
        <v>1784026.97135776</v>
      </c>
      <c r="G205" s="309">
        <f>'H) Péréquation directe'!I215</f>
        <v>775896.93769785343</v>
      </c>
      <c r="H205" s="312">
        <f>+'I) Dépenses thématiques'!O204</f>
        <v>-353010.26235267235</v>
      </c>
      <c r="I205" s="309">
        <f>'K) Plafonnement aide'!J204</f>
        <v>0</v>
      </c>
      <c r="J205" s="312">
        <f>'J) Plafonnement effort'!I204</f>
        <v>0</v>
      </c>
      <c r="K205" s="309">
        <f>'L) Plafonnement taux'!Q205</f>
        <v>0</v>
      </c>
      <c r="L205" s="307">
        <f t="shared" si="9"/>
        <v>2206913.646702941</v>
      </c>
      <c r="M205" s="227">
        <f>'M) Police'!O205</f>
        <v>291055.57112982764</v>
      </c>
      <c r="N205" s="227">
        <f t="shared" si="12"/>
        <v>2497969.2178327688</v>
      </c>
      <c r="O205" s="399">
        <f t="shared" si="13"/>
        <v>422886.67534518108</v>
      </c>
      <c r="P205" s="314"/>
      <c r="Q205" s="493"/>
    </row>
    <row r="206" spans="1:17" s="160" customFormat="1" x14ac:dyDescent="0.25">
      <c r="A206" s="157">
        <f>'B) D RI'!A207</f>
        <v>5728</v>
      </c>
      <c r="B206" s="158" t="str">
        <f>'B) D RI'!B207</f>
        <v>Signy-Avenex</v>
      </c>
      <c r="C206" s="310">
        <f>'B) D RI'!S207</f>
        <v>58</v>
      </c>
      <c r="D206" s="159">
        <f>'B) D RI'!AA207</f>
        <v>586</v>
      </c>
      <c r="E206" s="308">
        <f>'D) Ecrêtage'!C205</f>
        <v>43125.38</v>
      </c>
      <c r="F206" s="312">
        <f>'E) Fact soc'!G211</f>
        <v>988563.30745556601</v>
      </c>
      <c r="G206" s="309">
        <f>'H) Péréquation directe'!I216</f>
        <v>789177.68701722228</v>
      </c>
      <c r="H206" s="312">
        <f>+'I) Dépenses thématiques'!O205</f>
        <v>0</v>
      </c>
      <c r="I206" s="309">
        <f>'K) Plafonnement aide'!J205</f>
        <v>0</v>
      </c>
      <c r="J206" s="312">
        <f>'J) Plafonnement effort'!I205</f>
        <v>0</v>
      </c>
      <c r="K206" s="309">
        <f>'L) Plafonnement taux'!Q206</f>
        <v>0</v>
      </c>
      <c r="L206" s="307">
        <f t="shared" si="9"/>
        <v>1777740.9944727882</v>
      </c>
      <c r="M206" s="227">
        <f>'M) Police'!O206</f>
        <v>102622.59863264998</v>
      </c>
      <c r="N206" s="227">
        <f t="shared" si="12"/>
        <v>1880363.5931054382</v>
      </c>
      <c r="O206" s="399">
        <f t="shared" si="13"/>
        <v>789177.68701722228</v>
      </c>
      <c r="P206" s="314"/>
      <c r="Q206" s="493"/>
    </row>
    <row r="207" spans="1:17" s="160" customFormat="1" x14ac:dyDescent="0.25">
      <c r="A207" s="157">
        <f>'B) D RI'!A208</f>
        <v>5729</v>
      </c>
      <c r="B207" s="158" t="str">
        <f>'B) D RI'!B208</f>
        <v>Tannay</v>
      </c>
      <c r="C207" s="310">
        <f>'B) D RI'!S208</f>
        <v>61</v>
      </c>
      <c r="D207" s="159">
        <f>'B) D RI'!AA208</f>
        <v>1600</v>
      </c>
      <c r="E207" s="308">
        <f>'D) Ecrêtage'!C206</f>
        <v>176892.2019125683</v>
      </c>
      <c r="F207" s="312">
        <f>'E) Fact soc'!G212</f>
        <v>5390006.77563449</v>
      </c>
      <c r="G207" s="309">
        <f>'H) Péréquation directe'!I217</f>
        <v>3202342.4963462274</v>
      </c>
      <c r="H207" s="312">
        <f>+'I) Dépenses thématiques'!O206</f>
        <v>0</v>
      </c>
      <c r="I207" s="309">
        <f>'K) Plafonnement aide'!J206</f>
        <v>0</v>
      </c>
      <c r="J207" s="312">
        <f>'J) Plafonnement effort'!I206</f>
        <v>-632200.18591514311</v>
      </c>
      <c r="K207" s="309">
        <f>'L) Plafonnement taux'!Q207</f>
        <v>0</v>
      </c>
      <c r="L207" s="307">
        <f t="shared" si="9"/>
        <v>7960149.0860655745</v>
      </c>
      <c r="M207" s="227">
        <f>'M) Police'!O207</f>
        <v>350710.88210635248</v>
      </c>
      <c r="N207" s="227">
        <f t="shared" si="12"/>
        <v>8310859.9681719271</v>
      </c>
      <c r="O207" s="399">
        <f t="shared" si="13"/>
        <v>2570142.3104310841</v>
      </c>
      <c r="P207" s="314"/>
      <c r="Q207" s="493"/>
    </row>
    <row r="208" spans="1:17" s="160" customFormat="1" x14ac:dyDescent="0.25">
      <c r="A208" s="157">
        <f>'B) D RI'!A209</f>
        <v>5730</v>
      </c>
      <c r="B208" s="158" t="str">
        <f>'B) D RI'!B209</f>
        <v>Trélex</v>
      </c>
      <c r="C208" s="310">
        <f>'B) D RI'!S209</f>
        <v>57</v>
      </c>
      <c r="D208" s="159">
        <f>'B) D RI'!AA209</f>
        <v>1434</v>
      </c>
      <c r="E208" s="308">
        <f>'D) Ecrêtage'!C207</f>
        <v>134482.25955165693</v>
      </c>
      <c r="F208" s="312">
        <f>'E) Fact soc'!G213</f>
        <v>3494413.993921712</v>
      </c>
      <c r="G208" s="309">
        <f>'H) Péréquation directe'!I218</f>
        <v>2412252.1417919486</v>
      </c>
      <c r="H208" s="312">
        <f>+'I) Dépenses thématiques'!O207</f>
        <v>0</v>
      </c>
      <c r="I208" s="309">
        <f>'K) Plafonnement aide'!J207</f>
        <v>0</v>
      </c>
      <c r="J208" s="312">
        <f>'J) Plafonnement effort'!I207</f>
        <v>0</v>
      </c>
      <c r="K208" s="309">
        <f>'L) Plafonnement taux'!Q208</f>
        <v>0</v>
      </c>
      <c r="L208" s="307">
        <f t="shared" si="9"/>
        <v>5906666.1357136611</v>
      </c>
      <c r="M208" s="227">
        <f>'M) Police'!O208</f>
        <v>285642.80861478817</v>
      </c>
      <c r="N208" s="227">
        <f t="shared" si="12"/>
        <v>6192308.9443284497</v>
      </c>
      <c r="O208" s="399">
        <f t="shared" si="13"/>
        <v>2412252.1417919486</v>
      </c>
      <c r="P208" s="314"/>
      <c r="Q208" s="493"/>
    </row>
    <row r="209" spans="1:17" s="160" customFormat="1" x14ac:dyDescent="0.25">
      <c r="A209" s="157">
        <f>'B) D RI'!A210</f>
        <v>5731</v>
      </c>
      <c r="B209" s="158" t="str">
        <f>'B) D RI'!B210</f>
        <v>Le Vaud</v>
      </c>
      <c r="C209" s="310">
        <f>'B) D RI'!S210</f>
        <v>75</v>
      </c>
      <c r="D209" s="159">
        <f>'B) D RI'!AA210</f>
        <v>1362</v>
      </c>
      <c r="E209" s="308">
        <f>'D) Ecrêtage'!C208</f>
        <v>61944.089333333322</v>
      </c>
      <c r="F209" s="312">
        <f>'E) Fact soc'!G214</f>
        <v>1281018.5246417532</v>
      </c>
      <c r="G209" s="309">
        <f>'H) Péréquation directe'!I219</f>
        <v>936446.28299217345</v>
      </c>
      <c r="H209" s="312">
        <f>+'I) Dépenses thématiques'!O208</f>
        <v>-106723.24757644707</v>
      </c>
      <c r="I209" s="309">
        <f>'K) Plafonnement aide'!J208</f>
        <v>0</v>
      </c>
      <c r="J209" s="312">
        <f>'J) Plafonnement effort'!I208</f>
        <v>0</v>
      </c>
      <c r="K209" s="309">
        <f>'L) Plafonnement taux'!Q209</f>
        <v>0</v>
      </c>
      <c r="L209" s="307">
        <f t="shared" si="9"/>
        <v>2110741.5600574794</v>
      </c>
      <c r="M209" s="227">
        <f>'M) Police'!O209</f>
        <v>190593.70097677829</v>
      </c>
      <c r="N209" s="227">
        <f t="shared" si="12"/>
        <v>2301335.2610342577</v>
      </c>
      <c r="O209" s="399">
        <f t="shared" si="13"/>
        <v>829723.03541572636</v>
      </c>
      <c r="P209" s="314"/>
      <c r="Q209" s="493"/>
    </row>
    <row r="210" spans="1:17" s="160" customFormat="1" x14ac:dyDescent="0.25">
      <c r="A210" s="157">
        <f>'B) D RI'!A211</f>
        <v>5732</v>
      </c>
      <c r="B210" s="158" t="str">
        <f>'B) D RI'!B211</f>
        <v>Vich</v>
      </c>
      <c r="C210" s="310">
        <f>'B) D RI'!S211</f>
        <v>66</v>
      </c>
      <c r="D210" s="159">
        <f>'B) D RI'!AA211</f>
        <v>1083</v>
      </c>
      <c r="E210" s="308">
        <f>'D) Ecrêtage'!C209</f>
        <v>63992.408333333333</v>
      </c>
      <c r="F210" s="312">
        <f>'E) Fact soc'!G215</f>
        <v>1336258.4581317299</v>
      </c>
      <c r="G210" s="309">
        <f>'H) Péréquation directe'!I220</f>
        <v>1125451.4343375061</v>
      </c>
      <c r="H210" s="312">
        <f>+'I) Dépenses thématiques'!O209</f>
        <v>0</v>
      </c>
      <c r="I210" s="309">
        <f>'K) Plafonnement aide'!J209</f>
        <v>0</v>
      </c>
      <c r="J210" s="312">
        <f>'J) Plafonnement effort'!I209</f>
        <v>0</v>
      </c>
      <c r="K210" s="309">
        <f>'L) Plafonnement taux'!Q210</f>
        <v>0</v>
      </c>
      <c r="L210" s="307">
        <f t="shared" si="9"/>
        <v>2461709.8924692357</v>
      </c>
      <c r="M210" s="227">
        <f>'M) Police'!O210</f>
        <v>170930.9853317641</v>
      </c>
      <c r="N210" s="227">
        <f t="shared" si="12"/>
        <v>2632640.8778009997</v>
      </c>
      <c r="O210" s="399">
        <f t="shared" si="13"/>
        <v>1125451.4343375061</v>
      </c>
      <c r="P210" s="314"/>
      <c r="Q210" s="493"/>
    </row>
    <row r="211" spans="1:17" s="160" customFormat="1" x14ac:dyDescent="0.25">
      <c r="A211" s="157">
        <f>'B) D RI'!A212</f>
        <v>5741</v>
      </c>
      <c r="B211" s="158" t="str">
        <f>'B) D RI'!B212</f>
        <v>L'Abergement</v>
      </c>
      <c r="C211" s="310">
        <f>'B) D RI'!S212</f>
        <v>81</v>
      </c>
      <c r="D211" s="159">
        <f>'B) D RI'!AA212</f>
        <v>244</v>
      </c>
      <c r="E211" s="308">
        <f>'D) Ecrêtage'!C210</f>
        <v>7144.356296296296</v>
      </c>
      <c r="F211" s="312">
        <f>'E) Fact soc'!G216</f>
        <v>128829.49801022008</v>
      </c>
      <c r="G211" s="309">
        <f>'H) Péréquation directe'!I221</f>
        <v>-827.48555318129365</v>
      </c>
      <c r="H211" s="312">
        <f>+'I) Dépenses thématiques'!O210</f>
        <v>-119029.12603311837</v>
      </c>
      <c r="I211" s="309">
        <f>'K) Plafonnement aide'!J210</f>
        <v>0</v>
      </c>
      <c r="J211" s="312">
        <f>'J) Plafonnement effort'!I210</f>
        <v>0</v>
      </c>
      <c r="K211" s="309">
        <f>'L) Plafonnement taux'!Q211</f>
        <v>0</v>
      </c>
      <c r="L211" s="307">
        <f t="shared" si="9"/>
        <v>8972.8864239204122</v>
      </c>
      <c r="M211" s="227">
        <f>'M) Police'!O211</f>
        <v>21817.014183758685</v>
      </c>
      <c r="N211" s="227">
        <f t="shared" si="12"/>
        <v>30789.900607679097</v>
      </c>
      <c r="O211" s="399">
        <f t="shared" si="13"/>
        <v>-119856.61158629967</v>
      </c>
      <c r="P211" s="314"/>
      <c r="Q211" s="493"/>
    </row>
    <row r="212" spans="1:17" s="160" customFormat="1" x14ac:dyDescent="0.25">
      <c r="A212" s="157">
        <f>'B) D RI'!A213</f>
        <v>5742</v>
      </c>
      <c r="B212" s="158" t="str">
        <f>'B) D RI'!B213</f>
        <v>Agiez</v>
      </c>
      <c r="C212" s="310">
        <f>'B) D RI'!S213</f>
        <v>76</v>
      </c>
      <c r="D212" s="159">
        <f>'B) D RI'!AA213</f>
        <v>354</v>
      </c>
      <c r="E212" s="308">
        <f>'D) Ecrêtage'!C211</f>
        <v>9023.5640789473691</v>
      </c>
      <c r="F212" s="312">
        <f>'E) Fact soc'!G217</f>
        <v>166023.15167257306</v>
      </c>
      <c r="G212" s="309">
        <f>'H) Péréquation directe'!I222</f>
        <v>-39089.643646279292</v>
      </c>
      <c r="H212" s="312">
        <f>+'I) Dépenses thématiques'!O211</f>
        <v>-16768.112043677316</v>
      </c>
      <c r="I212" s="309">
        <f>'K) Plafonnement aide'!J211</f>
        <v>0</v>
      </c>
      <c r="J212" s="312">
        <f>'J) Plafonnement effort'!I211</f>
        <v>0</v>
      </c>
      <c r="K212" s="309">
        <f>'L) Plafonnement taux'!Q212</f>
        <v>0</v>
      </c>
      <c r="L212" s="307">
        <f t="shared" si="9"/>
        <v>110165.39598261645</v>
      </c>
      <c r="M212" s="227">
        <f>'M) Police'!O212</f>
        <v>27407.017837444873</v>
      </c>
      <c r="N212" s="227">
        <f t="shared" si="12"/>
        <v>137572.41382006131</v>
      </c>
      <c r="O212" s="399">
        <f t="shared" si="13"/>
        <v>-55857.755689956612</v>
      </c>
      <c r="P212" s="314"/>
      <c r="Q212" s="493"/>
    </row>
    <row r="213" spans="1:17" s="160" customFormat="1" x14ac:dyDescent="0.25">
      <c r="A213" s="157">
        <f>'B) D RI'!A214</f>
        <v>5743</v>
      </c>
      <c r="B213" s="158" t="str">
        <f>'B) D RI'!B214</f>
        <v>Arnex-sur-Orbe</v>
      </c>
      <c r="C213" s="310">
        <f>'B) D RI'!S214</f>
        <v>73</v>
      </c>
      <c r="D213" s="159">
        <f>'B) D RI'!AA214</f>
        <v>633</v>
      </c>
      <c r="E213" s="308">
        <f>'D) Ecrêtage'!C212</f>
        <v>19009.64441780822</v>
      </c>
      <c r="F213" s="312">
        <f>'E) Fact soc'!G218</f>
        <v>388144.42471080861</v>
      </c>
      <c r="G213" s="309">
        <f>'H) Péréquation directe'!I223</f>
        <v>72491.597070775169</v>
      </c>
      <c r="H213" s="312">
        <f>+'I) Dépenses thématiques'!O212</f>
        <v>-74427.116278908186</v>
      </c>
      <c r="I213" s="309">
        <f>'K) Plafonnement aide'!J212</f>
        <v>0</v>
      </c>
      <c r="J213" s="312">
        <f>'J) Plafonnement effort'!I212</f>
        <v>0</v>
      </c>
      <c r="K213" s="309">
        <f>'L) Plafonnement taux'!Q213</f>
        <v>0</v>
      </c>
      <c r="L213" s="307">
        <f t="shared" si="9"/>
        <v>386208.90550267557</v>
      </c>
      <c r="M213" s="227">
        <f>'M) Police'!O213</f>
        <v>58335.948119058645</v>
      </c>
      <c r="N213" s="227">
        <f t="shared" si="12"/>
        <v>444544.85362173419</v>
      </c>
      <c r="O213" s="399">
        <f t="shared" si="13"/>
        <v>-1935.5192081330169</v>
      </c>
      <c r="P213" s="314"/>
      <c r="Q213" s="493"/>
    </row>
    <row r="214" spans="1:17" s="160" customFormat="1" x14ac:dyDescent="0.25">
      <c r="A214" s="157">
        <f>'B) D RI'!A215</f>
        <v>5744</v>
      </c>
      <c r="B214" s="158" t="str">
        <f>'B) D RI'!B215</f>
        <v>Ballaigues</v>
      </c>
      <c r="C214" s="310">
        <f>'B) D RI'!S215</f>
        <v>66</v>
      </c>
      <c r="D214" s="159">
        <f>'B) D RI'!AA215</f>
        <v>1108</v>
      </c>
      <c r="E214" s="308">
        <f>'D) Ecrêtage'!C213</f>
        <v>63457.136212121215</v>
      </c>
      <c r="F214" s="312">
        <f>'E) Fact soc'!G219</f>
        <v>1645790.0207955574</v>
      </c>
      <c r="G214" s="309">
        <f>'H) Péréquation directe'!I224</f>
        <v>1105948.3963743269</v>
      </c>
      <c r="H214" s="312">
        <f>+'I) Dépenses thématiques'!O213</f>
        <v>-268883.87138676416</v>
      </c>
      <c r="I214" s="309">
        <f>'K) Plafonnement aide'!J213</f>
        <v>0</v>
      </c>
      <c r="J214" s="312">
        <f>'J) Plafonnement effort'!I213</f>
        <v>0</v>
      </c>
      <c r="K214" s="309">
        <f>'L) Plafonnement taux'!Q214</f>
        <v>0</v>
      </c>
      <c r="L214" s="307">
        <f t="shared" si="9"/>
        <v>2482854.5457831202</v>
      </c>
      <c r="M214" s="227">
        <f>'M) Police'!O214</f>
        <v>172477.43700924757</v>
      </c>
      <c r="N214" s="227">
        <f t="shared" si="12"/>
        <v>2655331.9827923677</v>
      </c>
      <c r="O214" s="399">
        <f t="shared" si="13"/>
        <v>837064.52498756279</v>
      </c>
      <c r="P214" s="314"/>
      <c r="Q214" s="493"/>
    </row>
    <row r="215" spans="1:17" s="160" customFormat="1" x14ac:dyDescent="0.25">
      <c r="A215" s="157">
        <f>'B) D RI'!A216</f>
        <v>5745</v>
      </c>
      <c r="B215" s="158" t="str">
        <f>'B) D RI'!B216</f>
        <v>Baulmes</v>
      </c>
      <c r="C215" s="310">
        <f>'B) D RI'!S216</f>
        <v>78</v>
      </c>
      <c r="D215" s="159">
        <f>'B) D RI'!AA216</f>
        <v>1042</v>
      </c>
      <c r="E215" s="308">
        <f>'D) Ecrêtage'!C214</f>
        <v>27759.177948717952</v>
      </c>
      <c r="F215" s="312">
        <f>'E) Fact soc'!G220</f>
        <v>523058.70162877341</v>
      </c>
      <c r="G215" s="309">
        <f>'H) Péréquation directe'!I225</f>
        <v>-99209.69771068159</v>
      </c>
      <c r="H215" s="312">
        <f>+'I) Dépenses thématiques'!O214</f>
        <v>-286299.15522613947</v>
      </c>
      <c r="I215" s="309">
        <f>'K) Plafonnement aide'!J214</f>
        <v>0</v>
      </c>
      <c r="J215" s="312">
        <f>'J) Plafonnement effort'!I214</f>
        <v>0</v>
      </c>
      <c r="K215" s="309">
        <f>'L) Plafonnement taux'!Q215</f>
        <v>0</v>
      </c>
      <c r="L215" s="307">
        <f t="shared" si="9"/>
        <v>137549.84869195236</v>
      </c>
      <c r="M215" s="227">
        <f>'M) Police'!O215</f>
        <v>85240.58091964433</v>
      </c>
      <c r="N215" s="227">
        <f t="shared" si="12"/>
        <v>222790.42961159669</v>
      </c>
      <c r="O215" s="399">
        <f t="shared" si="13"/>
        <v>-385508.85293682106</v>
      </c>
      <c r="P215" s="314"/>
      <c r="Q215" s="493"/>
    </row>
    <row r="216" spans="1:17" s="160" customFormat="1" x14ac:dyDescent="0.25">
      <c r="A216" s="157">
        <f>'B) D RI'!A217</f>
        <v>5746</v>
      </c>
      <c r="B216" s="158" t="str">
        <f>'B) D RI'!B217</f>
        <v>Bavois</v>
      </c>
      <c r="C216" s="310">
        <f>'B) D RI'!S217</f>
        <v>73</v>
      </c>
      <c r="D216" s="159">
        <f>'B) D RI'!AA217</f>
        <v>952</v>
      </c>
      <c r="E216" s="308">
        <f>'D) Ecrêtage'!C215</f>
        <v>26302.981735159818</v>
      </c>
      <c r="F216" s="312">
        <f>'E) Fact soc'!G221</f>
        <v>491285.32843917364</v>
      </c>
      <c r="G216" s="309">
        <f>'H) Péréquation directe'!I226</f>
        <v>15031.314066253835</v>
      </c>
      <c r="H216" s="312">
        <f>+'I) Dépenses thématiques'!O215</f>
        <v>-197349.23565942844</v>
      </c>
      <c r="I216" s="309">
        <f>'K) Plafonnement aide'!J215</f>
        <v>0</v>
      </c>
      <c r="J216" s="312">
        <f>'J) Plafonnement effort'!I215</f>
        <v>0</v>
      </c>
      <c r="K216" s="309">
        <f>'L) Plafonnement taux'!Q216</f>
        <v>0</v>
      </c>
      <c r="L216" s="307">
        <f t="shared" si="9"/>
        <v>308967.40684599907</v>
      </c>
      <c r="M216" s="227">
        <f>'M) Police'!O216</f>
        <v>79140.382094986373</v>
      </c>
      <c r="N216" s="227">
        <f t="shared" si="12"/>
        <v>388107.78894098545</v>
      </c>
      <c r="O216" s="399">
        <f t="shared" si="13"/>
        <v>-182317.9215931746</v>
      </c>
      <c r="P216" s="314"/>
      <c r="Q216" s="493"/>
    </row>
    <row r="217" spans="1:17" s="160" customFormat="1" x14ac:dyDescent="0.25">
      <c r="A217" s="157">
        <f>'B) D RI'!A218</f>
        <v>5747</v>
      </c>
      <c r="B217" s="158" t="str">
        <f>'B) D RI'!B218</f>
        <v>Bofflens</v>
      </c>
      <c r="C217" s="310">
        <f>'B) D RI'!S218</f>
        <v>69</v>
      </c>
      <c r="D217" s="159">
        <f>'B) D RI'!AA218</f>
        <v>194</v>
      </c>
      <c r="E217" s="308">
        <f>'D) Ecrêtage'!C216</f>
        <v>5938.7008695652166</v>
      </c>
      <c r="F217" s="312">
        <f>'E) Fact soc'!G222</f>
        <v>94332.197466748679</v>
      </c>
      <c r="G217" s="309">
        <f>'H) Péréquation directe'!I227</f>
        <v>34053.391900700444</v>
      </c>
      <c r="H217" s="312">
        <f>+'I) Dépenses thématiques'!O216</f>
        <v>-233743.82006459788</v>
      </c>
      <c r="I217" s="309">
        <f>'K) Plafonnement aide'!J216</f>
        <v>0</v>
      </c>
      <c r="J217" s="312">
        <f>'J) Plafonnement effort'!I216</f>
        <v>0</v>
      </c>
      <c r="K217" s="309">
        <f>'L) Plafonnement taux'!Q217</f>
        <v>0</v>
      </c>
      <c r="L217" s="307">
        <f t="shared" si="9"/>
        <v>-105358.23069714876</v>
      </c>
      <c r="M217" s="227">
        <f>'M) Police'!O217</f>
        <v>18040.322084983145</v>
      </c>
      <c r="N217" s="227">
        <f t="shared" si="12"/>
        <v>-87317.908612165615</v>
      </c>
      <c r="O217" s="399">
        <f t="shared" si="13"/>
        <v>-199690.42816389742</v>
      </c>
      <c r="P217" s="314"/>
      <c r="Q217" s="493"/>
    </row>
    <row r="218" spans="1:17" s="160" customFormat="1" x14ac:dyDescent="0.25">
      <c r="A218" s="157">
        <f>'B) D RI'!A219</f>
        <v>5748</v>
      </c>
      <c r="B218" s="158" t="str">
        <f>'B) D RI'!B219</f>
        <v>Bretonnières</v>
      </c>
      <c r="C218" s="310">
        <f>'B) D RI'!S219</f>
        <v>72</v>
      </c>
      <c r="D218" s="159">
        <f>'B) D RI'!AA219</f>
        <v>269</v>
      </c>
      <c r="E218" s="308">
        <f>'D) Ecrêtage'!C217</f>
        <v>7318.7627314814808</v>
      </c>
      <c r="F218" s="312">
        <f>'E) Fact soc'!G223</f>
        <v>123795.88284568535</v>
      </c>
      <c r="G218" s="309">
        <f>'H) Péréquation directe'!I228</f>
        <v>2658.2228384172195</v>
      </c>
      <c r="H218" s="312">
        <f>+'I) Dépenses thématiques'!O217</f>
        <v>-52428.256658389146</v>
      </c>
      <c r="I218" s="309">
        <f>'K) Plafonnement aide'!J217</f>
        <v>0</v>
      </c>
      <c r="J218" s="312">
        <f>'J) Plafonnement effort'!I217</f>
        <v>0</v>
      </c>
      <c r="K218" s="309">
        <f>'L) Plafonnement taux'!Q218</f>
        <v>0</v>
      </c>
      <c r="L218" s="307">
        <f t="shared" si="9"/>
        <v>74025.849025713425</v>
      </c>
      <c r="M218" s="227">
        <f>'M) Police'!O218</f>
        <v>22291.005008915039</v>
      </c>
      <c r="N218" s="227">
        <f t="shared" si="12"/>
        <v>96316.854034628457</v>
      </c>
      <c r="O218" s="399">
        <f t="shared" si="13"/>
        <v>-49770.033819971926</v>
      </c>
      <c r="P218" s="314"/>
      <c r="Q218" s="493"/>
    </row>
    <row r="219" spans="1:17" s="160" customFormat="1" x14ac:dyDescent="0.25">
      <c r="A219" s="157">
        <f>'B) D RI'!A220</f>
        <v>5749</v>
      </c>
      <c r="B219" s="158" t="str">
        <f>'B) D RI'!B220</f>
        <v>Chavornay</v>
      </c>
      <c r="C219" s="310">
        <f>'B) D RI'!S220</f>
        <v>72</v>
      </c>
      <c r="D219" s="159">
        <f>'B) D RI'!AA220</f>
        <v>5135</v>
      </c>
      <c r="E219" s="308">
        <f>'D) Ecrêtage'!C218</f>
        <v>133236.15722222222</v>
      </c>
      <c r="F219" s="312">
        <f>'E) Fact soc'!G224</f>
        <v>2571598.1346419598</v>
      </c>
      <c r="G219" s="309">
        <f>'H) Péréquation directe'!I229</f>
        <v>-1482118.5041314373</v>
      </c>
      <c r="H219" s="312">
        <f>+'I) Dépenses thématiques'!O218</f>
        <v>-614815.85197655589</v>
      </c>
      <c r="I219" s="309">
        <f>'K) Plafonnement aide'!J218</f>
        <v>0</v>
      </c>
      <c r="J219" s="312">
        <f>'J) Plafonnement effort'!I218</f>
        <v>0</v>
      </c>
      <c r="K219" s="309">
        <f>'L) Plafonnement taux'!Q219</f>
        <v>0</v>
      </c>
      <c r="L219" s="307">
        <f t="shared" ref="L219" si="14">F219+G219+H219+I219+J219+K219</f>
        <v>474663.77853396663</v>
      </c>
      <c r="M219" s="227">
        <f>'M) Police'!O219</f>
        <v>400510.11469128611</v>
      </c>
      <c r="N219" s="227">
        <f t="shared" ref="N219" si="15">L219+M219</f>
        <v>875173.89322525274</v>
      </c>
      <c r="O219" s="399">
        <f t="shared" si="13"/>
        <v>-2096934.3561079931</v>
      </c>
      <c r="P219" s="314"/>
      <c r="Q219" s="493"/>
    </row>
    <row r="220" spans="1:17" s="160" customFormat="1" x14ac:dyDescent="0.25">
      <c r="A220" s="157">
        <f>'B) D RI'!A221</f>
        <v>5750</v>
      </c>
      <c r="B220" s="158" t="str">
        <f>'B) D RI'!B221</f>
        <v>Les Clées</v>
      </c>
      <c r="C220" s="310">
        <f>'B) D RI'!S221</f>
        <v>80</v>
      </c>
      <c r="D220" s="159">
        <f>'B) D RI'!AA221</f>
        <v>185</v>
      </c>
      <c r="E220" s="308">
        <f>'D) Ecrêtage'!C219</f>
        <v>5052.8727083333342</v>
      </c>
      <c r="F220" s="312">
        <f>'E) Fact soc'!G225</f>
        <v>77966.649104431359</v>
      </c>
      <c r="G220" s="309">
        <f>'H) Péréquation directe'!I230</f>
        <v>-15027.204585952597</v>
      </c>
      <c r="H220" s="312">
        <f>+'I) Dépenses thématiques'!O219</f>
        <v>-57872.254626138194</v>
      </c>
      <c r="I220" s="309">
        <f>'K) Plafonnement aide'!J219</f>
        <v>0</v>
      </c>
      <c r="J220" s="312">
        <f>'J) Plafonnement effort'!I219</f>
        <v>0</v>
      </c>
      <c r="K220" s="309">
        <f>'L) Plafonnement taux'!Q220</f>
        <v>0</v>
      </c>
      <c r="L220" s="307">
        <f t="shared" si="9"/>
        <v>5067.1898923405679</v>
      </c>
      <c r="M220" s="227">
        <f>'M) Police'!O220</f>
        <v>15542.930329896173</v>
      </c>
      <c r="N220" s="227">
        <f t="shared" si="12"/>
        <v>20610.120222236743</v>
      </c>
      <c r="O220" s="399">
        <f t="shared" si="13"/>
        <v>-72899.459212090791</v>
      </c>
      <c r="P220" s="314"/>
      <c r="Q220" s="493"/>
    </row>
    <row r="221" spans="1:17" s="160" customFormat="1" x14ac:dyDescent="0.25">
      <c r="A221" s="157">
        <f>'B) D RI'!A222</f>
        <v>5752</v>
      </c>
      <c r="B221" s="158" t="str">
        <f>'B) D RI'!B222</f>
        <v>Croy</v>
      </c>
      <c r="C221" s="310">
        <f>'B) D RI'!S222</f>
        <v>74</v>
      </c>
      <c r="D221" s="159">
        <f>'B) D RI'!AA222</f>
        <v>403</v>
      </c>
      <c r="E221" s="308">
        <f>'D) Ecrêtage'!C220</f>
        <v>9724.9561776061801</v>
      </c>
      <c r="F221" s="312">
        <f>'E) Fact soc'!G226</f>
        <v>167561.08822422492</v>
      </c>
      <c r="G221" s="309">
        <f>'H) Péréquation directe'!I231</f>
        <v>-56974.041100716771</v>
      </c>
      <c r="H221" s="312">
        <f>+'I) Dépenses thématiques'!O220</f>
        <v>-85517.763644249702</v>
      </c>
      <c r="I221" s="309">
        <f>'K) Plafonnement aide'!J220</f>
        <v>0</v>
      </c>
      <c r="J221" s="312">
        <f>'J) Plafonnement effort'!I220</f>
        <v>0</v>
      </c>
      <c r="K221" s="309">
        <f>'L) Plafonnement taux'!Q221</f>
        <v>0</v>
      </c>
      <c r="L221" s="307">
        <f t="shared" ref="L221:L265" si="16">F221+G221+H221+I221+J221+K221</f>
        <v>25069.283479258447</v>
      </c>
      <c r="M221" s="227">
        <f>'M) Police'!O221</f>
        <v>29384.895543615035</v>
      </c>
      <c r="N221" s="227">
        <f t="shared" si="12"/>
        <v>54454.179022873483</v>
      </c>
      <c r="O221" s="399">
        <f t="shared" si="13"/>
        <v>-142491.80474496647</v>
      </c>
      <c r="P221" s="314"/>
      <c r="Q221" s="493"/>
    </row>
    <row r="222" spans="1:17" s="160" customFormat="1" x14ac:dyDescent="0.25">
      <c r="A222" s="157">
        <f>'B) D RI'!A223</f>
        <v>5754</v>
      </c>
      <c r="B222" s="158" t="str">
        <f>'B) D RI'!B223</f>
        <v>Juriens</v>
      </c>
      <c r="C222" s="310">
        <f>'B) D RI'!S223</f>
        <v>79</v>
      </c>
      <c r="D222" s="159">
        <f>'B) D RI'!AA223</f>
        <v>328</v>
      </c>
      <c r="E222" s="308">
        <f>'D) Ecrêtage'!C221</f>
        <v>9237.2617721518982</v>
      </c>
      <c r="F222" s="312">
        <f>'E) Fact soc'!G227</f>
        <v>138621.41611477477</v>
      </c>
      <c r="G222" s="309">
        <f>'H) Péréquation directe'!I232</f>
        <v>-10091.112136569427</v>
      </c>
      <c r="H222" s="312">
        <f>+'I) Dépenses thématiques'!O221</f>
        <v>-33992.695398293719</v>
      </c>
      <c r="I222" s="309">
        <f>'K) Plafonnement aide'!J221</f>
        <v>0</v>
      </c>
      <c r="J222" s="312">
        <f>'J) Plafonnement effort'!I221</f>
        <v>0</v>
      </c>
      <c r="K222" s="309">
        <f>'L) Plafonnement taux'!Q222</f>
        <v>0</v>
      </c>
      <c r="L222" s="307">
        <f t="shared" si="16"/>
        <v>94537.608579911612</v>
      </c>
      <c r="M222" s="227">
        <f>'M) Police'!O222</f>
        <v>28439.256201344127</v>
      </c>
      <c r="N222" s="227">
        <f t="shared" si="12"/>
        <v>122976.86478125575</v>
      </c>
      <c r="O222" s="399">
        <f t="shared" si="13"/>
        <v>-44083.807534863146</v>
      </c>
      <c r="P222" s="314"/>
      <c r="Q222" s="493"/>
    </row>
    <row r="223" spans="1:17" s="160" customFormat="1" x14ac:dyDescent="0.25">
      <c r="A223" s="157">
        <f>'B) D RI'!A224</f>
        <v>5755</v>
      </c>
      <c r="B223" s="158" t="str">
        <f>'B) D RI'!B224</f>
        <v>Lignerolle</v>
      </c>
      <c r="C223" s="310">
        <f>'B) D RI'!S224</f>
        <v>80</v>
      </c>
      <c r="D223" s="159">
        <f>'B) D RI'!AA224</f>
        <v>437</v>
      </c>
      <c r="E223" s="308">
        <f>'D) Ecrêtage'!C222</f>
        <v>9846.5387499999997</v>
      </c>
      <c r="F223" s="312">
        <f>'E) Fact soc'!G228</f>
        <v>201685.79863653483</v>
      </c>
      <c r="G223" s="309">
        <f>'H) Péréquation directe'!I233</f>
        <v>-130233.99331738765</v>
      </c>
      <c r="H223" s="312">
        <f>+'I) Dépenses thématiques'!O222</f>
        <v>-135198.48986538377</v>
      </c>
      <c r="I223" s="309">
        <f>'K) Plafonnement aide'!J222</f>
        <v>0</v>
      </c>
      <c r="J223" s="312">
        <f>'J) Plafonnement effort'!I222</f>
        <v>0</v>
      </c>
      <c r="K223" s="309">
        <f>'L) Plafonnement taux'!Q223</f>
        <v>0</v>
      </c>
      <c r="L223" s="307">
        <f t="shared" si="16"/>
        <v>-63746.684546236589</v>
      </c>
      <c r="M223" s="227">
        <f>'M) Police'!O223</f>
        <v>29829.507842079031</v>
      </c>
      <c r="N223" s="227">
        <f t="shared" si="12"/>
        <v>-33917.176704157559</v>
      </c>
      <c r="O223" s="399">
        <f t="shared" si="13"/>
        <v>-265432.48318277142</v>
      </c>
      <c r="P223" s="314"/>
      <c r="Q223" s="493"/>
    </row>
    <row r="224" spans="1:17" s="160" customFormat="1" x14ac:dyDescent="0.25">
      <c r="A224" s="157">
        <f>'B) D RI'!A225</f>
        <v>5756</v>
      </c>
      <c r="B224" s="158" t="str">
        <f>'B) D RI'!B225</f>
        <v>Montcherand</v>
      </c>
      <c r="C224" s="310">
        <f>'B) D RI'!S225</f>
        <v>72</v>
      </c>
      <c r="D224" s="159">
        <f>'B) D RI'!AA225</f>
        <v>505</v>
      </c>
      <c r="E224" s="308">
        <f>'D) Ecrêtage'!C223</f>
        <v>16429.064166666663</v>
      </c>
      <c r="F224" s="312">
        <f>'E) Fact soc'!G229</f>
        <v>269757.22788697167</v>
      </c>
      <c r="G224" s="309">
        <f>'H) Péréquation directe'!I234</f>
        <v>113997.07629537606</v>
      </c>
      <c r="H224" s="312">
        <f>+'I) Dépenses thématiques'!O223</f>
        <v>-62293.891157677688</v>
      </c>
      <c r="I224" s="309">
        <f>'K) Plafonnement aide'!J223</f>
        <v>0</v>
      </c>
      <c r="J224" s="312">
        <f>'J) Plafonnement effort'!I223</f>
        <v>0</v>
      </c>
      <c r="K224" s="309">
        <f>'L) Plafonnement taux'!Q224</f>
        <v>0</v>
      </c>
      <c r="L224" s="307">
        <f t="shared" si="16"/>
        <v>321460.41302467004</v>
      </c>
      <c r="M224" s="227">
        <f>'M) Police'!O224</f>
        <v>19587.150504685462</v>
      </c>
      <c r="N224" s="227">
        <f t="shared" si="12"/>
        <v>341047.56352935551</v>
      </c>
      <c r="O224" s="399">
        <f t="shared" si="13"/>
        <v>51703.185137698369</v>
      </c>
      <c r="P224" s="314"/>
      <c r="Q224" s="493"/>
    </row>
    <row r="225" spans="1:17" s="160" customFormat="1" x14ac:dyDescent="0.25">
      <c r="A225" s="157">
        <f>'B) D RI'!A226</f>
        <v>5757</v>
      </c>
      <c r="B225" s="158" t="str">
        <f>'B) D RI'!B226</f>
        <v>Orbe</v>
      </c>
      <c r="C225" s="310">
        <f>'B) D RI'!S226</f>
        <v>77</v>
      </c>
      <c r="D225" s="159">
        <f>'B) D RI'!AA226</f>
        <v>7030</v>
      </c>
      <c r="E225" s="308">
        <f>'D) Ecrêtage'!C224</f>
        <v>203622.90168831171</v>
      </c>
      <c r="F225" s="312">
        <f>'E) Fact soc'!G230</f>
        <v>4213510.0680503491</v>
      </c>
      <c r="G225" s="309">
        <f>'H) Péréquation directe'!I235</f>
        <v>-1981444.2866234905</v>
      </c>
      <c r="H225" s="312">
        <f>+'I) Dépenses thématiques'!O224</f>
        <v>-1558656.6774928318</v>
      </c>
      <c r="I225" s="309">
        <f>'K) Plafonnement aide'!J224</f>
        <v>0</v>
      </c>
      <c r="J225" s="312">
        <f>'J) Plafonnement effort'!I224</f>
        <v>0</v>
      </c>
      <c r="K225" s="309">
        <f>'L) Plafonnement taux'!Q225</f>
        <v>0</v>
      </c>
      <c r="L225" s="307">
        <f t="shared" si="16"/>
        <v>673409.10393402679</v>
      </c>
      <c r="M225" s="227">
        <f>'M) Police'!O225</f>
        <v>242764.43144350738</v>
      </c>
      <c r="N225" s="227">
        <f t="shared" si="12"/>
        <v>916173.53537753411</v>
      </c>
      <c r="O225" s="399">
        <f t="shared" si="13"/>
        <v>-3540100.9641163223</v>
      </c>
      <c r="P225" s="314"/>
      <c r="Q225" s="493"/>
    </row>
    <row r="226" spans="1:17" s="160" customFormat="1" x14ac:dyDescent="0.25">
      <c r="A226" s="157">
        <f>'B) D RI'!A227</f>
        <v>5758</v>
      </c>
      <c r="B226" s="158" t="str">
        <f>'B) D RI'!B227</f>
        <v>La Praz</v>
      </c>
      <c r="C226" s="310">
        <f>'B) D RI'!S227</f>
        <v>83</v>
      </c>
      <c r="D226" s="159">
        <f>'B) D RI'!AA227</f>
        <v>165</v>
      </c>
      <c r="E226" s="308">
        <f>'D) Ecrêtage'!C225</f>
        <v>4513.7940160642565</v>
      </c>
      <c r="F226" s="312">
        <f>'E) Fact soc'!G231</f>
        <v>96198.371629264817</v>
      </c>
      <c r="G226" s="309">
        <f>'H) Péréquation directe'!I236</f>
        <v>-19392.469022454068</v>
      </c>
      <c r="H226" s="312">
        <f>+'I) Dépenses thématiques'!O225</f>
        <v>-31696.260957747658</v>
      </c>
      <c r="I226" s="309">
        <f>'K) Plafonnement aide'!J225</f>
        <v>0</v>
      </c>
      <c r="J226" s="312">
        <f>'J) Plafonnement effort'!I225</f>
        <v>0</v>
      </c>
      <c r="K226" s="309">
        <f>'L) Plafonnement taux'!Q226</f>
        <v>0</v>
      </c>
      <c r="L226" s="307">
        <f t="shared" si="16"/>
        <v>45109.641649063095</v>
      </c>
      <c r="M226" s="227">
        <f>'M) Police'!O226</f>
        <v>13752.317783423443</v>
      </c>
      <c r="N226" s="227">
        <f t="shared" si="12"/>
        <v>58861.959432486539</v>
      </c>
      <c r="O226" s="399">
        <f t="shared" si="13"/>
        <v>-51088.729980201722</v>
      </c>
      <c r="P226" s="314"/>
      <c r="Q226" s="493"/>
    </row>
    <row r="227" spans="1:17" s="160" customFormat="1" x14ac:dyDescent="0.25">
      <c r="A227" s="157">
        <f>'B) D RI'!A228</f>
        <v>5759</v>
      </c>
      <c r="B227" s="158" t="str">
        <f>'B) D RI'!B228</f>
        <v>Premier</v>
      </c>
      <c r="C227" s="310">
        <f>'B) D RI'!S228</f>
        <v>81</v>
      </c>
      <c r="D227" s="159">
        <f>'B) D RI'!AA228</f>
        <v>215</v>
      </c>
      <c r="E227" s="308">
        <f>'D) Ecrêtage'!C226</f>
        <v>5266.2719753086421</v>
      </c>
      <c r="F227" s="312">
        <f>'E) Fact soc'!G232</f>
        <v>89865.879315744372</v>
      </c>
      <c r="G227" s="309">
        <f>'H) Péréquation directe'!I237</f>
        <v>-48045.258922796173</v>
      </c>
      <c r="H227" s="312">
        <f>+'I) Dépenses thématiques'!O226</f>
        <v>-51720.008965546047</v>
      </c>
      <c r="I227" s="309">
        <f>'K) Plafonnement aide'!J226</f>
        <v>0</v>
      </c>
      <c r="J227" s="312">
        <f>'J) Plafonnement effort'!I226</f>
        <v>0</v>
      </c>
      <c r="K227" s="309">
        <f>'L) Plafonnement taux'!Q227</f>
        <v>0</v>
      </c>
      <c r="L227" s="307">
        <f t="shared" si="16"/>
        <v>-9899.3885725978471</v>
      </c>
      <c r="M227" s="227">
        <f>'M) Police'!O227</f>
        <v>16099.195995936196</v>
      </c>
      <c r="N227" s="227">
        <f t="shared" si="12"/>
        <v>6199.8074233383486</v>
      </c>
      <c r="O227" s="399">
        <f t="shared" si="13"/>
        <v>-99765.26788834222</v>
      </c>
      <c r="P227" s="314"/>
      <c r="Q227" s="493"/>
    </row>
    <row r="228" spans="1:17" s="160" customFormat="1" x14ac:dyDescent="0.25">
      <c r="A228" s="157">
        <f>'B) D RI'!A229</f>
        <v>5760</v>
      </c>
      <c r="B228" s="158" t="str">
        <f>'B) D RI'!B229</f>
        <v>Rances</v>
      </c>
      <c r="C228" s="310">
        <f>'B) D RI'!S229</f>
        <v>78</v>
      </c>
      <c r="D228" s="159">
        <f>'B) D RI'!AA229</f>
        <v>505</v>
      </c>
      <c r="E228" s="308">
        <f>'D) Ecrêtage'!C227</f>
        <v>12393.154658119658</v>
      </c>
      <c r="F228" s="312">
        <f>'E) Fact soc'!G233</f>
        <v>198380.46947498462</v>
      </c>
      <c r="G228" s="309">
        <f>'H) Péréquation directe'!I238</f>
        <v>-90228.428507242323</v>
      </c>
      <c r="H228" s="312">
        <f>+'I) Dépenses thématiques'!O227</f>
        <v>-118615.48297533378</v>
      </c>
      <c r="I228" s="309">
        <f>'K) Plafonnement aide'!J227</f>
        <v>0</v>
      </c>
      <c r="J228" s="312">
        <f>'J) Plafonnement effort'!I227</f>
        <v>0</v>
      </c>
      <c r="K228" s="309">
        <f>'L) Plafonnement taux'!Q228</f>
        <v>0</v>
      </c>
      <c r="L228" s="307">
        <f t="shared" si="16"/>
        <v>-10463.442007591482</v>
      </c>
      <c r="M228" s="227">
        <f>'M) Police'!O228</f>
        <v>37760.744423919568</v>
      </c>
      <c r="N228" s="227">
        <f t="shared" si="12"/>
        <v>27297.302416328086</v>
      </c>
      <c r="O228" s="399">
        <f t="shared" si="13"/>
        <v>-208843.91148257611</v>
      </c>
      <c r="P228" s="314"/>
      <c r="Q228" s="493"/>
    </row>
    <row r="229" spans="1:17" s="160" customFormat="1" x14ac:dyDescent="0.25">
      <c r="A229" s="157">
        <f>'B) D RI'!A230</f>
        <v>5761</v>
      </c>
      <c r="B229" s="158" t="str">
        <f>'B) D RI'!B230</f>
        <v>Romainmôtier-Envy</v>
      </c>
      <c r="C229" s="310">
        <f>'B) D RI'!S230</f>
        <v>81</v>
      </c>
      <c r="D229" s="159">
        <f>'B) D RI'!AA230</f>
        <v>535</v>
      </c>
      <c r="E229" s="308">
        <f>'D) Ecrêtage'!C228</f>
        <v>12300.346363636363</v>
      </c>
      <c r="F229" s="312">
        <f>'E) Fact soc'!G234</f>
        <v>252542.98191184737</v>
      </c>
      <c r="G229" s="309">
        <f>'H) Péréquation directe'!I239</f>
        <v>-156530.44942238284</v>
      </c>
      <c r="H229" s="312">
        <f>+'I) Dépenses thématiques'!O228</f>
        <v>-135311.33477002283</v>
      </c>
      <c r="I229" s="309">
        <f>'K) Plafonnement aide'!J228</f>
        <v>0</v>
      </c>
      <c r="J229" s="312">
        <f>'J) Plafonnement effort'!I228</f>
        <v>0</v>
      </c>
      <c r="K229" s="309">
        <f>'L) Plafonnement taux'!Q229</f>
        <v>0</v>
      </c>
      <c r="L229" s="307">
        <f t="shared" si="16"/>
        <v>-39298.802280558302</v>
      </c>
      <c r="M229" s="227">
        <f>'M) Police'!O229</f>
        <v>37033.835935007686</v>
      </c>
      <c r="N229" s="227">
        <f t="shared" si="12"/>
        <v>-2264.9663455506161</v>
      </c>
      <c r="O229" s="399">
        <f t="shared" si="13"/>
        <v>-291841.78419240564</v>
      </c>
      <c r="P229" s="314"/>
      <c r="Q229" s="493"/>
    </row>
    <row r="230" spans="1:17" s="160" customFormat="1" x14ac:dyDescent="0.25">
      <c r="A230" s="157">
        <f>'B) D RI'!A231</f>
        <v>5762</v>
      </c>
      <c r="B230" s="158" t="str">
        <f>'B) D RI'!B231</f>
        <v>Sergey</v>
      </c>
      <c r="C230" s="310">
        <f>'B) D RI'!S231</f>
        <v>78</v>
      </c>
      <c r="D230" s="159">
        <f>'B) D RI'!AA231</f>
        <v>145</v>
      </c>
      <c r="E230" s="308">
        <f>'D) Ecrêtage'!C229</f>
        <v>4008.7221794871789</v>
      </c>
      <c r="F230" s="312">
        <f>'E) Fact soc'!G235</f>
        <v>62495.94970040935</v>
      </c>
      <c r="G230" s="309">
        <f>'H) Péréquation directe'!I240</f>
        <v>-6051.2152451623115</v>
      </c>
      <c r="H230" s="312">
        <f>+'I) Dépenses thématiques'!O229</f>
        <v>-1517.384264829361</v>
      </c>
      <c r="I230" s="309">
        <f>'K) Plafonnement aide'!J229</f>
        <v>0</v>
      </c>
      <c r="J230" s="312">
        <f>'J) Plafonnement effort'!I229</f>
        <v>0</v>
      </c>
      <c r="K230" s="309">
        <f>'L) Plafonnement taux'!Q230</f>
        <v>0</v>
      </c>
      <c r="L230" s="307">
        <f t="shared" si="16"/>
        <v>54927.350190417681</v>
      </c>
      <c r="M230" s="227">
        <f>'M) Police'!O230</f>
        <v>12285.371113230547</v>
      </c>
      <c r="N230" s="227">
        <f t="shared" si="12"/>
        <v>67212.721303648228</v>
      </c>
      <c r="O230" s="399">
        <f t="shared" si="13"/>
        <v>-7568.5995099916727</v>
      </c>
      <c r="P230" s="314"/>
      <c r="Q230" s="493"/>
    </row>
    <row r="231" spans="1:17" s="160" customFormat="1" x14ac:dyDescent="0.25">
      <c r="A231" s="157">
        <f>'B) D RI'!A232</f>
        <v>5763</v>
      </c>
      <c r="B231" s="158" t="str">
        <f>'B) D RI'!B232</f>
        <v>Valeyres-sous-Rances</v>
      </c>
      <c r="C231" s="310">
        <f>'B) D RI'!S232</f>
        <v>68</v>
      </c>
      <c r="D231" s="159">
        <f>'B) D RI'!AA232</f>
        <v>620</v>
      </c>
      <c r="E231" s="308">
        <f>'D) Ecrêtage'!C230</f>
        <v>21916.016764705884</v>
      </c>
      <c r="F231" s="312">
        <f>'E) Fact soc'!G236</f>
        <v>351134.31905957498</v>
      </c>
      <c r="G231" s="309">
        <f>'H) Péréquation directe'!I241</f>
        <v>226902.25184272492</v>
      </c>
      <c r="H231" s="312">
        <f>+'I) Dépenses thématiques'!O230</f>
        <v>-99575.826502113487</v>
      </c>
      <c r="I231" s="309">
        <f>'K) Plafonnement aide'!J230</f>
        <v>0</v>
      </c>
      <c r="J231" s="312">
        <f>'J) Plafonnement effort'!I230</f>
        <v>0</v>
      </c>
      <c r="K231" s="309">
        <f>'L) Plafonnement taux'!Q231</f>
        <v>0</v>
      </c>
      <c r="L231" s="307">
        <f t="shared" si="16"/>
        <v>478460.74440018635</v>
      </c>
      <c r="M231" s="227">
        <f>'M) Police'!O231</f>
        <v>67157.506025641851</v>
      </c>
      <c r="N231" s="227">
        <f t="shared" si="12"/>
        <v>545618.25042582816</v>
      </c>
      <c r="O231" s="399">
        <f t="shared" si="13"/>
        <v>127326.42534061143</v>
      </c>
      <c r="P231" s="314"/>
      <c r="Q231" s="493"/>
    </row>
    <row r="232" spans="1:17" s="160" customFormat="1" x14ac:dyDescent="0.25">
      <c r="A232" s="157">
        <f>'B) D RI'!A233</f>
        <v>5764</v>
      </c>
      <c r="B232" s="158" t="str">
        <f>'B) D RI'!B233</f>
        <v>Vallorbe</v>
      </c>
      <c r="C232" s="310">
        <f>'B) D RI'!S233</f>
        <v>73</v>
      </c>
      <c r="D232" s="159">
        <f>'B) D RI'!AA233</f>
        <v>3857</v>
      </c>
      <c r="E232" s="308">
        <f>'D) Ecrêtage'!C231</f>
        <v>88041.024794520548</v>
      </c>
      <c r="F232" s="312">
        <f>'E) Fact soc'!G237</f>
        <v>2288638.4919502418</v>
      </c>
      <c r="G232" s="309">
        <f>'H) Péréquation directe'!I242</f>
        <v>-1475841.5313847905</v>
      </c>
      <c r="H232" s="312">
        <f>+'I) Dépenses thématiques'!O231</f>
        <v>-2233171.5401521726</v>
      </c>
      <c r="I232" s="309">
        <f>'K) Plafonnement aide'!J231</f>
        <v>0</v>
      </c>
      <c r="J232" s="312">
        <f>'J) Plafonnement effort'!I231</f>
        <v>0</v>
      </c>
      <c r="K232" s="309">
        <f>'L) Plafonnement taux'!Q232</f>
        <v>0</v>
      </c>
      <c r="L232" s="307">
        <f t="shared" si="16"/>
        <v>-1420374.5795867213</v>
      </c>
      <c r="M232" s="227">
        <f>'M) Police'!O232</f>
        <v>267613.98240193789</v>
      </c>
      <c r="N232" s="227">
        <f t="shared" si="12"/>
        <v>-1152760.5971847833</v>
      </c>
      <c r="O232" s="399">
        <f t="shared" si="13"/>
        <v>-3709013.0715369629</v>
      </c>
      <c r="P232" s="314"/>
      <c r="Q232" s="493"/>
    </row>
    <row r="233" spans="1:17" s="160" customFormat="1" x14ac:dyDescent="0.25">
      <c r="A233" s="157">
        <f>'B) D RI'!A234</f>
        <v>5765</v>
      </c>
      <c r="B233" s="158" t="str">
        <f>'B) D RI'!B234</f>
        <v>Vaulion</v>
      </c>
      <c r="C233" s="310">
        <f>'B) D RI'!S234</f>
        <v>81</v>
      </c>
      <c r="D233" s="159">
        <f>'B) D RI'!AA234</f>
        <v>496</v>
      </c>
      <c r="E233" s="308">
        <f>'D) Ecrêtage'!C232</f>
        <v>11969.433580246912</v>
      </c>
      <c r="F233" s="312">
        <f>'E) Fact soc'!G238</f>
        <v>225929.08548712567</v>
      </c>
      <c r="G233" s="309">
        <f>'H) Péréquation directe'!I243</f>
        <v>-119104.2297086913</v>
      </c>
      <c r="H233" s="312">
        <f>+'I) Dépenses thématiques'!O232</f>
        <v>-131970.3077729895</v>
      </c>
      <c r="I233" s="309">
        <f>'K) Plafonnement aide'!J232</f>
        <v>0</v>
      </c>
      <c r="J233" s="312">
        <f>'J) Plafonnement effort'!I232</f>
        <v>0</v>
      </c>
      <c r="K233" s="309">
        <f>'L) Plafonnement taux'!Q233</f>
        <v>0</v>
      </c>
      <c r="L233" s="307">
        <f t="shared" si="16"/>
        <v>-25145.451994555129</v>
      </c>
      <c r="M233" s="227">
        <f>'M) Police'!O233</f>
        <v>36639.946831161353</v>
      </c>
      <c r="N233" s="227">
        <f t="shared" si="12"/>
        <v>11494.494836606224</v>
      </c>
      <c r="O233" s="399">
        <f t="shared" si="13"/>
        <v>-251074.5374816808</v>
      </c>
      <c r="P233" s="314"/>
      <c r="Q233" s="493"/>
    </row>
    <row r="234" spans="1:17" s="160" customFormat="1" x14ac:dyDescent="0.25">
      <c r="A234" s="157">
        <f>'B) D RI'!A235</f>
        <v>5766</v>
      </c>
      <c r="B234" s="158" t="str">
        <f>'B) D RI'!B235</f>
        <v>Vuiteboeuf</v>
      </c>
      <c r="C234" s="310">
        <f>'B) D RI'!S235</f>
        <v>77</v>
      </c>
      <c r="D234" s="159">
        <f>'B) D RI'!AA235</f>
        <v>576</v>
      </c>
      <c r="E234" s="308">
        <f>'D) Ecrêtage'!C233</f>
        <v>13963.194675324676</v>
      </c>
      <c r="F234" s="312">
        <f>'E) Fact soc'!G239</f>
        <v>252685.96149867956</v>
      </c>
      <c r="G234" s="309">
        <f>'H) Péréquation directe'!I244</f>
        <v>-102425.44293869013</v>
      </c>
      <c r="H234" s="312">
        <f>+'I) Dépenses thématiques'!O233</f>
        <v>-96347.658314508211</v>
      </c>
      <c r="I234" s="309">
        <f>'K) Plafonnement aide'!J233</f>
        <v>0</v>
      </c>
      <c r="J234" s="312">
        <f>'J) Plafonnement effort'!I233</f>
        <v>0</v>
      </c>
      <c r="K234" s="309">
        <f>'L) Plafonnement taux'!Q234</f>
        <v>0</v>
      </c>
      <c r="L234" s="307">
        <f t="shared" si="16"/>
        <v>53912.860245481221</v>
      </c>
      <c r="M234" s="227">
        <f>'M) Police'!O234</f>
        <v>42375.000944595078</v>
      </c>
      <c r="N234" s="227">
        <f t="shared" si="12"/>
        <v>96287.861190076306</v>
      </c>
      <c r="O234" s="399">
        <f t="shared" si="13"/>
        <v>-198773.10125319834</v>
      </c>
      <c r="P234" s="314"/>
      <c r="Q234" s="493"/>
    </row>
    <row r="235" spans="1:17" s="160" customFormat="1" x14ac:dyDescent="0.25">
      <c r="A235" s="157">
        <f>'B) D RI'!A236</f>
        <v>5785</v>
      </c>
      <c r="B235" s="158" t="str">
        <f>'B) D RI'!B236</f>
        <v>Corcelles-le-Jorat</v>
      </c>
      <c r="C235" s="310">
        <f>'B) D RI'!S236</f>
        <v>77</v>
      </c>
      <c r="D235" s="159">
        <f>'B) D RI'!AA236</f>
        <v>458</v>
      </c>
      <c r="E235" s="308">
        <f>'D) Ecrêtage'!C234</f>
        <v>16982.100779220782</v>
      </c>
      <c r="F235" s="312">
        <f>'E) Fact soc'!G240</f>
        <v>294991.75356166507</v>
      </c>
      <c r="G235" s="309">
        <f>'H) Péréquation directe'!I245</f>
        <v>174206.92988789707</v>
      </c>
      <c r="H235" s="312">
        <f>+'I) Dépenses thématiques'!O234</f>
        <v>-75632.193458276291</v>
      </c>
      <c r="I235" s="309">
        <f>'K) Plafonnement aide'!J234</f>
        <v>0</v>
      </c>
      <c r="J235" s="312">
        <f>'J) Plafonnement effort'!I234</f>
        <v>0</v>
      </c>
      <c r="K235" s="309">
        <f>'L) Plafonnement taux'!Q235</f>
        <v>0</v>
      </c>
      <c r="L235" s="307">
        <f t="shared" si="16"/>
        <v>393566.4899912859</v>
      </c>
      <c r="M235" s="227">
        <f>'M) Police'!O235</f>
        <v>52374.986067987811</v>
      </c>
      <c r="N235" s="227">
        <f t="shared" si="12"/>
        <v>445941.4760592737</v>
      </c>
      <c r="O235" s="399">
        <f t="shared" si="13"/>
        <v>98574.736429620782</v>
      </c>
      <c r="P235" s="314"/>
      <c r="Q235" s="493"/>
    </row>
    <row r="236" spans="1:17" s="160" customFormat="1" x14ac:dyDescent="0.25">
      <c r="A236" s="157">
        <f>'B) D RI'!A237</f>
        <v>5788</v>
      </c>
      <c r="B236" s="158" t="str">
        <f>'B) D RI'!B237</f>
        <v>Essertes</v>
      </c>
      <c r="C236" s="310">
        <f>'B) D RI'!S237</f>
        <v>72</v>
      </c>
      <c r="D236" s="159">
        <f>'B) D RI'!AA237</f>
        <v>380</v>
      </c>
      <c r="E236" s="308">
        <f>'D) Ecrêtage'!C235</f>
        <v>12373.296527777777</v>
      </c>
      <c r="F236" s="312">
        <f>'E) Fact soc'!G241</f>
        <v>231442.62027811864</v>
      </c>
      <c r="G236" s="309">
        <f>'H) Péréquation directe'!I246</f>
        <v>86219.040369582828</v>
      </c>
      <c r="H236" s="312">
        <f>+'I) Dépenses thématiques'!O235</f>
        <v>-31845.579441489564</v>
      </c>
      <c r="I236" s="309">
        <f>'K) Plafonnement aide'!J235</f>
        <v>0</v>
      </c>
      <c r="J236" s="312">
        <f>'J) Plafonnement effort'!I235</f>
        <v>0</v>
      </c>
      <c r="K236" s="309">
        <f>'L) Plafonnement taux'!Q236</f>
        <v>0</v>
      </c>
      <c r="L236" s="307">
        <f t="shared" si="16"/>
        <v>285816.08120621194</v>
      </c>
      <c r="M236" s="227">
        <f>'M) Police'!O236</f>
        <v>37385.164758143976</v>
      </c>
      <c r="N236" s="227">
        <f t="shared" si="12"/>
        <v>323201.24596435588</v>
      </c>
      <c r="O236" s="399">
        <f t="shared" si="13"/>
        <v>54373.460928093264</v>
      </c>
      <c r="P236" s="314"/>
      <c r="Q236" s="493"/>
    </row>
    <row r="237" spans="1:17" s="160" customFormat="1" x14ac:dyDescent="0.25">
      <c r="A237" s="157">
        <f>'B) D RI'!A238</f>
        <v>5790</v>
      </c>
      <c r="B237" s="158" t="str">
        <f>'B) D RI'!B238</f>
        <v>Maracon</v>
      </c>
      <c r="C237" s="310">
        <f>'B) D RI'!S238</f>
        <v>76</v>
      </c>
      <c r="D237" s="159">
        <f>'B) D RI'!AA238</f>
        <v>538</v>
      </c>
      <c r="E237" s="308">
        <f>'D) Ecrêtage'!C236</f>
        <v>14432.888421052632</v>
      </c>
      <c r="F237" s="312">
        <f>'E) Fact soc'!G242</f>
        <v>333771.81783047819</v>
      </c>
      <c r="G237" s="309">
        <f>'H) Péréquation directe'!I247</f>
        <v>-28574.657858833438</v>
      </c>
      <c r="H237" s="312">
        <f>+'I) Dépenses thématiques'!O236</f>
        <v>-96862.788250611717</v>
      </c>
      <c r="I237" s="309">
        <f>'K) Plafonnement aide'!J236</f>
        <v>0</v>
      </c>
      <c r="J237" s="312">
        <f>'J) Plafonnement effort'!I236</f>
        <v>0</v>
      </c>
      <c r="K237" s="309">
        <f>'L) Plafonnement taux'!Q237</f>
        <v>0</v>
      </c>
      <c r="L237" s="307">
        <f t="shared" si="16"/>
        <v>208334.37172103304</v>
      </c>
      <c r="M237" s="227">
        <f>'M) Police'!O237</f>
        <v>43921.226356276442</v>
      </c>
      <c r="N237" s="227">
        <f t="shared" si="12"/>
        <v>252255.59807730949</v>
      </c>
      <c r="O237" s="399">
        <f t="shared" si="13"/>
        <v>-125437.44610944515</v>
      </c>
      <c r="P237" s="314"/>
      <c r="Q237" s="493"/>
    </row>
    <row r="238" spans="1:17" s="160" customFormat="1" x14ac:dyDescent="0.25">
      <c r="A238" s="157">
        <f>'B) D RI'!A239</f>
        <v>5792</v>
      </c>
      <c r="B238" s="158" t="str">
        <f>'B) D RI'!B239</f>
        <v>Montpreveyres</v>
      </c>
      <c r="C238" s="310">
        <f>'B) D RI'!S239</f>
        <v>77</v>
      </c>
      <c r="D238" s="159">
        <f>'B) D RI'!AA239</f>
        <v>657</v>
      </c>
      <c r="E238" s="308">
        <f>'D) Ecrêtage'!C237</f>
        <v>20144.698311688313</v>
      </c>
      <c r="F238" s="312">
        <f>'E) Fact soc'!G243</f>
        <v>356510.59103289084</v>
      </c>
      <c r="G238" s="309">
        <f>'H) Péréquation directe'!I248</f>
        <v>66575.249611900188</v>
      </c>
      <c r="H238" s="312">
        <f>+'I) Dépenses thématiques'!O237</f>
        <v>-127477.44063610658</v>
      </c>
      <c r="I238" s="309">
        <f>'K) Plafonnement aide'!J237</f>
        <v>0</v>
      </c>
      <c r="J238" s="312">
        <f>'J) Plafonnement effort'!I237</f>
        <v>0</v>
      </c>
      <c r="K238" s="309">
        <f>'L) Plafonnement taux'!Q238</f>
        <v>0</v>
      </c>
      <c r="L238" s="307">
        <f t="shared" si="16"/>
        <v>295608.40000868443</v>
      </c>
      <c r="M238" s="227">
        <f>'M) Police'!O238</f>
        <v>61249.028982515607</v>
      </c>
      <c r="N238" s="227">
        <f t="shared" si="12"/>
        <v>356857.42899120005</v>
      </c>
      <c r="O238" s="399">
        <f t="shared" si="13"/>
        <v>-60902.19102420639</v>
      </c>
      <c r="P238" s="314"/>
      <c r="Q238" s="493"/>
    </row>
    <row r="239" spans="1:17" s="160" customFormat="1" x14ac:dyDescent="0.25">
      <c r="A239" s="157">
        <f>'B) D RI'!A240</f>
        <v>5798</v>
      </c>
      <c r="B239" s="158" t="str">
        <f>'B) D RI'!B240</f>
        <v>Ropraz</v>
      </c>
      <c r="C239" s="310">
        <f>'B) D RI'!S240</f>
        <v>77.5</v>
      </c>
      <c r="D239" s="159">
        <f>'B) D RI'!AA240</f>
        <v>488</v>
      </c>
      <c r="E239" s="308">
        <f>'D) Ecrêtage'!C238</f>
        <v>14372.607741935482</v>
      </c>
      <c r="F239" s="312">
        <f>'E) Fact soc'!G244</f>
        <v>219484.49404045855</v>
      </c>
      <c r="G239" s="309">
        <f>'H) Péréquation directe'!I249</f>
        <v>21145.956026323605</v>
      </c>
      <c r="H239" s="312">
        <f>+'I) Dépenses thématiques'!O238</f>
        <v>-55343.619593835429</v>
      </c>
      <c r="I239" s="309">
        <f>'K) Plafonnement aide'!J238</f>
        <v>0</v>
      </c>
      <c r="J239" s="312">
        <f>'J) Plafonnement effort'!I238</f>
        <v>0</v>
      </c>
      <c r="K239" s="309">
        <f>'L) Plafonnement taux'!Q239</f>
        <v>0</v>
      </c>
      <c r="L239" s="307">
        <f t="shared" si="16"/>
        <v>185286.83047294672</v>
      </c>
      <c r="M239" s="227">
        <f>'M) Police'!O239</f>
        <v>43791.812492742603</v>
      </c>
      <c r="N239" s="227">
        <f t="shared" si="12"/>
        <v>229078.64296568933</v>
      </c>
      <c r="O239" s="399">
        <f t="shared" si="13"/>
        <v>-34197.663567511823</v>
      </c>
      <c r="P239" s="314"/>
      <c r="Q239" s="493"/>
    </row>
    <row r="240" spans="1:17" s="160" customFormat="1" x14ac:dyDescent="0.25">
      <c r="A240" s="157">
        <f>'B) D RI'!A241</f>
        <v>5799</v>
      </c>
      <c r="B240" s="158" t="str">
        <f>'B) D RI'!B241</f>
        <v>Servion</v>
      </c>
      <c r="C240" s="310">
        <f>'B) D RI'!S241</f>
        <v>69</v>
      </c>
      <c r="D240" s="159">
        <f>'B) D RI'!AA241</f>
        <v>1997</v>
      </c>
      <c r="E240" s="308">
        <f>'D) Ecrêtage'!C239</f>
        <v>71130.218550724647</v>
      </c>
      <c r="F240" s="312">
        <f>'E) Fact soc'!G245</f>
        <v>1267341.143629571</v>
      </c>
      <c r="G240" s="309">
        <f>'H) Péréquation directe'!I250</f>
        <v>513595.81857270352</v>
      </c>
      <c r="H240" s="312">
        <f>+'I) Dépenses thématiques'!O239</f>
        <v>-246716.32745178361</v>
      </c>
      <c r="I240" s="309">
        <f>'K) Plafonnement aide'!J239</f>
        <v>0</v>
      </c>
      <c r="J240" s="312">
        <f>'J) Plafonnement effort'!I239</f>
        <v>0</v>
      </c>
      <c r="K240" s="309">
        <f>'L) Plafonnement taux'!Q240</f>
        <v>0</v>
      </c>
      <c r="L240" s="307">
        <f t="shared" si="16"/>
        <v>1534220.6347504908</v>
      </c>
      <c r="M240" s="227">
        <f>'M) Police'!O240</f>
        <v>214849.60440021771</v>
      </c>
      <c r="N240" s="227">
        <f t="shared" si="12"/>
        <v>1749070.2391507085</v>
      </c>
      <c r="O240" s="399">
        <f t="shared" si="13"/>
        <v>266879.49112091993</v>
      </c>
      <c r="P240" s="314"/>
      <c r="Q240" s="493"/>
    </row>
    <row r="241" spans="1:17" s="160" customFormat="1" x14ac:dyDescent="0.25">
      <c r="A241" s="157">
        <f>'B) D RI'!A242</f>
        <v>5803</v>
      </c>
      <c r="B241" s="158" t="str">
        <f>'B) D RI'!B242</f>
        <v>Vulliens</v>
      </c>
      <c r="C241" s="310">
        <f>'B) D RI'!S242</f>
        <v>78</v>
      </c>
      <c r="D241" s="159">
        <f>'B) D RI'!AA242</f>
        <v>614</v>
      </c>
      <c r="E241" s="308">
        <f>'D) Ecrêtage'!C240</f>
        <v>17471.95461538462</v>
      </c>
      <c r="F241" s="312">
        <f>'E) Fact soc'!G246</f>
        <v>266904.68023783161</v>
      </c>
      <c r="G241" s="309">
        <f>'H) Péréquation directe'!I251</f>
        <v>-3704.2141411641496</v>
      </c>
      <c r="H241" s="312">
        <f>+'I) Dépenses thématiques'!O240</f>
        <v>-104001.34396085085</v>
      </c>
      <c r="I241" s="309">
        <f>'K) Plafonnement aide'!J240</f>
        <v>0</v>
      </c>
      <c r="J241" s="312">
        <f>'J) Plafonnement effort'!I240</f>
        <v>0</v>
      </c>
      <c r="K241" s="309">
        <f>'L) Plafonnement taux'!Q241</f>
        <v>0</v>
      </c>
      <c r="L241" s="307">
        <f t="shared" si="16"/>
        <v>159199.12213581661</v>
      </c>
      <c r="M241" s="227">
        <f>'M) Police'!O241</f>
        <v>53087.962710054802</v>
      </c>
      <c r="N241" s="227">
        <f t="shared" si="12"/>
        <v>212287.0848458714</v>
      </c>
      <c r="O241" s="399">
        <f t="shared" si="13"/>
        <v>-107705.558102015</v>
      </c>
      <c r="P241" s="314"/>
      <c r="Q241" s="493"/>
    </row>
    <row r="242" spans="1:17" s="160" customFormat="1" x14ac:dyDescent="0.25">
      <c r="A242" s="157">
        <f>'B) D RI'!A243</f>
        <v>5804</v>
      </c>
      <c r="B242" s="158" t="str">
        <f>'B) D RI'!B243</f>
        <v>Jorat-Menthue</v>
      </c>
      <c r="C242" s="310">
        <f>'B) D RI'!S243</f>
        <v>72</v>
      </c>
      <c r="D242" s="159">
        <f>'B) D RI'!AA243</f>
        <v>1591</v>
      </c>
      <c r="E242" s="308">
        <f>'D) Ecrêtage'!C241</f>
        <v>44252.610972222225</v>
      </c>
      <c r="F242" s="312">
        <f>'E) Fact soc'!G247</f>
        <v>740529.7434254376</v>
      </c>
      <c r="G242" s="309">
        <f>'H) Péréquation directe'!I252</f>
        <v>-78775.643015543232</v>
      </c>
      <c r="H242" s="312">
        <f>+'I) Dépenses thématiques'!O241</f>
        <v>-1190850.9560272719</v>
      </c>
      <c r="I242" s="309">
        <f>'K) Plafonnement aide'!J241</f>
        <v>0</v>
      </c>
      <c r="J242" s="312">
        <f>'J) Plafonnement effort'!I241</f>
        <v>0</v>
      </c>
      <c r="K242" s="309">
        <f>'L) Plafonnement taux'!Q242</f>
        <v>0</v>
      </c>
      <c r="L242" s="307">
        <f>F242+G242+H242+I242+J242+K242</f>
        <v>-529096.85561737756</v>
      </c>
      <c r="M242" s="227">
        <f>'M) Police'!O242</f>
        <v>133697.87492522877</v>
      </c>
      <c r="N242" s="227">
        <f t="shared" si="12"/>
        <v>-395398.98069214879</v>
      </c>
      <c r="O242" s="399">
        <f t="shared" si="13"/>
        <v>-1269626.5990428152</v>
      </c>
      <c r="P242" s="314"/>
      <c r="Q242" s="493"/>
    </row>
    <row r="243" spans="1:17" s="160" customFormat="1" x14ac:dyDescent="0.25">
      <c r="A243" s="157">
        <f>'B) D RI'!A244</f>
        <v>5805</v>
      </c>
      <c r="B243" s="158" t="str">
        <f>'B) D RI'!B244</f>
        <v>Oron</v>
      </c>
      <c r="C243" s="310">
        <f>'B) D RI'!S244</f>
        <v>69</v>
      </c>
      <c r="D243" s="159">
        <f>'B) D RI'!AA244</f>
        <v>5669</v>
      </c>
      <c r="E243" s="308">
        <f>'D) Ecrêtage'!C242</f>
        <v>158737.86322793149</v>
      </c>
      <c r="F243" s="312">
        <f>'E) Fact soc'!G248</f>
        <v>3014928.6689878069</v>
      </c>
      <c r="G243" s="309">
        <f>'H) Péréquation directe'!I253</f>
        <v>-1105433.8953294479</v>
      </c>
      <c r="H243" s="312">
        <f>+'I) Dépenses thématiques'!O242</f>
        <v>-794074.48806790938</v>
      </c>
      <c r="I243" s="309">
        <f>'K) Plafonnement aide'!J242</f>
        <v>0</v>
      </c>
      <c r="J243" s="312">
        <f>'J) Plafonnement effort'!I242</f>
        <v>0</v>
      </c>
      <c r="K243" s="309">
        <f>'L) Plafonnement taux'!Q243</f>
        <v>0</v>
      </c>
      <c r="L243" s="307">
        <f>F243+G243+H243+I243+J243+K243</f>
        <v>1115420.2855904496</v>
      </c>
      <c r="M243" s="227">
        <f>'M) Police'!O243</f>
        <v>478573.52288795513</v>
      </c>
      <c r="N243" s="227">
        <f t="shared" si="12"/>
        <v>1593993.8084784048</v>
      </c>
      <c r="O243" s="399">
        <f t="shared" si="13"/>
        <v>-1899508.3833973573</v>
      </c>
      <c r="P243" s="314"/>
      <c r="Q243" s="493"/>
    </row>
    <row r="244" spans="1:17" s="160" customFormat="1" x14ac:dyDescent="0.25">
      <c r="A244" s="157">
        <f>'B) D RI'!A245</f>
        <v>5806</v>
      </c>
      <c r="B244" s="158" t="str">
        <f>'B) D RI'!B245</f>
        <v>Jorat-Mézières</v>
      </c>
      <c r="C244" s="310">
        <f>'B) D RI'!S245</f>
        <v>76</v>
      </c>
      <c r="D244" s="159">
        <f>'B) D RI'!AA245</f>
        <v>2949</v>
      </c>
      <c r="E244" s="308">
        <f>'D) Ecrêtage'!C243</f>
        <v>92100.572236842127</v>
      </c>
      <c r="F244" s="312">
        <f>'E) Fact soc'!G249</f>
        <v>1533111.8792992453</v>
      </c>
      <c r="G244" s="309">
        <f>'H) Péréquation directe'!I254</f>
        <v>-40485.24606956495</v>
      </c>
      <c r="H244" s="312">
        <f>+'I) Dépenses thématiques'!O243</f>
        <v>-345188.72061307245</v>
      </c>
      <c r="I244" s="309">
        <f>'K) Plafonnement aide'!J243</f>
        <v>0</v>
      </c>
      <c r="J244" s="312">
        <f>'J) Plafonnement effort'!I243</f>
        <v>0</v>
      </c>
      <c r="K244" s="309">
        <f>'L) Plafonnement taux'!Q244</f>
        <v>0</v>
      </c>
      <c r="L244" s="307">
        <f>F244+G244+H244+I244+J244+K244</f>
        <v>1147437.912616608</v>
      </c>
      <c r="M244" s="227">
        <f>'M) Police'!O244</f>
        <v>280270.01681892498</v>
      </c>
      <c r="N244" s="227">
        <f t="shared" ref="N244" si="17">L244+M244</f>
        <v>1427707.929435533</v>
      </c>
      <c r="O244" s="399">
        <f t="shared" si="13"/>
        <v>-385673.9666826374</v>
      </c>
      <c r="P244" s="314"/>
      <c r="Q244" s="493"/>
    </row>
    <row r="245" spans="1:17" s="160" customFormat="1" x14ac:dyDescent="0.25">
      <c r="A245" s="157">
        <f>'B) D RI'!A246</f>
        <v>5812</v>
      </c>
      <c r="B245" s="158" t="str">
        <f>'B) D RI'!B246</f>
        <v>Champtauroz</v>
      </c>
      <c r="C245" s="310">
        <f>'B) D RI'!S246</f>
        <v>77</v>
      </c>
      <c r="D245" s="159">
        <f>'B) D RI'!AA246</f>
        <v>130</v>
      </c>
      <c r="E245" s="308">
        <f>'D) Ecrêtage'!C244</f>
        <v>3697.8804870129875</v>
      </c>
      <c r="F245" s="312">
        <f>'E) Fact soc'!G250</f>
        <v>85540.196112842095</v>
      </c>
      <c r="G245" s="309">
        <f>'H) Péréquation directe'!I255</f>
        <v>644.57297461686539</v>
      </c>
      <c r="H245" s="312">
        <f>+'I) Dépenses thématiques'!O244</f>
        <v>-13381.622931603975</v>
      </c>
      <c r="I245" s="309">
        <f>'K) Plafonnement aide'!J244</f>
        <v>0</v>
      </c>
      <c r="J245" s="312">
        <f>'J) Plafonnement effort'!I244</f>
        <v>0</v>
      </c>
      <c r="K245" s="309">
        <f>'L) Plafonnement taux'!Q245</f>
        <v>-764.78735964255941</v>
      </c>
      <c r="L245" s="307">
        <f t="shared" si="16"/>
        <v>72038.358796212415</v>
      </c>
      <c r="M245" s="227">
        <f>'M) Police'!O245</f>
        <v>11305.210554226414</v>
      </c>
      <c r="N245" s="227">
        <f t="shared" si="12"/>
        <v>83343.569350438833</v>
      </c>
      <c r="O245" s="399">
        <f t="shared" si="13"/>
        <v>-13501.83731662967</v>
      </c>
      <c r="P245" s="314"/>
      <c r="Q245" s="493"/>
    </row>
    <row r="246" spans="1:17" s="160" customFormat="1" x14ac:dyDescent="0.25">
      <c r="A246" s="157">
        <f>'B) D RI'!A247</f>
        <v>5813</v>
      </c>
      <c r="B246" s="158" t="str">
        <f>'B) D RI'!B247</f>
        <v>Chevroux</v>
      </c>
      <c r="C246" s="310">
        <f>'B) D RI'!S247</f>
        <v>70</v>
      </c>
      <c r="D246" s="159">
        <f>'B) D RI'!AA247</f>
        <v>492</v>
      </c>
      <c r="E246" s="308">
        <f>'D) Ecrêtage'!C245</f>
        <v>14717.819857142857</v>
      </c>
      <c r="F246" s="312">
        <f>'E) Fact soc'!G251</f>
        <v>236276.66440006034</v>
      </c>
      <c r="G246" s="309">
        <f>'H) Péréquation directe'!I256</f>
        <v>68365.54511603486</v>
      </c>
      <c r="H246" s="312">
        <f>+'I) Dépenses thématiques'!O245</f>
        <v>-50697.116600451242</v>
      </c>
      <c r="I246" s="309">
        <f>'K) Plafonnement aide'!J245</f>
        <v>0</v>
      </c>
      <c r="J246" s="312">
        <f>'J) Plafonnement effort'!I245</f>
        <v>0</v>
      </c>
      <c r="K246" s="309">
        <f>'L) Plafonnement taux'!Q246</f>
        <v>0</v>
      </c>
      <c r="L246" s="307">
        <f t="shared" si="16"/>
        <v>253945.092915644</v>
      </c>
      <c r="M246" s="227">
        <f>'M) Police'!O246</f>
        <v>44315.022413335602</v>
      </c>
      <c r="N246" s="227">
        <f t="shared" si="12"/>
        <v>298260.11532897962</v>
      </c>
      <c r="O246" s="399">
        <f t="shared" si="13"/>
        <v>17668.428515583619</v>
      </c>
      <c r="P246" s="314"/>
      <c r="Q246" s="493"/>
    </row>
    <row r="247" spans="1:17" s="160" customFormat="1" x14ac:dyDescent="0.25">
      <c r="A247" s="157">
        <f>'B) D RI'!A248</f>
        <v>5816</v>
      </c>
      <c r="B247" s="158" t="str">
        <f>'B) D RI'!B248</f>
        <v>Corcelles-près-Payerne</v>
      </c>
      <c r="C247" s="310">
        <f>'B) D RI'!S248</f>
        <v>70</v>
      </c>
      <c r="D247" s="159">
        <f>'B) D RI'!AA248</f>
        <v>2571</v>
      </c>
      <c r="E247" s="308">
        <f>'D) Ecrêtage'!C246</f>
        <v>60753.42418367348</v>
      </c>
      <c r="F247" s="312">
        <f>'E) Fact soc'!G252</f>
        <v>1321205.9238283176</v>
      </c>
      <c r="G247" s="309">
        <f>'H) Péréquation directe'!I257</f>
        <v>-634680.45972403185</v>
      </c>
      <c r="H247" s="312">
        <f>+'I) Dépenses thématiques'!O246</f>
        <v>-470115.05003277602</v>
      </c>
      <c r="I247" s="309">
        <f>'K) Plafonnement aide'!J246</f>
        <v>0</v>
      </c>
      <c r="J247" s="312">
        <f>'J) Plafonnement effort'!I246</f>
        <v>0</v>
      </c>
      <c r="K247" s="309">
        <f>'L) Plafonnement taux'!Q247</f>
        <v>0</v>
      </c>
      <c r="L247" s="307">
        <f t="shared" si="16"/>
        <v>216410.41407150967</v>
      </c>
      <c r="M247" s="227">
        <f>'M) Police'!O247</f>
        <v>182915.30476987822</v>
      </c>
      <c r="N247" s="227">
        <f t="shared" si="12"/>
        <v>399325.71884138789</v>
      </c>
      <c r="O247" s="399">
        <f t="shared" si="13"/>
        <v>-1104795.5097568079</v>
      </c>
      <c r="P247" s="314"/>
      <c r="Q247" s="493"/>
    </row>
    <row r="248" spans="1:17" s="160" customFormat="1" x14ac:dyDescent="0.25">
      <c r="A248" s="157">
        <f>'B) D RI'!A249</f>
        <v>5817</v>
      </c>
      <c r="B248" s="158" t="str">
        <f>'B) D RI'!B249</f>
        <v>Grandcour</v>
      </c>
      <c r="C248" s="310">
        <f>'B) D RI'!S249</f>
        <v>77</v>
      </c>
      <c r="D248" s="159">
        <f>'B) D RI'!AA249</f>
        <v>953</v>
      </c>
      <c r="E248" s="308">
        <f>'D) Ecrêtage'!C247</f>
        <v>21844.312857142857</v>
      </c>
      <c r="F248" s="312">
        <f>'E) Fact soc'!G253</f>
        <v>344885.36966232589</v>
      </c>
      <c r="G248" s="309">
        <f>'H) Péréquation directe'!I258</f>
        <v>-224164.1731652118</v>
      </c>
      <c r="H248" s="312">
        <f>+'I) Dépenses thématiques'!O247</f>
        <v>-150789.00217291637</v>
      </c>
      <c r="I248" s="309">
        <f>'K) Plafonnement aide'!J247</f>
        <v>0</v>
      </c>
      <c r="J248" s="312">
        <f>'J) Plafonnement effort'!I247</f>
        <v>0</v>
      </c>
      <c r="K248" s="309">
        <f>'L) Plafonnement taux'!Q248</f>
        <v>0</v>
      </c>
      <c r="L248" s="307">
        <f t="shared" si="16"/>
        <v>-30067.805675802287</v>
      </c>
      <c r="M248" s="227">
        <f>'M) Police'!O248</f>
        <v>66174.549537922081</v>
      </c>
      <c r="N248" s="227">
        <f t="shared" si="12"/>
        <v>36106.743862119794</v>
      </c>
      <c r="O248" s="399">
        <f t="shared" si="13"/>
        <v>-374953.17533812817</v>
      </c>
      <c r="P248" s="314"/>
      <c r="Q248" s="493"/>
    </row>
    <row r="249" spans="1:17" s="160" customFormat="1" x14ac:dyDescent="0.25">
      <c r="A249" s="157">
        <f>'B) D RI'!A250</f>
        <v>5819</v>
      </c>
      <c r="B249" s="158" t="str">
        <f>'B) D RI'!B250</f>
        <v>Henniez</v>
      </c>
      <c r="C249" s="310">
        <f>'B) D RI'!S250</f>
        <v>69</v>
      </c>
      <c r="D249" s="159">
        <f>'B) D RI'!AA250</f>
        <v>376</v>
      </c>
      <c r="E249" s="308">
        <f>'D) Ecrêtage'!C248</f>
        <v>12524.767971014497</v>
      </c>
      <c r="F249" s="312">
        <f>'E) Fact soc'!G254</f>
        <v>216048.28321543051</v>
      </c>
      <c r="G249" s="309">
        <f>'H) Péréquation directe'!I259</f>
        <v>105429.39157116972</v>
      </c>
      <c r="H249" s="312">
        <f>+'I) Dépenses thématiques'!O248</f>
        <v>-74973.755068083221</v>
      </c>
      <c r="I249" s="309">
        <f>'K) Plafonnement aide'!J248</f>
        <v>0</v>
      </c>
      <c r="J249" s="312">
        <f>'J) Plafonnement effort'!I248</f>
        <v>0</v>
      </c>
      <c r="K249" s="309">
        <f>'L) Plafonnement taux'!Q249</f>
        <v>0</v>
      </c>
      <c r="L249" s="307">
        <f t="shared" si="16"/>
        <v>246503.91971851699</v>
      </c>
      <c r="M249" s="227">
        <f>'M) Police'!O249</f>
        <v>37521.803502888819</v>
      </c>
      <c r="N249" s="227">
        <f t="shared" si="12"/>
        <v>284025.72322140582</v>
      </c>
      <c r="O249" s="399">
        <f t="shared" si="13"/>
        <v>30455.636503086498</v>
      </c>
      <c r="P249" s="314"/>
      <c r="Q249" s="493"/>
    </row>
    <row r="250" spans="1:17" s="160" customFormat="1" x14ac:dyDescent="0.25">
      <c r="A250" s="157">
        <f>'B) D RI'!A251</f>
        <v>5821</v>
      </c>
      <c r="B250" s="158" t="str">
        <f>'B) D RI'!B251</f>
        <v>Missy</v>
      </c>
      <c r="C250" s="310">
        <f>'B) D RI'!S251</f>
        <v>72</v>
      </c>
      <c r="D250" s="159">
        <f>'B) D RI'!AA251</f>
        <v>362</v>
      </c>
      <c r="E250" s="308">
        <f>'D) Ecrêtage'!C249</f>
        <v>8359.2275000000009</v>
      </c>
      <c r="F250" s="312">
        <f>'E) Fact soc'!G255</f>
        <v>124621.84411293354</v>
      </c>
      <c r="G250" s="309">
        <f>'H) Péréquation directe'!I260</f>
        <v>-56808.340967688913</v>
      </c>
      <c r="H250" s="312">
        <f>+'I) Dépenses thématiques'!O249</f>
        <v>-18397.400251509367</v>
      </c>
      <c r="I250" s="309">
        <f>'K) Plafonnement aide'!J249</f>
        <v>0</v>
      </c>
      <c r="J250" s="312">
        <f>'J) Plafonnement effort'!I249</f>
        <v>0</v>
      </c>
      <c r="K250" s="309">
        <f>'L) Plafonnement taux'!Q250</f>
        <v>0</v>
      </c>
      <c r="L250" s="307">
        <f t="shared" si="16"/>
        <v>49416.10289373526</v>
      </c>
      <c r="M250" s="227">
        <f>'M) Police'!O250</f>
        <v>25187.513440069808</v>
      </c>
      <c r="N250" s="227">
        <f t="shared" si="12"/>
        <v>74603.616333805068</v>
      </c>
      <c r="O250" s="399">
        <f t="shared" si="13"/>
        <v>-75205.741219198273</v>
      </c>
      <c r="P250" s="314"/>
      <c r="Q250" s="493"/>
    </row>
    <row r="251" spans="1:17" s="160" customFormat="1" x14ac:dyDescent="0.25">
      <c r="A251" s="157">
        <f>'B) D RI'!A252</f>
        <v>5822</v>
      </c>
      <c r="B251" s="158" t="str">
        <f>'B) D RI'!B252</f>
        <v>Payerne</v>
      </c>
      <c r="C251" s="310">
        <f>'B) D RI'!S252</f>
        <v>75</v>
      </c>
      <c r="D251" s="159">
        <f>'B) D RI'!AA252</f>
        <v>10072</v>
      </c>
      <c r="E251" s="308">
        <f>'D) Ecrêtage'!C250</f>
        <v>246662.05359999998</v>
      </c>
      <c r="F251" s="312">
        <f>'E) Fact soc'!G256</f>
        <v>4231175.2014104445</v>
      </c>
      <c r="G251" s="309">
        <f>'H) Péréquation directe'!I261</f>
        <v>-5304608.3465838786</v>
      </c>
      <c r="H251" s="312">
        <f>+'I) Dépenses thématiques'!O250</f>
        <v>-1687042.4696395826</v>
      </c>
      <c r="I251" s="309">
        <f>'K) Plafonnement aide'!J250</f>
        <v>0</v>
      </c>
      <c r="J251" s="312">
        <f>'J) Plafonnement effort'!I250</f>
        <v>0</v>
      </c>
      <c r="K251" s="309">
        <f>'L) Plafonnement taux'!Q251</f>
        <v>0</v>
      </c>
      <c r="L251" s="307">
        <f t="shared" si="16"/>
        <v>-2760475.6148130167</v>
      </c>
      <c r="M251" s="227">
        <f>'M) Police'!O251</f>
        <v>744352.13902908703</v>
      </c>
      <c r="N251" s="227">
        <f t="shared" si="12"/>
        <v>-2016123.4757839297</v>
      </c>
      <c r="O251" s="399">
        <f t="shared" si="13"/>
        <v>-6991650.8162234612</v>
      </c>
      <c r="P251" s="314"/>
      <c r="Q251" s="493"/>
    </row>
    <row r="252" spans="1:17" s="160" customFormat="1" x14ac:dyDescent="0.25">
      <c r="A252" s="157">
        <f>'B) D RI'!A253</f>
        <v>5827</v>
      </c>
      <c r="B252" s="158" t="str">
        <f>'B) D RI'!B253</f>
        <v>Trey</v>
      </c>
      <c r="C252" s="310">
        <f>'B) D RI'!S253</f>
        <v>80</v>
      </c>
      <c r="D252" s="159">
        <f>'B) D RI'!AA253</f>
        <v>285</v>
      </c>
      <c r="E252" s="308">
        <f>'D) Ecrêtage'!C251</f>
        <v>6768.899124999999</v>
      </c>
      <c r="F252" s="312">
        <f>'E) Fact soc'!G257</f>
        <v>109589.40734711097</v>
      </c>
      <c r="G252" s="309">
        <f>'H) Péréquation directe'!I262</f>
        <v>-69188.784032565571</v>
      </c>
      <c r="H252" s="312">
        <f>+'I) Dépenses thématiques'!O251</f>
        <v>-53583.076100842911</v>
      </c>
      <c r="I252" s="309">
        <f>'K) Plafonnement aide'!J251</f>
        <v>0</v>
      </c>
      <c r="J252" s="312">
        <f>'J) Plafonnement effort'!I251</f>
        <v>0</v>
      </c>
      <c r="K252" s="309">
        <f>'L) Plafonnement taux'!Q252</f>
        <v>0</v>
      </c>
      <c r="L252" s="307">
        <f t="shared" si="16"/>
        <v>-13182.452786297508</v>
      </c>
      <c r="M252" s="227">
        <f>'M) Police'!O252</f>
        <v>20647.630414550556</v>
      </c>
      <c r="N252" s="227">
        <f t="shared" si="12"/>
        <v>7465.1776282530482</v>
      </c>
      <c r="O252" s="399">
        <f t="shared" si="13"/>
        <v>-122771.86013340848</v>
      </c>
      <c r="P252" s="314"/>
      <c r="Q252" s="493"/>
    </row>
    <row r="253" spans="1:17" s="160" customFormat="1" x14ac:dyDescent="0.25">
      <c r="A253" s="157">
        <f>'B) D RI'!A254</f>
        <v>5828</v>
      </c>
      <c r="B253" s="158" t="str">
        <f>'B) D RI'!B254</f>
        <v>Treytorrens (Payerne)</v>
      </c>
      <c r="C253" s="310">
        <f>'B) D RI'!S254</f>
        <v>84</v>
      </c>
      <c r="D253" s="159">
        <f>'B) D RI'!AA254</f>
        <v>111</v>
      </c>
      <c r="E253" s="308">
        <f>'D) Ecrêtage'!C252</f>
        <v>2424.4907539682545</v>
      </c>
      <c r="F253" s="312">
        <f>'E) Fact soc'!G258</f>
        <v>51598.7842645317</v>
      </c>
      <c r="G253" s="309">
        <f>'H) Péréquation directe'!I263</f>
        <v>-43841.63637617229</v>
      </c>
      <c r="H253" s="312">
        <f>+'I) Dépenses thématiques'!O252</f>
        <v>-31924.380039385509</v>
      </c>
      <c r="I253" s="309">
        <f>'K) Plafonnement aide'!J252</f>
        <v>0</v>
      </c>
      <c r="J253" s="312">
        <f>'J) Plafonnement effort'!I252</f>
        <v>0</v>
      </c>
      <c r="K253" s="309">
        <f>'L) Plafonnement taux'!Q253</f>
        <v>0</v>
      </c>
      <c r="L253" s="307">
        <f t="shared" si="16"/>
        <v>-24167.232151026099</v>
      </c>
      <c r="M253" s="227">
        <f>'M) Police'!O253</f>
        <v>7365.1182212683916</v>
      </c>
      <c r="N253" s="227">
        <f t="shared" si="12"/>
        <v>-16802.113929757707</v>
      </c>
      <c r="O253" s="399">
        <f t="shared" si="13"/>
        <v>-75766.016415557795</v>
      </c>
      <c r="P253" s="314"/>
      <c r="Q253" s="493"/>
    </row>
    <row r="254" spans="1:17" s="160" customFormat="1" x14ac:dyDescent="0.25">
      <c r="A254" s="157">
        <f>'B) D RI'!A255</f>
        <v>5830</v>
      </c>
      <c r="B254" s="158" t="str">
        <f>'B) D RI'!B255</f>
        <v>Villarzel</v>
      </c>
      <c r="C254" s="310">
        <f>'B) D RI'!S255</f>
        <v>77</v>
      </c>
      <c r="D254" s="159">
        <f>'B) D RI'!AA255</f>
        <v>451</v>
      </c>
      <c r="E254" s="308">
        <f>'D) Ecrêtage'!C253</f>
        <v>13652.802077922079</v>
      </c>
      <c r="F254" s="312">
        <f>'E) Fact soc'!G259</f>
        <v>241388.55564379145</v>
      </c>
      <c r="G254" s="309">
        <f>'H) Péréquation directe'!I264</f>
        <v>38065.449178154493</v>
      </c>
      <c r="H254" s="312">
        <f>+'I) Dépenses thématiques'!O253</f>
        <v>-87930.546721552018</v>
      </c>
      <c r="I254" s="309">
        <f>'K) Plafonnement aide'!J253</f>
        <v>0</v>
      </c>
      <c r="J254" s="312">
        <f>'J) Plafonnement effort'!I253</f>
        <v>0</v>
      </c>
      <c r="K254" s="309">
        <f>'L) Plafonnement taux'!Q254</f>
        <v>0</v>
      </c>
      <c r="L254" s="307">
        <f t="shared" si="16"/>
        <v>191523.45810039388</v>
      </c>
      <c r="M254" s="227">
        <f>'M) Police'!O254</f>
        <v>42042.23048354646</v>
      </c>
      <c r="N254" s="227">
        <f t="shared" si="12"/>
        <v>233565.68858394033</v>
      </c>
      <c r="O254" s="399">
        <f t="shared" si="13"/>
        <v>-49865.097543397525</v>
      </c>
      <c r="P254" s="314"/>
      <c r="Q254" s="493"/>
    </row>
    <row r="255" spans="1:17" s="160" customFormat="1" x14ac:dyDescent="0.25">
      <c r="A255" s="157">
        <f>'B) D RI'!A256</f>
        <v>5831</v>
      </c>
      <c r="B255" s="158" t="str">
        <f>'B) D RI'!B256</f>
        <v>Valbroye</v>
      </c>
      <c r="C255" s="310">
        <f>'B) D RI'!S256</f>
        <v>73</v>
      </c>
      <c r="D255" s="159">
        <f>'B) D RI'!AA256</f>
        <v>3296</v>
      </c>
      <c r="E255" s="308">
        <f>'D) Ecrêtage'!C254</f>
        <v>90573.475753424646</v>
      </c>
      <c r="F255" s="312">
        <f>'E) Fact soc'!G260</f>
        <v>1625782.543091658</v>
      </c>
      <c r="G255" s="309">
        <f>'H) Péréquation directe'!I265</f>
        <v>-532017.83167512552</v>
      </c>
      <c r="H255" s="312">
        <f>+'I) Dépenses thématiques'!O254</f>
        <v>-894259.60320506501</v>
      </c>
      <c r="I255" s="309">
        <f>'K) Plafonnement aide'!J254</f>
        <v>0</v>
      </c>
      <c r="J255" s="312">
        <f>'J) Plafonnement effort'!I254</f>
        <v>0</v>
      </c>
      <c r="K255" s="309">
        <f>'L) Plafonnement taux'!Q255</f>
        <v>0</v>
      </c>
      <c r="L255" s="307">
        <f>F255+G255+H255+I255+J255+K255</f>
        <v>199505.10821146751</v>
      </c>
      <c r="M255" s="227">
        <f>'M) Police'!O255</f>
        <v>267568.76452255761</v>
      </c>
      <c r="N255" s="227">
        <f t="shared" ref="N255:N314" si="18">L255+M255</f>
        <v>467073.87273402512</v>
      </c>
      <c r="O255" s="399">
        <f t="shared" si="13"/>
        <v>-1426277.4348801905</v>
      </c>
      <c r="P255" s="314"/>
      <c r="Q255" s="493"/>
    </row>
    <row r="256" spans="1:17" s="160" customFormat="1" x14ac:dyDescent="0.25">
      <c r="A256" s="157">
        <f>'B) D RI'!A257</f>
        <v>5841</v>
      </c>
      <c r="B256" s="158" t="str">
        <f>'B) D RI'!B257</f>
        <v>Château-d'Oex</v>
      </c>
      <c r="C256" s="310">
        <f>'B) D RI'!S257</f>
        <v>83</v>
      </c>
      <c r="D256" s="159">
        <f>'B) D RI'!AA257</f>
        <v>3468</v>
      </c>
      <c r="E256" s="308">
        <f>'D) Ecrêtage'!C255</f>
        <v>118643.61518072287</v>
      </c>
      <c r="F256" s="312">
        <f>'E) Fact soc'!G261</f>
        <v>2084887.5131062164</v>
      </c>
      <c r="G256" s="309">
        <f>'H) Péréquation directe'!I266</f>
        <v>87767.006578425877</v>
      </c>
      <c r="H256" s="312">
        <f>+'I) Dépenses thématiques'!O255</f>
        <v>-2119286.0145050273</v>
      </c>
      <c r="I256" s="309">
        <f>'K) Plafonnement aide'!J255</f>
        <v>0</v>
      </c>
      <c r="J256" s="312">
        <f>'J) Plafonnement effort'!I255</f>
        <v>0</v>
      </c>
      <c r="K256" s="309">
        <f>'L) Plafonnement taux'!Q256</f>
        <v>0</v>
      </c>
      <c r="L256" s="307">
        <f t="shared" si="16"/>
        <v>53368.505179615226</v>
      </c>
      <c r="M256" s="227">
        <f>'M) Police'!O256</f>
        <v>354212.43954701489</v>
      </c>
      <c r="N256" s="227">
        <f t="shared" si="18"/>
        <v>407580.94472663011</v>
      </c>
      <c r="O256" s="399">
        <f t="shared" si="13"/>
        <v>-2031519.0079266015</v>
      </c>
      <c r="P256" s="314"/>
      <c r="Q256" s="493"/>
    </row>
    <row r="257" spans="1:17" s="160" customFormat="1" x14ac:dyDescent="0.25">
      <c r="A257" s="157">
        <f>'B) D RI'!A258</f>
        <v>5842</v>
      </c>
      <c r="B257" s="158" t="str">
        <f>'B) D RI'!B258</f>
        <v>Rossinière</v>
      </c>
      <c r="C257" s="310">
        <f>'B) D RI'!S258</f>
        <v>81</v>
      </c>
      <c r="D257" s="159">
        <f>'B) D RI'!AA258</f>
        <v>548</v>
      </c>
      <c r="E257" s="308">
        <f>'D) Ecrêtage'!C256</f>
        <v>13727.475720164608</v>
      </c>
      <c r="F257" s="312">
        <f>'E) Fact soc'!G262</f>
        <v>225562.52392227901</v>
      </c>
      <c r="G257" s="309">
        <f>'H) Péréquation directe'!I267</f>
        <v>-108452.42678374844</v>
      </c>
      <c r="H257" s="312">
        <f>+'I) Dépenses thématiques'!O256</f>
        <v>-279441.21164126939</v>
      </c>
      <c r="I257" s="309">
        <f>'K) Plafonnement aide'!J256</f>
        <v>0</v>
      </c>
      <c r="J257" s="312">
        <f>'J) Plafonnement effort'!I256</f>
        <v>0</v>
      </c>
      <c r="K257" s="309">
        <f>'L) Plafonnement taux'!Q257</f>
        <v>0</v>
      </c>
      <c r="L257" s="307">
        <f t="shared" si="16"/>
        <v>-162331.11450273881</v>
      </c>
      <c r="M257" s="227">
        <f>'M) Police'!O257</f>
        <v>41472.87111719072</v>
      </c>
      <c r="N257" s="227">
        <f t="shared" si="18"/>
        <v>-120858.24338554809</v>
      </c>
      <c r="O257" s="399">
        <f t="shared" si="13"/>
        <v>-387893.63842501782</v>
      </c>
      <c r="P257" s="314"/>
      <c r="Q257" s="493"/>
    </row>
    <row r="258" spans="1:17" s="160" customFormat="1" x14ac:dyDescent="0.25">
      <c r="A258" s="157">
        <f>'B) D RI'!A259</f>
        <v>5843</v>
      </c>
      <c r="B258" s="158" t="str">
        <f>'B) D RI'!B259</f>
        <v>Rougemont</v>
      </c>
      <c r="C258" s="310">
        <f>'B) D RI'!S259</f>
        <v>74</v>
      </c>
      <c r="D258" s="159">
        <f>'B) D RI'!AA259</f>
        <v>858</v>
      </c>
      <c r="E258" s="308">
        <f>'D) Ecrêtage'!C257</f>
        <v>86224.81779279279</v>
      </c>
      <c r="F258" s="312">
        <f>'E) Fact soc'!G263</f>
        <v>3358896.2963533308</v>
      </c>
      <c r="G258" s="309">
        <f>'H) Péréquation directe'!I268</f>
        <v>1617283.7909211256</v>
      </c>
      <c r="H258" s="312">
        <f>+'I) Dépenses thématiques'!O257</f>
        <v>-333464.83116839203</v>
      </c>
      <c r="I258" s="309">
        <f>'K) Plafonnement aide'!J257</f>
        <v>0</v>
      </c>
      <c r="J258" s="312">
        <f>'J) Plafonnement effort'!I257</f>
        <v>-762598.45543038833</v>
      </c>
      <c r="K258" s="309">
        <f>'L) Plafonnement taux'!Q258</f>
        <v>0</v>
      </c>
      <c r="L258" s="307">
        <f t="shared" si="16"/>
        <v>3880116.8006756762</v>
      </c>
      <c r="M258" s="227">
        <f>'M) Police'!O258</f>
        <v>177775.48140719178</v>
      </c>
      <c r="N258" s="227">
        <f t="shared" si="18"/>
        <v>4057892.2820828678</v>
      </c>
      <c r="O258" s="399">
        <f t="shared" si="13"/>
        <v>521220.50432234525</v>
      </c>
      <c r="P258" s="314"/>
      <c r="Q258" s="493"/>
    </row>
    <row r="259" spans="1:17" s="160" customFormat="1" x14ac:dyDescent="0.25">
      <c r="A259" s="157">
        <f>'B) D RI'!A260</f>
        <v>5851</v>
      </c>
      <c r="B259" s="158" t="str">
        <f>'B) D RI'!B260</f>
        <v>Allaman</v>
      </c>
      <c r="C259" s="310">
        <f>'B) D RI'!S260</f>
        <v>62</v>
      </c>
      <c r="D259" s="159">
        <f>'B) D RI'!AA260</f>
        <v>451</v>
      </c>
      <c r="E259" s="308">
        <f>'D) Ecrêtage'!C258</f>
        <v>23662.073064516131</v>
      </c>
      <c r="F259" s="312">
        <f>'E) Fact soc'!G264</f>
        <v>574358.11985506513</v>
      </c>
      <c r="G259" s="309">
        <f>'H) Péréquation directe'!I269</f>
        <v>416741.20549322665</v>
      </c>
      <c r="H259" s="312">
        <f>+'I) Dépenses thématiques'!O258</f>
        <v>0</v>
      </c>
      <c r="I259" s="309">
        <f>'K) Plafonnement aide'!J258</f>
        <v>0</v>
      </c>
      <c r="J259" s="312">
        <f>'J) Plafonnement effort'!I258</f>
        <v>0</v>
      </c>
      <c r="K259" s="309">
        <f>'L) Plafonnement taux'!Q259</f>
        <v>0</v>
      </c>
      <c r="L259" s="307">
        <f t="shared" si="16"/>
        <v>991099.32534829178</v>
      </c>
      <c r="M259" s="227">
        <f>'M) Police'!O259</f>
        <v>67621.015620852777</v>
      </c>
      <c r="N259" s="227">
        <f t="shared" si="18"/>
        <v>1058720.3409691446</v>
      </c>
      <c r="O259" s="399">
        <f t="shared" si="13"/>
        <v>416741.20549322665</v>
      </c>
      <c r="P259" s="314"/>
      <c r="Q259" s="493"/>
    </row>
    <row r="260" spans="1:17" s="160" customFormat="1" x14ac:dyDescent="0.25">
      <c r="A260" s="157">
        <f>'B) D RI'!A261</f>
        <v>5852</v>
      </c>
      <c r="B260" s="158" t="str">
        <f>'B) D RI'!B261</f>
        <v>Bursinel</v>
      </c>
      <c r="C260" s="310">
        <f>'B) D RI'!S261</f>
        <v>65.5</v>
      </c>
      <c r="D260" s="159">
        <f>'B) D RI'!AA261</f>
        <v>473</v>
      </c>
      <c r="E260" s="308">
        <f>'D) Ecrêtage'!C259</f>
        <v>39686.843918575076</v>
      </c>
      <c r="F260" s="312">
        <f>'E) Fact soc'!G265</f>
        <v>1169762.0125436024</v>
      </c>
      <c r="G260" s="309">
        <f>'H) Péréquation directe'!I270</f>
        <v>734580.00978140929</v>
      </c>
      <c r="H260" s="312">
        <f>+'I) Dépenses thématiques'!O259</f>
        <v>0</v>
      </c>
      <c r="I260" s="309">
        <f>'K) Plafonnement aide'!J259</f>
        <v>0</v>
      </c>
      <c r="J260" s="312">
        <f>'J) Plafonnement effort'!I259</f>
        <v>-118434.04598913316</v>
      </c>
      <c r="K260" s="309">
        <f>'L) Plafonnement taux'!Q260</f>
        <v>0</v>
      </c>
      <c r="L260" s="307">
        <f t="shared" si="16"/>
        <v>1785907.9763358785</v>
      </c>
      <c r="M260" s="227">
        <f>'M) Police'!O260</f>
        <v>88648.620073755141</v>
      </c>
      <c r="N260" s="227">
        <f t="shared" si="18"/>
        <v>1874556.5964096335</v>
      </c>
      <c r="O260" s="399">
        <f t="shared" si="13"/>
        <v>616145.9637922761</v>
      </c>
      <c r="P260" s="314"/>
      <c r="Q260" s="493"/>
    </row>
    <row r="261" spans="1:17" s="160" customFormat="1" x14ac:dyDescent="0.25">
      <c r="A261" s="157">
        <f>'B) D RI'!A262</f>
        <v>5853</v>
      </c>
      <c r="B261" s="158" t="str">
        <f>'B) D RI'!B262</f>
        <v>Bursins</v>
      </c>
      <c r="C261" s="310">
        <f>'B) D RI'!S262</f>
        <v>71</v>
      </c>
      <c r="D261" s="159">
        <f>'B) D RI'!AA262</f>
        <v>782</v>
      </c>
      <c r="E261" s="308">
        <f>'D) Ecrêtage'!C260</f>
        <v>36429.778873239433</v>
      </c>
      <c r="F261" s="312">
        <f>'E) Fact soc'!G266</f>
        <v>716199.57109592855</v>
      </c>
      <c r="G261" s="309">
        <f>'H) Péréquation directe'!I271</f>
        <v>622179.62095638388</v>
      </c>
      <c r="H261" s="312">
        <f>+'I) Dépenses thématiques'!O260</f>
        <v>-25258.769324522604</v>
      </c>
      <c r="I261" s="309">
        <f>'K) Plafonnement aide'!J260</f>
        <v>0</v>
      </c>
      <c r="J261" s="312">
        <f>'J) Plafonnement effort'!I260</f>
        <v>0</v>
      </c>
      <c r="K261" s="309">
        <f>'L) Plafonnement taux'!Q261</f>
        <v>0</v>
      </c>
      <c r="L261" s="307">
        <f t="shared" si="16"/>
        <v>1313120.4227277897</v>
      </c>
      <c r="M261" s="227">
        <f>'M) Police'!O261</f>
        <v>110272.70709268437</v>
      </c>
      <c r="N261" s="227">
        <f t="shared" si="18"/>
        <v>1423393.1298204742</v>
      </c>
      <c r="O261" s="399">
        <f t="shared" si="13"/>
        <v>596920.8516318613</v>
      </c>
      <c r="P261" s="314"/>
      <c r="Q261" s="493"/>
    </row>
    <row r="262" spans="1:17" s="160" customFormat="1" x14ac:dyDescent="0.25">
      <c r="A262" s="157">
        <f>'B) D RI'!A263</f>
        <v>5854</v>
      </c>
      <c r="B262" s="158" t="str">
        <f>'B) D RI'!B263</f>
        <v>Burtigny</v>
      </c>
      <c r="C262" s="310">
        <f>'B) D RI'!S263</f>
        <v>80</v>
      </c>
      <c r="D262" s="159">
        <f>'B) D RI'!AA263</f>
        <v>390</v>
      </c>
      <c r="E262" s="308">
        <f>'D) Ecrêtage'!C261</f>
        <v>11092.867583333333</v>
      </c>
      <c r="F262" s="312">
        <f>'E) Fact soc'!G267</f>
        <v>260699.07416849735</v>
      </c>
      <c r="G262" s="309">
        <f>'H) Péréquation directe'!I272</f>
        <v>-11687.060082480486</v>
      </c>
      <c r="H262" s="312">
        <f>+'I) Dépenses thématiques'!O261</f>
        <v>-52633.563765193452</v>
      </c>
      <c r="I262" s="309">
        <f>'K) Plafonnement aide'!J261</f>
        <v>0</v>
      </c>
      <c r="J262" s="312">
        <f>'J) Plafonnement effort'!I261</f>
        <v>0</v>
      </c>
      <c r="K262" s="309">
        <f>'L) Plafonnement taux'!Q262</f>
        <v>0</v>
      </c>
      <c r="L262" s="307">
        <f t="shared" si="16"/>
        <v>196378.45032082341</v>
      </c>
      <c r="M262" s="227">
        <f>'M) Police'!O262</f>
        <v>33626.298954456593</v>
      </c>
      <c r="N262" s="227">
        <f t="shared" si="18"/>
        <v>230004.74927527999</v>
      </c>
      <c r="O262" s="399">
        <f t="shared" si="13"/>
        <v>-64320.623847673938</v>
      </c>
      <c r="P262" s="314"/>
      <c r="Q262" s="493"/>
    </row>
    <row r="263" spans="1:17" s="160" customFormat="1" x14ac:dyDescent="0.25">
      <c r="A263" s="157">
        <f>'B) D RI'!A264</f>
        <v>5855</v>
      </c>
      <c r="B263" s="158" t="str">
        <f>'B) D RI'!B264</f>
        <v>Dully</v>
      </c>
      <c r="C263" s="310">
        <f>'B) D RI'!S264</f>
        <v>49</v>
      </c>
      <c r="D263" s="159">
        <f>'B) D RI'!AA264</f>
        <v>639</v>
      </c>
      <c r="E263" s="308">
        <f>'D) Ecrêtage'!C262</f>
        <v>79675.83</v>
      </c>
      <c r="F263" s="312">
        <f>'E) Fact soc'!G268</f>
        <v>2423509.0171489548</v>
      </c>
      <c r="G263" s="309">
        <f>'H) Péréquation directe'!I273</f>
        <v>1513772.9176232468</v>
      </c>
      <c r="H263" s="312">
        <f>+'I) Dépenses thématiques'!O262</f>
        <v>0</v>
      </c>
      <c r="I263" s="309">
        <f>'K) Plafonnement aide'!J262</f>
        <v>0</v>
      </c>
      <c r="J263" s="312">
        <f>'J) Plafonnement effort'!I262</f>
        <v>-351869.58477220143</v>
      </c>
      <c r="K263" s="309">
        <f>'L) Plafonnement taux'!Q263</f>
        <v>0</v>
      </c>
      <c r="L263" s="307">
        <f t="shared" si="16"/>
        <v>3585412.3500000006</v>
      </c>
      <c r="M263" s="227">
        <f>'M) Police'!O263</f>
        <v>150830.36756826262</v>
      </c>
      <c r="N263" s="227">
        <f t="shared" si="18"/>
        <v>3736242.7175682634</v>
      </c>
      <c r="O263" s="399">
        <f t="shared" ref="O263:O314" si="19">SUM(G263:K263)</f>
        <v>1161903.3328510453</v>
      </c>
      <c r="P263" s="314"/>
      <c r="Q263" s="493"/>
    </row>
    <row r="264" spans="1:17" s="160" customFormat="1" x14ac:dyDescent="0.25">
      <c r="A264" s="157">
        <f>'B) D RI'!A265</f>
        <v>5856</v>
      </c>
      <c r="B264" s="158" t="str">
        <f>'B) D RI'!B265</f>
        <v>Essertines-sur-Rolle</v>
      </c>
      <c r="C264" s="310">
        <f>'B) D RI'!S265</f>
        <v>68</v>
      </c>
      <c r="D264" s="159">
        <f>'B) D RI'!AA265</f>
        <v>722</v>
      </c>
      <c r="E264" s="308">
        <f>'D) Ecrêtage'!C263</f>
        <v>36504.775588235294</v>
      </c>
      <c r="F264" s="312">
        <f>'E) Fact soc'!G269</f>
        <v>634079.35806197778</v>
      </c>
      <c r="G264" s="309">
        <f>'H) Péréquation directe'!I274</f>
        <v>639635.78787426127</v>
      </c>
      <c r="H264" s="312">
        <f>+'I) Dépenses thématiques'!O263</f>
        <v>0</v>
      </c>
      <c r="I264" s="309">
        <f>'K) Plafonnement aide'!J263</f>
        <v>0</v>
      </c>
      <c r="J264" s="312">
        <f>'J) Plafonnement effort'!I263</f>
        <v>0</v>
      </c>
      <c r="K264" s="309">
        <f>'L) Plafonnement taux'!Q264</f>
        <v>0</v>
      </c>
      <c r="L264" s="307">
        <f t="shared" si="16"/>
        <v>1273715.145936239</v>
      </c>
      <c r="M264" s="227">
        <f>'M) Police'!O264</f>
        <v>106613.66006126729</v>
      </c>
      <c r="N264" s="227">
        <f t="shared" si="18"/>
        <v>1380328.8059975062</v>
      </c>
      <c r="O264" s="399">
        <f t="shared" si="19"/>
        <v>639635.78787426127</v>
      </c>
      <c r="P264" s="314"/>
      <c r="Q264" s="493"/>
    </row>
    <row r="265" spans="1:17" s="160" customFormat="1" x14ac:dyDescent="0.25">
      <c r="A265" s="157">
        <f>'B) D RI'!A266</f>
        <v>5857</v>
      </c>
      <c r="B265" s="158" t="str">
        <f>'B) D RI'!B266</f>
        <v>Gilly</v>
      </c>
      <c r="C265" s="310">
        <f>'B) D RI'!S266</f>
        <v>66</v>
      </c>
      <c r="D265" s="159">
        <f>'B) D RI'!AA266</f>
        <v>1370</v>
      </c>
      <c r="E265" s="308">
        <f>'D) Ecrêtage'!C264</f>
        <v>85344.541363636366</v>
      </c>
      <c r="F265" s="312">
        <f>'E) Fact soc'!G270</f>
        <v>1813931.7549246312</v>
      </c>
      <c r="G265" s="309">
        <f>'H) Péréquation directe'!I275</f>
        <v>1451681.6783278394</v>
      </c>
      <c r="H265" s="312">
        <f>+'I) Dépenses thématiques'!O264</f>
        <v>0</v>
      </c>
      <c r="I265" s="309">
        <f>'K) Plafonnement aide'!J264</f>
        <v>0</v>
      </c>
      <c r="J265" s="312">
        <f>'J) Plafonnement effort'!I264</f>
        <v>0</v>
      </c>
      <c r="K265" s="309">
        <f>'L) Plafonnement taux'!Q265</f>
        <v>0</v>
      </c>
      <c r="L265" s="307">
        <f t="shared" si="16"/>
        <v>3265613.4332524706</v>
      </c>
      <c r="M265" s="227">
        <f>'M) Police'!O265</f>
        <v>221466.94521356971</v>
      </c>
      <c r="N265" s="227">
        <f t="shared" si="18"/>
        <v>3487080.3784660404</v>
      </c>
      <c r="O265" s="399">
        <f t="shared" si="19"/>
        <v>1451681.6783278394</v>
      </c>
      <c r="P265" s="314"/>
      <c r="Q265" s="493"/>
    </row>
    <row r="266" spans="1:17" s="160" customFormat="1" x14ac:dyDescent="0.25">
      <c r="A266" s="157">
        <f>'B) D RI'!A267</f>
        <v>5858</v>
      </c>
      <c r="B266" s="158" t="str">
        <f>'B) D RI'!B267</f>
        <v>Luins</v>
      </c>
      <c r="C266" s="310">
        <f>'B) D RI'!S267</f>
        <v>60</v>
      </c>
      <c r="D266" s="159">
        <f>'B) D RI'!AA267</f>
        <v>621</v>
      </c>
      <c r="E266" s="308">
        <f>'D) Ecrêtage'!C265</f>
        <v>46698.811277777771</v>
      </c>
      <c r="F266" s="312">
        <f>'E) Fact soc'!G271</f>
        <v>1006534.4563330754</v>
      </c>
      <c r="G266" s="309">
        <f>'H) Péréquation directe'!I276</f>
        <v>856273.21501650801</v>
      </c>
      <c r="H266" s="312">
        <f>+'I) Dépenses thématiques'!O265</f>
        <v>0</v>
      </c>
      <c r="I266" s="309">
        <f>'K) Plafonnement aide'!J265</f>
        <v>0</v>
      </c>
      <c r="J266" s="312">
        <f>'J) Plafonnement effort'!I265</f>
        <v>0</v>
      </c>
      <c r="K266" s="309">
        <f>'L) Plafonnement taux'!Q266</f>
        <v>0</v>
      </c>
      <c r="L266" s="307">
        <f t="shared" ref="L266:L315" si="20">F266+G266+H266+I266+J266+K266</f>
        <v>1862807.6713495834</v>
      </c>
      <c r="M266" s="227">
        <f>'M) Police'!O266</f>
        <v>109941.39830687494</v>
      </c>
      <c r="N266" s="227">
        <f t="shared" si="18"/>
        <v>1972749.0696564585</v>
      </c>
      <c r="O266" s="399">
        <f t="shared" si="19"/>
        <v>856273.21501650801</v>
      </c>
      <c r="P266" s="314"/>
      <c r="Q266" s="493"/>
    </row>
    <row r="267" spans="1:17" s="160" customFormat="1" x14ac:dyDescent="0.25">
      <c r="A267" s="157">
        <f>'B) D RI'!A268</f>
        <v>5859</v>
      </c>
      <c r="B267" s="158" t="str">
        <f>'B) D RI'!B268</f>
        <v>Mont-sur-Rolle</v>
      </c>
      <c r="C267" s="310">
        <f>'B) D RI'!S268</f>
        <v>65</v>
      </c>
      <c r="D267" s="159">
        <f>'B) D RI'!AA268</f>
        <v>2677</v>
      </c>
      <c r="E267" s="308">
        <f>'D) Ecrêtage'!C266</f>
        <v>136402.77030769232</v>
      </c>
      <c r="F267" s="312">
        <f>'E) Fact soc'!G272</f>
        <v>2815314.4013417601</v>
      </c>
      <c r="G267" s="309">
        <f>'H) Péréquation directe'!I277</f>
        <v>2013436.8265842558</v>
      </c>
      <c r="H267" s="312">
        <f>+'I) Dépenses thématiques'!O266</f>
        <v>0</v>
      </c>
      <c r="I267" s="309">
        <f>'K) Plafonnement aide'!J266</f>
        <v>0</v>
      </c>
      <c r="J267" s="312">
        <f>'J) Plafonnement effort'!I266</f>
        <v>0</v>
      </c>
      <c r="K267" s="309">
        <f>'L) Plafonnement taux'!Q267</f>
        <v>0</v>
      </c>
      <c r="L267" s="307">
        <f t="shared" si="20"/>
        <v>4828751.2279260159</v>
      </c>
      <c r="M267" s="227">
        <f>'M) Police'!O267</f>
        <v>396551.63750820747</v>
      </c>
      <c r="N267" s="227">
        <f t="shared" si="18"/>
        <v>5225302.8654342238</v>
      </c>
      <c r="O267" s="399">
        <f t="shared" si="19"/>
        <v>2013436.8265842558</v>
      </c>
      <c r="P267" s="314"/>
      <c r="Q267" s="493"/>
    </row>
    <row r="268" spans="1:17" s="160" customFormat="1" x14ac:dyDescent="0.25">
      <c r="A268" s="157">
        <f>'B) D RI'!A269</f>
        <v>5860</v>
      </c>
      <c r="B268" s="158" t="str">
        <f>'B) D RI'!B269</f>
        <v>Perroy</v>
      </c>
      <c r="C268" s="310">
        <f>'B) D RI'!S269</f>
        <v>60</v>
      </c>
      <c r="D268" s="159">
        <f>'B) D RI'!AA269</f>
        <v>1497</v>
      </c>
      <c r="E268" s="308">
        <f>'D) Ecrêtage'!C267</f>
        <v>102583.41574358974</v>
      </c>
      <c r="F268" s="312">
        <f>'E) Fact soc'!G273</f>
        <v>2240967.6650723205</v>
      </c>
      <c r="G268" s="309">
        <f>'H) Péréquation directe'!I278</f>
        <v>1751900.9180328608</v>
      </c>
      <c r="H268" s="312">
        <f>+'I) Dépenses thématiques'!O267</f>
        <v>-2021140.6817147464</v>
      </c>
      <c r="I268" s="309">
        <f>'K) Plafonnement aide'!J267</f>
        <v>0</v>
      </c>
      <c r="J268" s="312">
        <f>'J) Plafonnement effort'!I267</f>
        <v>0</v>
      </c>
      <c r="K268" s="309">
        <f>'L) Plafonnement taux'!Q268</f>
        <v>0</v>
      </c>
      <c r="L268" s="307">
        <f t="shared" si="20"/>
        <v>1971727.9013904349</v>
      </c>
      <c r="M268" s="227">
        <f>'M) Police'!O268</f>
        <v>253117.42546536092</v>
      </c>
      <c r="N268" s="227">
        <f t="shared" si="18"/>
        <v>2224845.3268557959</v>
      </c>
      <c r="O268" s="399">
        <f t="shared" si="19"/>
        <v>-269239.76368188555</v>
      </c>
      <c r="P268" s="314"/>
      <c r="Q268" s="493"/>
    </row>
    <row r="269" spans="1:17" s="160" customFormat="1" x14ac:dyDescent="0.25">
      <c r="A269" s="157">
        <f>'B) D RI'!A270</f>
        <v>5861</v>
      </c>
      <c r="B269" s="158" t="str">
        <f>'B) D RI'!B270</f>
        <v>Rolle</v>
      </c>
      <c r="C269" s="310">
        <f>'B) D RI'!S270</f>
        <v>59.5</v>
      </c>
      <c r="D269" s="159">
        <f>'B) D RI'!AA270</f>
        <v>6245</v>
      </c>
      <c r="E269" s="308">
        <f>'D) Ecrêtage'!C268</f>
        <v>762445.16588235286</v>
      </c>
      <c r="F269" s="312">
        <f>'E) Fact soc'!G274</f>
        <v>23640879.72220901</v>
      </c>
      <c r="G269" s="309">
        <f>'H) Péréquation directe'!I279</f>
        <v>12669067.13937814</v>
      </c>
      <c r="H269" s="312">
        <f>+'I) Dépenses thématiques'!O268</f>
        <v>0</v>
      </c>
      <c r="I269" s="309">
        <f>'K) Plafonnement aide'!J268</f>
        <v>0</v>
      </c>
      <c r="J269" s="312">
        <f>'J) Plafonnement effort'!I268</f>
        <v>-1999914.3968812721</v>
      </c>
      <c r="K269" s="309">
        <f>'L) Plafonnement taux'!Q269</f>
        <v>0</v>
      </c>
      <c r="L269" s="307">
        <f t="shared" si="20"/>
        <v>34310032.464705877</v>
      </c>
      <c r="M269" s="227">
        <f>'M) Police'!O269</f>
        <v>1454723.9021747117</v>
      </c>
      <c r="N269" s="227">
        <f t="shared" si="18"/>
        <v>35764756.366880588</v>
      </c>
      <c r="O269" s="399">
        <f t="shared" si="19"/>
        <v>10669152.742496867</v>
      </c>
      <c r="P269" s="314"/>
      <c r="Q269" s="493"/>
    </row>
    <row r="270" spans="1:17" s="160" customFormat="1" x14ac:dyDescent="0.25">
      <c r="A270" s="157">
        <f>'B) D RI'!A271</f>
        <v>5862</v>
      </c>
      <c r="B270" s="158" t="str">
        <f>'B) D RI'!B271</f>
        <v>Tartegnin</v>
      </c>
      <c r="C270" s="310">
        <f>'B) D RI'!S271</f>
        <v>81</v>
      </c>
      <c r="D270" s="159">
        <f>'B) D RI'!AA271</f>
        <v>233</v>
      </c>
      <c r="E270" s="308">
        <f>'D) Ecrêtage'!C269</f>
        <v>10955.91814814815</v>
      </c>
      <c r="F270" s="312">
        <f>'E) Fact soc'!G275</f>
        <v>164066.26154078403</v>
      </c>
      <c r="G270" s="309">
        <f>'H) Péréquation directe'!I280</f>
        <v>189292.98902486256</v>
      </c>
      <c r="H270" s="312">
        <f>+'I) Dépenses thématiques'!O269</f>
        <v>0</v>
      </c>
      <c r="I270" s="309">
        <f>'K) Plafonnement aide'!J269</f>
        <v>0</v>
      </c>
      <c r="J270" s="312">
        <f>'J) Plafonnement effort'!I269</f>
        <v>0</v>
      </c>
      <c r="K270" s="309">
        <f>'L) Plafonnement taux'!Q270</f>
        <v>0</v>
      </c>
      <c r="L270" s="307">
        <f t="shared" si="20"/>
        <v>353359.25056564657</v>
      </c>
      <c r="M270" s="227">
        <f>'M) Police'!O270</f>
        <v>33422.554327344922</v>
      </c>
      <c r="N270" s="227">
        <f t="shared" si="18"/>
        <v>386781.80489299149</v>
      </c>
      <c r="O270" s="399">
        <f t="shared" si="19"/>
        <v>189292.98902486256</v>
      </c>
      <c r="P270" s="314"/>
      <c r="Q270" s="493"/>
    </row>
    <row r="271" spans="1:17" s="160" customFormat="1" x14ac:dyDescent="0.25">
      <c r="A271" s="157">
        <f>'B) D RI'!A272</f>
        <v>5863</v>
      </c>
      <c r="B271" s="158" t="str">
        <f>'B) D RI'!B272</f>
        <v>Vinzel</v>
      </c>
      <c r="C271" s="310">
        <f>'B) D RI'!S272</f>
        <v>67</v>
      </c>
      <c r="D271" s="159">
        <f>'B) D RI'!AA272</f>
        <v>355</v>
      </c>
      <c r="E271" s="308">
        <f>'D) Ecrêtage'!C270</f>
        <v>17885.432686567161</v>
      </c>
      <c r="F271" s="312">
        <f>'E) Fact soc'!G276</f>
        <v>327322.23319290107</v>
      </c>
      <c r="G271" s="309">
        <f>'H) Péréquation directe'!I281</f>
        <v>313230.10916050262</v>
      </c>
      <c r="H271" s="312">
        <f>+'I) Dépenses thématiques'!O270</f>
        <v>0</v>
      </c>
      <c r="I271" s="309">
        <f>'K) Plafonnement aide'!J270</f>
        <v>0</v>
      </c>
      <c r="J271" s="312">
        <f>'J) Plafonnement effort'!I270</f>
        <v>0</v>
      </c>
      <c r="K271" s="309">
        <f>'L) Plafonnement taux'!Q271</f>
        <v>0</v>
      </c>
      <c r="L271" s="307">
        <f t="shared" si="20"/>
        <v>640552.34235340368</v>
      </c>
      <c r="M271" s="227">
        <f>'M) Police'!O271</f>
        <v>52345.028735979562</v>
      </c>
      <c r="N271" s="227">
        <f t="shared" si="18"/>
        <v>692897.37108938326</v>
      </c>
      <c r="O271" s="399">
        <f t="shared" si="19"/>
        <v>313230.10916050262</v>
      </c>
      <c r="P271" s="314"/>
      <c r="Q271" s="493"/>
    </row>
    <row r="272" spans="1:17" s="160" customFormat="1" x14ac:dyDescent="0.25">
      <c r="A272" s="157">
        <f>'B) D RI'!A273</f>
        <v>5871</v>
      </c>
      <c r="B272" s="158" t="str">
        <f>'B) D RI'!B273</f>
        <v>L'Abbaye</v>
      </c>
      <c r="C272" s="310">
        <f>'B) D RI'!S273</f>
        <v>77.599999999999994</v>
      </c>
      <c r="D272" s="159">
        <f>'B) D RI'!AA273</f>
        <v>1481</v>
      </c>
      <c r="E272" s="308">
        <f>'D) Ecrêtage'!C271</f>
        <v>46763.12603092783</v>
      </c>
      <c r="F272" s="312">
        <f>'E) Fact soc'!G277</f>
        <v>1016993.5154968603</v>
      </c>
      <c r="G272" s="309">
        <f>'H) Péréquation directe'!I282</f>
        <v>91687.212898201426</v>
      </c>
      <c r="H272" s="312">
        <f>+'I) Dépenses thématiques'!O271</f>
        <v>-393819.15009918768</v>
      </c>
      <c r="I272" s="309">
        <f>'K) Plafonnement aide'!J271</f>
        <v>0</v>
      </c>
      <c r="J272" s="312">
        <f>'J) Plafonnement effort'!I271</f>
        <v>0</v>
      </c>
      <c r="K272" s="309">
        <f>'L) Plafonnement taux'!Q272</f>
        <v>0</v>
      </c>
      <c r="L272" s="307">
        <f t="shared" si="20"/>
        <v>714861.57829587394</v>
      </c>
      <c r="M272" s="227">
        <f>'M) Police'!O272</f>
        <v>142478.49207668082</v>
      </c>
      <c r="N272" s="227">
        <f t="shared" si="18"/>
        <v>857340.07037255471</v>
      </c>
      <c r="O272" s="399">
        <f t="shared" si="19"/>
        <v>-302131.93720098626</v>
      </c>
      <c r="P272" s="314"/>
      <c r="Q272" s="493"/>
    </row>
    <row r="273" spans="1:17" s="160" customFormat="1" x14ac:dyDescent="0.25">
      <c r="A273" s="157">
        <f>'B) D RI'!A274</f>
        <v>5872</v>
      </c>
      <c r="B273" s="158" t="str">
        <f>'B) D RI'!B274</f>
        <v>Le Chenit</v>
      </c>
      <c r="C273" s="310">
        <f>'B) D RI'!S274</f>
        <v>68.39</v>
      </c>
      <c r="D273" s="159">
        <f>'B) D RI'!AA274</f>
        <v>4657</v>
      </c>
      <c r="E273" s="308">
        <f>'D) Ecrêtage'!C272</f>
        <v>269128.75712823507</v>
      </c>
      <c r="F273" s="312">
        <f>'E) Fact soc'!G278</f>
        <v>7340747.1085846201</v>
      </c>
      <c r="G273" s="309">
        <f>'H) Péréquation directe'!I283</f>
        <v>3722558.4528423506</v>
      </c>
      <c r="H273" s="312">
        <f>+'I) Dépenses thématiques'!O272</f>
        <v>-1173815.9400967343</v>
      </c>
      <c r="I273" s="309">
        <f>'K) Plafonnement aide'!J272</f>
        <v>0</v>
      </c>
      <c r="J273" s="312">
        <f>'J) Plafonnement effort'!I272</f>
        <v>0</v>
      </c>
      <c r="K273" s="309">
        <f>'L) Plafonnement taux'!Q273</f>
        <v>0</v>
      </c>
      <c r="L273" s="307">
        <f t="shared" si="20"/>
        <v>9889489.621330237</v>
      </c>
      <c r="M273" s="227">
        <f>'M) Police'!O273</f>
        <v>727812.6035686559</v>
      </c>
      <c r="N273" s="227">
        <f t="shared" si="18"/>
        <v>10617302.224898893</v>
      </c>
      <c r="O273" s="399">
        <f t="shared" si="19"/>
        <v>2548742.512745616</v>
      </c>
      <c r="P273" s="314"/>
      <c r="Q273" s="493"/>
    </row>
    <row r="274" spans="1:17" s="160" customFormat="1" x14ac:dyDescent="0.25">
      <c r="A274" s="157">
        <f>'B) D RI'!A275</f>
        <v>5873</v>
      </c>
      <c r="B274" s="158" t="str">
        <f>'B) D RI'!B275</f>
        <v>Le Lieu</v>
      </c>
      <c r="C274" s="310">
        <f>'B) D RI'!S275</f>
        <v>70</v>
      </c>
      <c r="D274" s="159">
        <f>'B) D RI'!AA275</f>
        <v>900</v>
      </c>
      <c r="E274" s="308">
        <f>'D) Ecrêtage'!C273</f>
        <v>28965.792761904762</v>
      </c>
      <c r="F274" s="312">
        <f>'E) Fact soc'!G279</f>
        <v>709807.83668312069</v>
      </c>
      <c r="G274" s="309">
        <f>'H) Péréquation directe'!I284</f>
        <v>205567.20095852279</v>
      </c>
      <c r="H274" s="312">
        <f>+'I) Dépenses thématiques'!O273</f>
        <v>-685970.94819057174</v>
      </c>
      <c r="I274" s="309">
        <f>'K) Plafonnement aide'!J273</f>
        <v>0</v>
      </c>
      <c r="J274" s="312">
        <f>'J) Plafonnement effort'!I273</f>
        <v>0</v>
      </c>
      <c r="K274" s="309">
        <f>'L) Plafonnement taux'!Q274</f>
        <v>0</v>
      </c>
      <c r="L274" s="307">
        <f t="shared" si="20"/>
        <v>229404.08945107181</v>
      </c>
      <c r="M274" s="227">
        <f>'M) Police'!O274</f>
        <v>88426.463558509698</v>
      </c>
      <c r="N274" s="227">
        <f t="shared" si="18"/>
        <v>317830.55300958152</v>
      </c>
      <c r="O274" s="399">
        <f t="shared" si="19"/>
        <v>-480403.74723204895</v>
      </c>
      <c r="P274" s="314"/>
      <c r="Q274" s="493"/>
    </row>
    <row r="275" spans="1:17" s="160" customFormat="1" x14ac:dyDescent="0.25">
      <c r="A275" s="157">
        <f>'B) D RI'!A276</f>
        <v>5881</v>
      </c>
      <c r="B275" s="158" t="str">
        <f>'B) D RI'!B276</f>
        <v>Blonay</v>
      </c>
      <c r="C275" s="310">
        <f>'B) D RI'!S276</f>
        <v>70</v>
      </c>
      <c r="D275" s="159">
        <f>'B) D RI'!AA276</f>
        <v>6151</v>
      </c>
      <c r="E275" s="308">
        <f>'D) Ecrêtage'!C274</f>
        <v>355898.72514285718</v>
      </c>
      <c r="F275" s="312">
        <f>'E) Fact soc'!G280</f>
        <v>7550811.868422417</v>
      </c>
      <c r="G275" s="309">
        <f>'H) Péréquation directe'!I285</f>
        <v>4592101.8635547571</v>
      </c>
      <c r="H275" s="312">
        <f>+'I) Dépenses thématiques'!O274</f>
        <v>-582543.02080170764</v>
      </c>
      <c r="I275" s="309">
        <f>'K) Plafonnement aide'!J274</f>
        <v>0</v>
      </c>
      <c r="J275" s="312">
        <f>'J) Plafonnement effort'!I274</f>
        <v>0</v>
      </c>
      <c r="K275" s="309">
        <f>'L) Plafonnement taux'!Q275</f>
        <v>0</v>
      </c>
      <c r="L275" s="307">
        <f t="shared" si="20"/>
        <v>11560370.711175466</v>
      </c>
      <c r="M275" s="227">
        <f>'M) Police'!O275</f>
        <v>424311.56291558879</v>
      </c>
      <c r="N275" s="227">
        <f t="shared" si="18"/>
        <v>11984682.274091056</v>
      </c>
      <c r="O275" s="399">
        <f t="shared" si="19"/>
        <v>4009558.8427530495</v>
      </c>
      <c r="P275" s="314"/>
      <c r="Q275" s="493"/>
    </row>
    <row r="276" spans="1:17" s="160" customFormat="1" x14ac:dyDescent="0.25">
      <c r="A276" s="157">
        <f>'B) D RI'!A277</f>
        <v>5882</v>
      </c>
      <c r="B276" s="158" t="str">
        <f>'B) D RI'!B277</f>
        <v>Chardonne</v>
      </c>
      <c r="C276" s="310">
        <f>'B) D RI'!S277</f>
        <v>68</v>
      </c>
      <c r="D276" s="159">
        <f>'B) D RI'!AA277</f>
        <v>3032</v>
      </c>
      <c r="E276" s="308">
        <f>'D) Ecrêtage'!C275</f>
        <v>184082.76117647055</v>
      </c>
      <c r="F276" s="312">
        <f>'E) Fact soc'!G281</f>
        <v>4519780.8246623008</v>
      </c>
      <c r="G276" s="309">
        <f>'H) Péréquation directe'!I286</f>
        <v>2837656.5213369462</v>
      </c>
      <c r="H276" s="312">
        <f>+'I) Dépenses thématiques'!O275</f>
        <v>-396354.41257633799</v>
      </c>
      <c r="I276" s="309">
        <f>'K) Plafonnement aide'!J275</f>
        <v>0</v>
      </c>
      <c r="J276" s="312">
        <f>'J) Plafonnement effort'!I275</f>
        <v>0</v>
      </c>
      <c r="K276" s="309">
        <f>'L) Plafonnement taux'!Q276</f>
        <v>0</v>
      </c>
      <c r="L276" s="307">
        <f t="shared" si="20"/>
        <v>6961082.9334229082</v>
      </c>
      <c r="M276" s="227">
        <f>'M) Police'!O276</f>
        <v>219468.1761482924</v>
      </c>
      <c r="N276" s="227">
        <f t="shared" si="18"/>
        <v>7180551.1095712008</v>
      </c>
      <c r="O276" s="399">
        <f t="shared" si="19"/>
        <v>2441302.1087606084</v>
      </c>
      <c r="P276" s="314"/>
      <c r="Q276" s="493"/>
    </row>
    <row r="277" spans="1:17" s="160" customFormat="1" x14ac:dyDescent="0.25">
      <c r="A277" s="157">
        <f>'B) D RI'!A278</f>
        <v>5883</v>
      </c>
      <c r="B277" s="158" t="str">
        <f>'B) D RI'!B278</f>
        <v>Corseaux</v>
      </c>
      <c r="C277" s="310">
        <f>'B) D RI'!S278</f>
        <v>69</v>
      </c>
      <c r="D277" s="159">
        <f>'B) D RI'!AA278</f>
        <v>2287</v>
      </c>
      <c r="E277" s="308">
        <f>'D) Ecrêtage'!C276</f>
        <v>164555.95811594205</v>
      </c>
      <c r="F277" s="312">
        <f>'E) Fact soc'!G282</f>
        <v>3805231.3502226472</v>
      </c>
      <c r="G277" s="309">
        <f>'H) Péréquation directe'!I287</f>
        <v>2713875.5727472645</v>
      </c>
      <c r="H277" s="312">
        <f>+'I) Dépenses thématiques'!O276</f>
        <v>0</v>
      </c>
      <c r="I277" s="309">
        <f>'K) Plafonnement aide'!J276</f>
        <v>0</v>
      </c>
      <c r="J277" s="312">
        <f>'J) Plafonnement effort'!I276</f>
        <v>0</v>
      </c>
      <c r="K277" s="309">
        <f>'L) Plafonnement taux'!Q277</f>
        <v>0</v>
      </c>
      <c r="L277" s="307">
        <f t="shared" si="20"/>
        <v>6519106.9229699112</v>
      </c>
      <c r="M277" s="227">
        <f>'M) Police'!O277</f>
        <v>196187.82210366361</v>
      </c>
      <c r="N277" s="227">
        <f t="shared" si="18"/>
        <v>6715294.7450735746</v>
      </c>
      <c r="O277" s="399">
        <f t="shared" si="19"/>
        <v>2713875.5727472645</v>
      </c>
      <c r="P277" s="314"/>
      <c r="Q277" s="493"/>
    </row>
    <row r="278" spans="1:17" s="160" customFormat="1" x14ac:dyDescent="0.25">
      <c r="A278" s="157">
        <f>'B) D RI'!A279</f>
        <v>5884</v>
      </c>
      <c r="B278" s="158" t="str">
        <f>'B) D RI'!B279</f>
        <v>Corsier-sur-Vevey</v>
      </c>
      <c r="C278" s="310">
        <f>'B) D RI'!S279</f>
        <v>66</v>
      </c>
      <c r="D278" s="159">
        <f>'B) D RI'!AA279</f>
        <v>3363</v>
      </c>
      <c r="E278" s="308">
        <f>'D) Ecrêtage'!C277</f>
        <v>127106.22217171718</v>
      </c>
      <c r="F278" s="312">
        <f>'E) Fact soc'!G283</f>
        <v>2245108.7980423095</v>
      </c>
      <c r="G278" s="309">
        <f>'H) Péréquation directe'!I288</f>
        <v>990294.05418044375</v>
      </c>
      <c r="H278" s="312">
        <f>+'I) Dépenses thématiques'!O277</f>
        <v>-1421229.7120195532</v>
      </c>
      <c r="I278" s="309">
        <f>'K) Plafonnement aide'!J277</f>
        <v>0</v>
      </c>
      <c r="J278" s="312">
        <f>'J) Plafonnement effort'!I277</f>
        <v>0</v>
      </c>
      <c r="K278" s="309">
        <f>'L) Plafonnement taux'!Q278</f>
        <v>0</v>
      </c>
      <c r="L278" s="307">
        <f t="shared" si="20"/>
        <v>1814173.1402032</v>
      </c>
      <c r="M278" s="227">
        <f>'M) Police'!O278</f>
        <v>151539.28906131626</v>
      </c>
      <c r="N278" s="227">
        <f t="shared" si="18"/>
        <v>1965712.4292645163</v>
      </c>
      <c r="O278" s="399">
        <f t="shared" si="19"/>
        <v>-430935.65783910942</v>
      </c>
      <c r="P278" s="314"/>
      <c r="Q278" s="493"/>
    </row>
    <row r="279" spans="1:17" s="160" customFormat="1" x14ac:dyDescent="0.25">
      <c r="A279" s="157">
        <f>'B) D RI'!A280</f>
        <v>5885</v>
      </c>
      <c r="B279" s="158" t="str">
        <f>'B) D RI'!B280</f>
        <v>Jongny</v>
      </c>
      <c r="C279" s="310">
        <f>'B) D RI'!S280</f>
        <v>71</v>
      </c>
      <c r="D279" s="159">
        <f>'B) D RI'!AA280</f>
        <v>1544</v>
      </c>
      <c r="E279" s="308">
        <f>'D) Ecrêtage'!C278</f>
        <v>79120.74528169015</v>
      </c>
      <c r="F279" s="312">
        <f>'E) Fact soc'!G284</f>
        <v>1546213.8518320988</v>
      </c>
      <c r="G279" s="309">
        <f>'H) Péréquation directe'!I289</f>
        <v>1265957.7758380305</v>
      </c>
      <c r="H279" s="312">
        <f>+'I) Dépenses thématiques'!O278</f>
        <v>-116467.95495784891</v>
      </c>
      <c r="I279" s="309">
        <f>'K) Plafonnement aide'!J278</f>
        <v>0</v>
      </c>
      <c r="J279" s="312">
        <f>'J) Plafonnement effort'!I278</f>
        <v>0</v>
      </c>
      <c r="K279" s="309">
        <f>'L) Plafonnement taux'!Q279</f>
        <v>0</v>
      </c>
      <c r="L279" s="307">
        <f t="shared" si="20"/>
        <v>2695703.6727122804</v>
      </c>
      <c r="M279" s="227">
        <f>'M) Police'!O279</f>
        <v>94329.776191371464</v>
      </c>
      <c r="N279" s="227">
        <f t="shared" si="18"/>
        <v>2790033.4489036519</v>
      </c>
      <c r="O279" s="399">
        <f t="shared" si="19"/>
        <v>1149489.8208801816</v>
      </c>
      <c r="P279" s="314"/>
      <c r="Q279" s="493"/>
    </row>
    <row r="280" spans="1:17" s="160" customFormat="1" x14ac:dyDescent="0.25">
      <c r="A280" s="157">
        <f>'B) D RI'!A281</f>
        <v>5886</v>
      </c>
      <c r="B280" s="158" t="str">
        <f>'B) D RI'!B281</f>
        <v>Montreux</v>
      </c>
      <c r="C280" s="310">
        <f>'B) D RI'!S281</f>
        <v>65</v>
      </c>
      <c r="D280" s="159">
        <f>'B) D RI'!AA281</f>
        <v>26065</v>
      </c>
      <c r="E280" s="308">
        <f>'D) Ecrêtage'!C279</f>
        <v>1142059.586051282</v>
      </c>
      <c r="F280" s="312">
        <f>'E) Fact soc'!G285</f>
        <v>24889310.001661122</v>
      </c>
      <c r="G280" s="309">
        <f>'H) Péréquation directe'!I290</f>
        <v>-94803.718430891633</v>
      </c>
      <c r="H280" s="312">
        <f>+'I) Dépenses thématiques'!O279</f>
        <v>-5311381.4081647228</v>
      </c>
      <c r="I280" s="309">
        <f>'K) Plafonnement aide'!J279</f>
        <v>0</v>
      </c>
      <c r="J280" s="312">
        <f>'J) Plafonnement effort'!I279</f>
        <v>0</v>
      </c>
      <c r="K280" s="309">
        <f>'L) Plafonnement taux'!Q280</f>
        <v>0</v>
      </c>
      <c r="L280" s="307">
        <f t="shared" si="20"/>
        <v>19483124.875065506</v>
      </c>
      <c r="M280" s="227">
        <f>'M) Police'!O280</f>
        <v>1361592.64887964</v>
      </c>
      <c r="N280" s="227">
        <f t="shared" si="18"/>
        <v>20844717.523945145</v>
      </c>
      <c r="O280" s="399">
        <f t="shared" si="19"/>
        <v>-5406185.1265956145</v>
      </c>
      <c r="P280" s="314"/>
      <c r="Q280" s="493"/>
    </row>
    <row r="281" spans="1:17" s="160" customFormat="1" x14ac:dyDescent="0.25">
      <c r="A281" s="157">
        <f>'B) D RI'!A282</f>
        <v>5888</v>
      </c>
      <c r="B281" s="158" t="str">
        <f>'B) D RI'!B282</f>
        <v>Saint-Légier-La Chiésaz</v>
      </c>
      <c r="C281" s="310">
        <f>'B) D RI'!S282</f>
        <v>70</v>
      </c>
      <c r="D281" s="159">
        <f>'B) D RI'!AA282</f>
        <v>5243</v>
      </c>
      <c r="E281" s="308">
        <f>'D) Ecrêtage'!C280</f>
        <v>338249.0701666667</v>
      </c>
      <c r="F281" s="312">
        <f>'E) Fact soc'!G286</f>
        <v>7471028.40582739</v>
      </c>
      <c r="G281" s="309">
        <f>'H) Péréquation directe'!I291</f>
        <v>4786531.1145380586</v>
      </c>
      <c r="H281" s="312">
        <f>+'I) Dépenses thématiques'!O280</f>
        <v>-208737.14438075075</v>
      </c>
      <c r="I281" s="309">
        <f>'K) Plafonnement aide'!J280</f>
        <v>0</v>
      </c>
      <c r="J281" s="312">
        <f>'J) Plafonnement effort'!I280</f>
        <v>0</v>
      </c>
      <c r="K281" s="309">
        <f>'L) Plafonnement taux'!Q281</f>
        <v>0</v>
      </c>
      <c r="L281" s="307">
        <f t="shared" si="20"/>
        <v>12048822.375984699</v>
      </c>
      <c r="M281" s="227">
        <f>'M) Police'!O281</f>
        <v>403269.19282881136</v>
      </c>
      <c r="N281" s="227">
        <f t="shared" si="18"/>
        <v>12452091.56881351</v>
      </c>
      <c r="O281" s="399">
        <f t="shared" si="19"/>
        <v>4577793.9701573076</v>
      </c>
      <c r="P281" s="314"/>
      <c r="Q281" s="493"/>
    </row>
    <row r="282" spans="1:17" s="160" customFormat="1" x14ac:dyDescent="0.25">
      <c r="A282" s="157">
        <f>'B) D RI'!A283</f>
        <v>5889</v>
      </c>
      <c r="B282" s="158" t="str">
        <f>'B) D RI'!B283</f>
        <v>La Tour-de-Peilz</v>
      </c>
      <c r="C282" s="310">
        <f>'B) D RI'!S283</f>
        <v>64</v>
      </c>
      <c r="D282" s="159">
        <f>'B) D RI'!AA283</f>
        <v>11906</v>
      </c>
      <c r="E282" s="308">
        <f>'D) Ecrêtage'!C281</f>
        <v>693156.74124999996</v>
      </c>
      <c r="F282" s="312">
        <f>'E) Fact soc'!G287</f>
        <v>13955976.078285433</v>
      </c>
      <c r="G282" s="309">
        <f>'H) Péréquation directe'!I292</f>
        <v>7138995.1048888732</v>
      </c>
      <c r="H282" s="312">
        <f>+'I) Dépenses thématiques'!O281</f>
        <v>0</v>
      </c>
      <c r="I282" s="309">
        <f>'K) Plafonnement aide'!J281</f>
        <v>0</v>
      </c>
      <c r="J282" s="312">
        <f>'J) Plafonnement effort'!I281</f>
        <v>0</v>
      </c>
      <c r="K282" s="309">
        <f>'L) Plafonnement taux'!Q282</f>
        <v>0</v>
      </c>
      <c r="L282" s="307">
        <f t="shared" si="20"/>
        <v>21094971.183174305</v>
      </c>
      <c r="M282" s="227">
        <f>'M) Police'!O282</f>
        <v>826399.19574650563</v>
      </c>
      <c r="N282" s="227">
        <f t="shared" si="18"/>
        <v>21921370.378920808</v>
      </c>
      <c r="O282" s="399">
        <f t="shared" si="19"/>
        <v>7138995.1048888732</v>
      </c>
      <c r="P282" s="314"/>
      <c r="Q282" s="493"/>
    </row>
    <row r="283" spans="1:17" s="160" customFormat="1" x14ac:dyDescent="0.25">
      <c r="A283" s="157">
        <f>'B) D RI'!A284</f>
        <v>5890</v>
      </c>
      <c r="B283" s="158" t="str">
        <f>'B) D RI'!B284</f>
        <v>Vevey</v>
      </c>
      <c r="C283" s="310">
        <f>'B) D RI'!S284</f>
        <v>76</v>
      </c>
      <c r="D283" s="159">
        <f>'B) D RI'!AA284</f>
        <v>19871</v>
      </c>
      <c r="E283" s="308">
        <f>'D) Ecrêtage'!C282</f>
        <v>976839.63723684219</v>
      </c>
      <c r="F283" s="312">
        <f>'E) Fact soc'!G288</f>
        <v>16686685.000984279</v>
      </c>
      <c r="G283" s="309">
        <f>'H) Péréquation directe'!I293</f>
        <v>4578881.5522728469</v>
      </c>
      <c r="H283" s="312">
        <f>+'I) Dépenses thématiques'!O282</f>
        <v>-2728048.951317932</v>
      </c>
      <c r="I283" s="309">
        <f>'K) Plafonnement aide'!J282</f>
        <v>0</v>
      </c>
      <c r="J283" s="312">
        <f>'J) Plafonnement effort'!I282</f>
        <v>0</v>
      </c>
      <c r="K283" s="309">
        <f>'L) Plafonnement taux'!Q283</f>
        <v>0</v>
      </c>
      <c r="L283" s="307">
        <f t="shared" si="20"/>
        <v>18537517.601939194</v>
      </c>
      <c r="M283" s="227">
        <f>'M) Police'!O283</f>
        <v>1164613.2000823771</v>
      </c>
      <c r="N283" s="227">
        <f t="shared" si="18"/>
        <v>19702130.802021571</v>
      </c>
      <c r="O283" s="399">
        <f t="shared" si="19"/>
        <v>1850832.6009549149</v>
      </c>
      <c r="P283" s="314"/>
      <c r="Q283" s="493"/>
    </row>
    <row r="284" spans="1:17" s="160" customFormat="1" x14ac:dyDescent="0.25">
      <c r="A284" s="157">
        <f>'B) D RI'!A285</f>
        <v>5891</v>
      </c>
      <c r="B284" s="158" t="str">
        <f>'B) D RI'!B285</f>
        <v>Veytaux</v>
      </c>
      <c r="C284" s="310">
        <f>'B) D RI'!S285</f>
        <v>71</v>
      </c>
      <c r="D284" s="159">
        <f>'B) D RI'!AA285</f>
        <v>922</v>
      </c>
      <c r="E284" s="308">
        <f>'D) Ecrêtage'!C283</f>
        <v>37197.97126760563</v>
      </c>
      <c r="F284" s="312">
        <f>'E) Fact soc'!G289</f>
        <v>657131.67224249791</v>
      </c>
      <c r="G284" s="309">
        <f>'H) Péréquation directe'!I294</f>
        <v>503611.80047016119</v>
      </c>
      <c r="H284" s="312">
        <f>+'I) Dépenses thématiques'!O283</f>
        <v>-880503.16356111411</v>
      </c>
      <c r="I284" s="309">
        <f>'K) Plafonnement aide'!J283</f>
        <v>0</v>
      </c>
      <c r="J284" s="312">
        <f>'J) Plafonnement effort'!I283</f>
        <v>0</v>
      </c>
      <c r="K284" s="309">
        <f>'L) Plafonnement taux'!Q284</f>
        <v>0</v>
      </c>
      <c r="L284" s="307">
        <f t="shared" si="20"/>
        <v>280240.30915154493</v>
      </c>
      <c r="M284" s="227">
        <f>'M) Police'!O284</f>
        <v>44348.372755511911</v>
      </c>
      <c r="N284" s="227">
        <f t="shared" si="18"/>
        <v>324588.68190705683</v>
      </c>
      <c r="O284" s="399">
        <f t="shared" si="19"/>
        <v>-376891.36309095292</v>
      </c>
      <c r="P284" s="314"/>
      <c r="Q284" s="493"/>
    </row>
    <row r="285" spans="1:17" s="160" customFormat="1" x14ac:dyDescent="0.25">
      <c r="A285" s="157">
        <f>'B) D RI'!A286</f>
        <v>5902</v>
      </c>
      <c r="B285" s="158" t="str">
        <f>'B) D RI'!B286</f>
        <v>Belmont-sur-Yverdon</v>
      </c>
      <c r="C285" s="310">
        <f>'B) D RI'!S286</f>
        <v>76</v>
      </c>
      <c r="D285" s="159">
        <f>'B) D RI'!AA286</f>
        <v>374</v>
      </c>
      <c r="E285" s="308">
        <f>'D) Ecrêtage'!C284</f>
        <v>10777.690131578949</v>
      </c>
      <c r="F285" s="312">
        <f>'E) Fact soc'!G290</f>
        <v>385873.34319812362</v>
      </c>
      <c r="G285" s="309">
        <f>'H) Péréquation directe'!I295</f>
        <v>12053.712463275122</v>
      </c>
      <c r="H285" s="312">
        <f>+'I) Dépenses thématiques'!O284</f>
        <v>-9280.3003863698832</v>
      </c>
      <c r="I285" s="309">
        <f>'K) Plafonnement aide'!J284</f>
        <v>0</v>
      </c>
      <c r="J285" s="312">
        <f>'J) Plafonnement effort'!I284</f>
        <v>0</v>
      </c>
      <c r="K285" s="309">
        <f>'L) Plafonnement taux'!Q285</f>
        <v>-45319.162017875293</v>
      </c>
      <c r="L285" s="307">
        <f t="shared" si="20"/>
        <v>343327.59325715358</v>
      </c>
      <c r="M285" s="227">
        <f>'M) Police'!O285</f>
        <v>32930.254940463463</v>
      </c>
      <c r="N285" s="227">
        <f t="shared" si="18"/>
        <v>376257.84819761704</v>
      </c>
      <c r="O285" s="399">
        <f t="shared" si="19"/>
        <v>-42545.749940970054</v>
      </c>
      <c r="P285" s="314"/>
      <c r="Q285" s="493"/>
    </row>
    <row r="286" spans="1:17" s="160" customFormat="1" x14ac:dyDescent="0.25">
      <c r="A286" s="157">
        <f>'B) D RI'!A287</f>
        <v>5903</v>
      </c>
      <c r="B286" s="158" t="str">
        <f>'B) D RI'!B287</f>
        <v>Bioley-Magnoux</v>
      </c>
      <c r="C286" s="310">
        <f>'B) D RI'!S287</f>
        <v>74</v>
      </c>
      <c r="D286" s="159">
        <f>'B) D RI'!AA287</f>
        <v>228</v>
      </c>
      <c r="E286" s="308">
        <f>'D) Ecrêtage'!C285</f>
        <v>6482.7722393822396</v>
      </c>
      <c r="F286" s="312">
        <f>'E) Fact soc'!G291</f>
        <v>102735.50322359994</v>
      </c>
      <c r="G286" s="309">
        <f>'H) Péréquation directe'!I296</f>
        <v>8655.0740067920851</v>
      </c>
      <c r="H286" s="312">
        <f>+'I) Dépenses thématiques'!O285</f>
        <v>-209109.50837344251</v>
      </c>
      <c r="I286" s="309">
        <f>'K) Plafonnement aide'!J285</f>
        <v>0</v>
      </c>
      <c r="J286" s="312">
        <f>'J) Plafonnement effort'!I285</f>
        <v>0</v>
      </c>
      <c r="K286" s="309">
        <f>'L) Plafonnement taux'!Q286</f>
        <v>0</v>
      </c>
      <c r="L286" s="307">
        <f t="shared" si="20"/>
        <v>-97718.931143050489</v>
      </c>
      <c r="M286" s="227">
        <f>'M) Police'!O286</f>
        <v>19704.801467861522</v>
      </c>
      <c r="N286" s="227">
        <f t="shared" si="18"/>
        <v>-78014.129675188975</v>
      </c>
      <c r="O286" s="399">
        <f t="shared" si="19"/>
        <v>-200454.43436665041</v>
      </c>
      <c r="P286" s="314"/>
      <c r="Q286" s="493"/>
    </row>
    <row r="287" spans="1:17" s="160" customFormat="1" x14ac:dyDescent="0.25">
      <c r="A287" s="157">
        <f>'B) D RI'!A288</f>
        <v>5904</v>
      </c>
      <c r="B287" s="158" t="str">
        <f>'B) D RI'!B288</f>
        <v>Chamblon</v>
      </c>
      <c r="C287" s="310">
        <f>'B) D RI'!S288</f>
        <v>66</v>
      </c>
      <c r="D287" s="159">
        <f>'B) D RI'!AA288</f>
        <v>540</v>
      </c>
      <c r="E287" s="308">
        <f>'D) Ecrêtage'!C286</f>
        <v>21977.410303030305</v>
      </c>
      <c r="F287" s="312">
        <f>'E) Fact soc'!G292</f>
        <v>349310.58205497119</v>
      </c>
      <c r="G287" s="309">
        <f>'H) Péréquation directe'!I297</f>
        <v>312008.90521760349</v>
      </c>
      <c r="H287" s="312">
        <f>+'I) Dépenses thématiques'!O286</f>
        <v>0</v>
      </c>
      <c r="I287" s="309">
        <f>'K) Plafonnement aide'!J286</f>
        <v>0</v>
      </c>
      <c r="J287" s="312">
        <f>'J) Plafonnement effort'!I286</f>
        <v>0</v>
      </c>
      <c r="K287" s="309">
        <f>'L) Plafonnement taux'!Q287</f>
        <v>0</v>
      </c>
      <c r="L287" s="307">
        <f t="shared" si="20"/>
        <v>661319.48727257468</v>
      </c>
      <c r="M287" s="227">
        <f>'M) Police'!O287</f>
        <v>26202.030678173414</v>
      </c>
      <c r="N287" s="227">
        <f t="shared" si="18"/>
        <v>687521.51795074809</v>
      </c>
      <c r="O287" s="399">
        <f t="shared" si="19"/>
        <v>312008.90521760349</v>
      </c>
      <c r="P287" s="314"/>
      <c r="Q287" s="493"/>
    </row>
    <row r="288" spans="1:17" s="160" customFormat="1" x14ac:dyDescent="0.25">
      <c r="A288" s="157">
        <f>'B) D RI'!A289</f>
        <v>5905</v>
      </c>
      <c r="B288" s="158" t="str">
        <f>'B) D RI'!B289</f>
        <v>Champvent</v>
      </c>
      <c r="C288" s="310">
        <f>'B) D RI'!S289</f>
        <v>71</v>
      </c>
      <c r="D288" s="159">
        <f>'B) D RI'!AA289</f>
        <v>689</v>
      </c>
      <c r="E288" s="308">
        <f>'D) Ecrêtage'!C287</f>
        <v>23661.341690140842</v>
      </c>
      <c r="F288" s="312">
        <f>'E) Fact soc'!G293</f>
        <v>524215.59171682061</v>
      </c>
      <c r="G288" s="309">
        <f>'H) Péréquation directe'!I298</f>
        <v>211032.53575112729</v>
      </c>
      <c r="H288" s="312">
        <f>+'I) Dépenses thématiques'!O287</f>
        <v>-30487.57941285515</v>
      </c>
      <c r="I288" s="309">
        <f>'K) Plafonnement aide'!J287</f>
        <v>0</v>
      </c>
      <c r="J288" s="312">
        <f>'J) Plafonnement effort'!I287</f>
        <v>0</v>
      </c>
      <c r="K288" s="309">
        <f>'L) Plafonnement taux'!Q288</f>
        <v>0</v>
      </c>
      <c r="L288" s="307">
        <f t="shared" si="20"/>
        <v>704760.5480550928</v>
      </c>
      <c r="M288" s="227">
        <f>'M) Police'!O288</f>
        <v>72663.514775867356</v>
      </c>
      <c r="N288" s="227">
        <f t="shared" si="18"/>
        <v>777424.06283096015</v>
      </c>
      <c r="O288" s="399">
        <f t="shared" si="19"/>
        <v>180544.95633827214</v>
      </c>
      <c r="P288" s="314"/>
      <c r="Q288" s="493"/>
    </row>
    <row r="289" spans="1:17" s="160" customFormat="1" x14ac:dyDescent="0.25">
      <c r="A289" s="157">
        <f>'B) D RI'!A290</f>
        <v>5907</v>
      </c>
      <c r="B289" s="158" t="str">
        <f>'B) D RI'!B290</f>
        <v>Chavannes-le-Chêne</v>
      </c>
      <c r="C289" s="310">
        <f>'B) D RI'!S290</f>
        <v>78</v>
      </c>
      <c r="D289" s="159">
        <f>'B) D RI'!AA290</f>
        <v>311</v>
      </c>
      <c r="E289" s="308">
        <f>'D) Ecrêtage'!C288</f>
        <v>9481.5466666666634</v>
      </c>
      <c r="F289" s="312">
        <f>'E) Fact soc'!G294</f>
        <v>144803.43237457945</v>
      </c>
      <c r="G289" s="309">
        <f>'H) Péréquation directe'!I299</f>
        <v>25981.069086945907</v>
      </c>
      <c r="H289" s="312">
        <f>+'I) Dépenses thématiques'!O288</f>
        <v>-80996.928333337681</v>
      </c>
      <c r="I289" s="309">
        <f>'K) Plafonnement aide'!J288</f>
        <v>0</v>
      </c>
      <c r="J289" s="312">
        <f>'J) Plafonnement effort'!I288</f>
        <v>0</v>
      </c>
      <c r="K289" s="309">
        <f>'L) Plafonnement taux'!Q289</f>
        <v>0</v>
      </c>
      <c r="L289" s="307">
        <f t="shared" si="20"/>
        <v>89787.57312818768</v>
      </c>
      <c r="M289" s="227">
        <f>'M) Police'!O289</f>
        <v>28993.358855204882</v>
      </c>
      <c r="N289" s="227">
        <f t="shared" si="18"/>
        <v>118780.93198339257</v>
      </c>
      <c r="O289" s="399">
        <f t="shared" si="19"/>
        <v>-55015.859246391774</v>
      </c>
      <c r="P289" s="314"/>
      <c r="Q289" s="493"/>
    </row>
    <row r="290" spans="1:17" s="160" customFormat="1" x14ac:dyDescent="0.25">
      <c r="A290" s="157">
        <f>'B) D RI'!A291</f>
        <v>5908</v>
      </c>
      <c r="B290" s="158" t="str">
        <f>'B) D RI'!B291</f>
        <v>Chêne-Pâquier</v>
      </c>
      <c r="C290" s="310">
        <f>'B) D RI'!S291</f>
        <v>79</v>
      </c>
      <c r="D290" s="159">
        <f>'B) D RI'!AA291</f>
        <v>153</v>
      </c>
      <c r="E290" s="308">
        <f>'D) Ecrêtage'!C289</f>
        <v>3375.4056962025325</v>
      </c>
      <c r="F290" s="312">
        <f>'E) Fact soc'!G295</f>
        <v>51924.688683510503</v>
      </c>
      <c r="G290" s="309">
        <f>'H) Péréquation directe'!I300</f>
        <v>-46448.09879836702</v>
      </c>
      <c r="H290" s="312">
        <f>+'I) Dépenses thématiques'!O289</f>
        <v>-23953.073297061419</v>
      </c>
      <c r="I290" s="309">
        <f>'K) Plafonnement aide'!J289</f>
        <v>0</v>
      </c>
      <c r="J290" s="312">
        <f>'J) Plafonnement effort'!I289</f>
        <v>0</v>
      </c>
      <c r="K290" s="309">
        <f>'L) Plafonnement taux'!Q290</f>
        <v>0</v>
      </c>
      <c r="L290" s="307">
        <f t="shared" si="20"/>
        <v>-18476.483411917936</v>
      </c>
      <c r="M290" s="227">
        <f>'M) Police'!O290</f>
        <v>10314.433611155951</v>
      </c>
      <c r="N290" s="227">
        <f t="shared" si="18"/>
        <v>-8162.0498007619844</v>
      </c>
      <c r="O290" s="399">
        <f t="shared" si="19"/>
        <v>-70401.172095428439</v>
      </c>
      <c r="P290" s="314"/>
      <c r="Q290" s="493"/>
    </row>
    <row r="291" spans="1:17" s="160" customFormat="1" x14ac:dyDescent="0.25">
      <c r="A291" s="157">
        <f>'B) D RI'!A292</f>
        <v>5909</v>
      </c>
      <c r="B291" s="158" t="str">
        <f>'B) D RI'!B292</f>
        <v>Cheseaux-Noréaz</v>
      </c>
      <c r="C291" s="310">
        <f>'B) D RI'!S292</f>
        <v>70</v>
      </c>
      <c r="D291" s="159">
        <f>'B) D RI'!AA292</f>
        <v>725</v>
      </c>
      <c r="E291" s="308">
        <f>'D) Ecrêtage'!C290</f>
        <v>32349.342000000001</v>
      </c>
      <c r="F291" s="312">
        <f>'E) Fact soc'!G296</f>
        <v>586823.87853651529</v>
      </c>
      <c r="G291" s="309">
        <f>'H) Péréquation directe'!I301</f>
        <v>520888.34346467338</v>
      </c>
      <c r="H291" s="312">
        <f>+'I) Dépenses thématiques'!O290</f>
        <v>-109205.0071044698</v>
      </c>
      <c r="I291" s="309">
        <f>'K) Plafonnement aide'!J290</f>
        <v>0</v>
      </c>
      <c r="J291" s="312">
        <f>'J) Plafonnement effort'!I290</f>
        <v>0</v>
      </c>
      <c r="K291" s="309">
        <f>'L) Plafonnement taux'!Q291</f>
        <v>0</v>
      </c>
      <c r="L291" s="307">
        <f t="shared" si="20"/>
        <v>998507.21489671886</v>
      </c>
      <c r="M291" s="227">
        <f>'M) Police'!O291</f>
        <v>38567.712929573499</v>
      </c>
      <c r="N291" s="227">
        <f t="shared" si="18"/>
        <v>1037074.9278262923</v>
      </c>
      <c r="O291" s="399">
        <f t="shared" si="19"/>
        <v>411683.33636020357</v>
      </c>
      <c r="P291" s="314"/>
      <c r="Q291" s="493"/>
    </row>
    <row r="292" spans="1:17" s="160" customFormat="1" x14ac:dyDescent="0.25">
      <c r="A292" s="157">
        <f>'B) D RI'!A293</f>
        <v>5910</v>
      </c>
      <c r="B292" s="158" t="str">
        <f>'B) D RI'!B293</f>
        <v>Cronay</v>
      </c>
      <c r="C292" s="310">
        <f>'B) D RI'!S293</f>
        <v>79</v>
      </c>
      <c r="D292" s="159">
        <f>'B) D RI'!AA293</f>
        <v>394</v>
      </c>
      <c r="E292" s="308">
        <f>'D) Ecrêtage'!C291</f>
        <v>10200.577848101264</v>
      </c>
      <c r="F292" s="312">
        <f>'E) Fact soc'!G297</f>
        <v>226686.41271492222</v>
      </c>
      <c r="G292" s="309">
        <f>'H) Péréquation directe'!I302</f>
        <v>-52161.656123398512</v>
      </c>
      <c r="H292" s="312">
        <f>+'I) Dépenses thématiques'!O291</f>
        <v>-970.11771048341825</v>
      </c>
      <c r="I292" s="309">
        <f>'K) Plafonnement aide'!J291</f>
        <v>0</v>
      </c>
      <c r="J292" s="312">
        <f>'J) Plafonnement effort'!I291</f>
        <v>0</v>
      </c>
      <c r="K292" s="309">
        <f>'L) Plafonnement taux'!Q292</f>
        <v>0</v>
      </c>
      <c r="L292" s="307">
        <f t="shared" si="20"/>
        <v>173554.6388810403</v>
      </c>
      <c r="M292" s="227">
        <f>'M) Police'!O292</f>
        <v>31204.327784755606</v>
      </c>
      <c r="N292" s="227">
        <f t="shared" si="18"/>
        <v>204758.96666579592</v>
      </c>
      <c r="O292" s="399">
        <f t="shared" si="19"/>
        <v>-53131.773833881933</v>
      </c>
      <c r="P292" s="314"/>
      <c r="Q292" s="493"/>
    </row>
    <row r="293" spans="1:17" s="160" customFormat="1" x14ac:dyDescent="0.25">
      <c r="A293" s="157">
        <f>'B) D RI'!A294</f>
        <v>5911</v>
      </c>
      <c r="B293" s="158" t="str">
        <f>'B) D RI'!B294</f>
        <v>Cuarny</v>
      </c>
      <c r="C293" s="310">
        <f>'B) D RI'!S294</f>
        <v>79</v>
      </c>
      <c r="D293" s="159">
        <f>'B) D RI'!AA294</f>
        <v>239</v>
      </c>
      <c r="E293" s="308">
        <f>'D) Ecrêtage'!C292</f>
        <v>7836.9853164556971</v>
      </c>
      <c r="F293" s="312">
        <f>'E) Fact soc'!G298</f>
        <v>107482.91467349989</v>
      </c>
      <c r="G293" s="309">
        <f>'H) Péréquation directe'!I303</f>
        <v>42112.325316297269</v>
      </c>
      <c r="H293" s="312">
        <f>+'I) Dépenses thématiques'!O292</f>
        <v>-14502.444298156637</v>
      </c>
      <c r="I293" s="309">
        <f>'K) Plafonnement aide'!J292</f>
        <v>0</v>
      </c>
      <c r="J293" s="312">
        <f>'J) Plafonnement effort'!I292</f>
        <v>0</v>
      </c>
      <c r="K293" s="309">
        <f>'L) Plafonnement taux'!Q293</f>
        <v>0</v>
      </c>
      <c r="L293" s="307">
        <f t="shared" si="20"/>
        <v>135092.79569164055</v>
      </c>
      <c r="M293" s="227">
        <f>'M) Police'!O293</f>
        <v>24147.193327722052</v>
      </c>
      <c r="N293" s="227">
        <f t="shared" si="18"/>
        <v>159239.98901936261</v>
      </c>
      <c r="O293" s="399">
        <f t="shared" si="19"/>
        <v>27609.88101814063</v>
      </c>
      <c r="P293" s="314"/>
      <c r="Q293" s="493"/>
    </row>
    <row r="294" spans="1:17" s="160" customFormat="1" x14ac:dyDescent="0.25">
      <c r="A294" s="157">
        <f>'B) D RI'!A295</f>
        <v>5912</v>
      </c>
      <c r="B294" s="158" t="str">
        <f>'B) D RI'!B295</f>
        <v>Démoret</v>
      </c>
      <c r="C294" s="310">
        <f>'B) D RI'!S295</f>
        <v>81</v>
      </c>
      <c r="D294" s="159">
        <f>'B) D RI'!AA295</f>
        <v>156</v>
      </c>
      <c r="E294" s="308">
        <f>'D) Ecrêtage'!C293</f>
        <v>3965.4814814814822</v>
      </c>
      <c r="F294" s="312">
        <f>'E) Fact soc'!G299</f>
        <v>58257.568193833831</v>
      </c>
      <c r="G294" s="309">
        <f>'H) Péréquation directe'!I304</f>
        <v>-28221.860710228822</v>
      </c>
      <c r="H294" s="312">
        <f>+'I) Dépenses thématiques'!O293</f>
        <v>-17174.985321723372</v>
      </c>
      <c r="I294" s="309">
        <f>'K) Plafonnement aide'!J293</f>
        <v>0</v>
      </c>
      <c r="J294" s="312">
        <f>'J) Plafonnement effort'!I293</f>
        <v>0</v>
      </c>
      <c r="K294" s="309">
        <f>'L) Plafonnement taux'!Q294</f>
        <v>0</v>
      </c>
      <c r="L294" s="307">
        <f t="shared" si="20"/>
        <v>12860.722161881637</v>
      </c>
      <c r="M294" s="227">
        <f>'M) Police'!O294</f>
        <v>12153.933632288612</v>
      </c>
      <c r="N294" s="227">
        <f t="shared" si="18"/>
        <v>25014.655794170249</v>
      </c>
      <c r="O294" s="399">
        <f t="shared" si="19"/>
        <v>-45396.846031952198</v>
      </c>
      <c r="P294" s="314"/>
      <c r="Q294" s="493"/>
    </row>
    <row r="295" spans="1:17" s="160" customFormat="1" x14ac:dyDescent="0.25">
      <c r="A295" s="157">
        <f>'B) D RI'!A296</f>
        <v>5913</v>
      </c>
      <c r="B295" s="158" t="str">
        <f>'B) D RI'!B296</f>
        <v>Donneloye</v>
      </c>
      <c r="C295" s="310">
        <f>'B) D RI'!S296</f>
        <v>73</v>
      </c>
      <c r="D295" s="159">
        <f>'B) D RI'!AA296</f>
        <v>823</v>
      </c>
      <c r="E295" s="308">
        <f>'D) Ecrêtage'!C294</f>
        <v>21603.148082191776</v>
      </c>
      <c r="F295" s="312">
        <f>'E) Fact soc'!G300</f>
        <v>400404.90661387151</v>
      </c>
      <c r="G295" s="309">
        <f>'H) Péréquation directe'!I305</f>
        <v>-33688.776539580896</v>
      </c>
      <c r="H295" s="312">
        <f>+'I) Dépenses thématiques'!O294</f>
        <v>-55292.696861689532</v>
      </c>
      <c r="I295" s="309">
        <f>'K) Plafonnement aide'!J294</f>
        <v>0</v>
      </c>
      <c r="J295" s="312">
        <f>'J) Plafonnement effort'!I294</f>
        <v>0</v>
      </c>
      <c r="K295" s="309">
        <f>'L) Plafonnement taux'!Q295</f>
        <v>0</v>
      </c>
      <c r="L295" s="307">
        <f t="shared" si="20"/>
        <v>311423.43321260111</v>
      </c>
      <c r="M295" s="227">
        <f>'M) Police'!O295</f>
        <v>65788.023220253992</v>
      </c>
      <c r="N295" s="227">
        <f t="shared" si="18"/>
        <v>377211.45643285511</v>
      </c>
      <c r="O295" s="399">
        <f t="shared" si="19"/>
        <v>-88981.473401270428</v>
      </c>
      <c r="P295" s="314"/>
      <c r="Q295" s="493"/>
    </row>
    <row r="296" spans="1:17" s="160" customFormat="1" x14ac:dyDescent="0.25">
      <c r="A296" s="157">
        <f>'B) D RI'!A297</f>
        <v>5914</v>
      </c>
      <c r="B296" s="158" t="str">
        <f>'B) D RI'!B297</f>
        <v>Ependes</v>
      </c>
      <c r="C296" s="310">
        <f>'B) D RI'!S297</f>
        <v>75</v>
      </c>
      <c r="D296" s="159">
        <f>'B) D RI'!AA297</f>
        <v>357</v>
      </c>
      <c r="E296" s="308">
        <f>'D) Ecrêtage'!C295</f>
        <v>10115.447866666666</v>
      </c>
      <c r="F296" s="312">
        <f>'E) Fact soc'!G301</f>
        <v>159845.17356497375</v>
      </c>
      <c r="G296" s="309">
        <f>'H) Péréquation directe'!I306</f>
        <v>8126.7788560951594</v>
      </c>
      <c r="H296" s="312">
        <f>+'I) Dépenses thématiques'!O295</f>
        <v>-46879.278915936025</v>
      </c>
      <c r="I296" s="309">
        <f>'K) Plafonnement aide'!J295</f>
        <v>0</v>
      </c>
      <c r="J296" s="312">
        <f>'J) Plafonnement effort'!I295</f>
        <v>0</v>
      </c>
      <c r="K296" s="309">
        <f>'L) Plafonnement taux'!Q296</f>
        <v>0</v>
      </c>
      <c r="L296" s="307">
        <f t="shared" si="20"/>
        <v>121092.67350513289</v>
      </c>
      <c r="M296" s="227">
        <f>'M) Police'!O296</f>
        <v>12059.895668841322</v>
      </c>
      <c r="N296" s="227">
        <f t="shared" si="18"/>
        <v>133152.56917397422</v>
      </c>
      <c r="O296" s="399">
        <f t="shared" si="19"/>
        <v>-38752.500059840866</v>
      </c>
      <c r="P296" s="314"/>
      <c r="Q296" s="493"/>
    </row>
    <row r="297" spans="1:17" s="160" customFormat="1" x14ac:dyDescent="0.25">
      <c r="A297" s="157">
        <f>'B) D RI'!A298</f>
        <v>5919</v>
      </c>
      <c r="B297" s="158" t="str">
        <f>'B) D RI'!B298</f>
        <v>Mathod</v>
      </c>
      <c r="C297" s="310">
        <f>'B) D RI'!S298</f>
        <v>72</v>
      </c>
      <c r="D297" s="159">
        <f>'B) D RI'!AA298</f>
        <v>601</v>
      </c>
      <c r="E297" s="308">
        <f>'D) Ecrêtage'!C296</f>
        <v>17475.442962962959</v>
      </c>
      <c r="F297" s="312">
        <f>'E) Fact soc'!G302</f>
        <v>287394.81815006572</v>
      </c>
      <c r="G297" s="309">
        <f>'H) Péréquation directe'!I307</f>
        <v>51491.544452363392</v>
      </c>
      <c r="H297" s="312">
        <f>+'I) Dépenses thématiques'!O296</f>
        <v>-90776.647724774113</v>
      </c>
      <c r="I297" s="309">
        <f>'K) Plafonnement aide'!J296</f>
        <v>0</v>
      </c>
      <c r="J297" s="312">
        <f>'J) Plafonnement effort'!I296</f>
        <v>0</v>
      </c>
      <c r="K297" s="309">
        <f>'L) Plafonnement taux'!Q297</f>
        <v>0</v>
      </c>
      <c r="L297" s="307">
        <f t="shared" si="20"/>
        <v>248109.714877655</v>
      </c>
      <c r="M297" s="227">
        <f>'M) Police'!O297</f>
        <v>20834.670068797404</v>
      </c>
      <c r="N297" s="227">
        <f t="shared" si="18"/>
        <v>268944.3849464524</v>
      </c>
      <c r="O297" s="399">
        <f t="shared" si="19"/>
        <v>-39285.103272410721</v>
      </c>
      <c r="P297" s="314"/>
      <c r="Q297" s="493"/>
    </row>
    <row r="298" spans="1:17" s="160" customFormat="1" x14ac:dyDescent="0.25">
      <c r="A298" s="157">
        <f>'B) D RI'!A299</f>
        <v>5921</v>
      </c>
      <c r="B298" s="158" t="str">
        <f>'B) D RI'!B299</f>
        <v>Molondin</v>
      </c>
      <c r="C298" s="310">
        <f>'B) D RI'!S299</f>
        <v>81</v>
      </c>
      <c r="D298" s="159">
        <f>'B) D RI'!AA299</f>
        <v>240</v>
      </c>
      <c r="E298" s="308">
        <f>'D) Ecrêtage'!C297</f>
        <v>5665.6146913580242</v>
      </c>
      <c r="F298" s="312">
        <f>'E) Fact soc'!G303</f>
        <v>104839.66661120014</v>
      </c>
      <c r="G298" s="309">
        <f>'H) Péréquation directe'!I308</f>
        <v>-63427.263265973859</v>
      </c>
      <c r="H298" s="312">
        <f>+'I) Dépenses thématiques'!O297</f>
        <v>-36991.159961922902</v>
      </c>
      <c r="I298" s="309">
        <f>'K) Plafonnement aide'!J297</f>
        <v>0</v>
      </c>
      <c r="J298" s="312">
        <f>'J) Plafonnement effort'!I297</f>
        <v>0</v>
      </c>
      <c r="K298" s="309">
        <f>'L) Plafonnement taux'!Q298</f>
        <v>0</v>
      </c>
      <c r="L298" s="307">
        <f t="shared" si="20"/>
        <v>4421.2433833033792</v>
      </c>
      <c r="M298" s="227">
        <f>'M) Police'!O298</f>
        <v>17296.654694740315</v>
      </c>
      <c r="N298" s="227">
        <f t="shared" si="18"/>
        <v>21717.898078043694</v>
      </c>
      <c r="O298" s="399">
        <f t="shared" si="19"/>
        <v>-100418.42322789677</v>
      </c>
      <c r="P298" s="314"/>
      <c r="Q298" s="493"/>
    </row>
    <row r="299" spans="1:17" s="160" customFormat="1" x14ac:dyDescent="0.25">
      <c r="A299" s="157">
        <f>'B) D RI'!A300</f>
        <v>5922</v>
      </c>
      <c r="B299" s="158" t="str">
        <f>'B) D RI'!B300</f>
        <v>Montagny-près-Yverdon</v>
      </c>
      <c r="C299" s="310">
        <f>'B) D RI'!S300</f>
        <v>65</v>
      </c>
      <c r="D299" s="159">
        <f>'B) D RI'!AA300</f>
        <v>747</v>
      </c>
      <c r="E299" s="308">
        <f>'D) Ecrêtage'!C298</f>
        <v>37619.371576923077</v>
      </c>
      <c r="F299" s="312">
        <f>'E) Fact soc'!G304</f>
        <v>747041.01154707849</v>
      </c>
      <c r="G299" s="309">
        <f>'H) Péréquation directe'!I309</f>
        <v>658794.44598699093</v>
      </c>
      <c r="H299" s="312">
        <f>+'I) Dépenses thématiques'!O298</f>
        <v>-201287.84593382289</v>
      </c>
      <c r="I299" s="309">
        <f>'K) Plafonnement aide'!J298</f>
        <v>0</v>
      </c>
      <c r="J299" s="312">
        <f>'J) Plafonnement effort'!I298</f>
        <v>0</v>
      </c>
      <c r="K299" s="309">
        <f>'L) Plafonnement taux'!Q299</f>
        <v>0</v>
      </c>
      <c r="L299" s="307">
        <f t="shared" si="20"/>
        <v>1204547.6116002465</v>
      </c>
      <c r="M299" s="227">
        <f>'M) Police'!O299</f>
        <v>108091.40898241052</v>
      </c>
      <c r="N299" s="227">
        <f t="shared" si="18"/>
        <v>1312639.0205826571</v>
      </c>
      <c r="O299" s="399">
        <f t="shared" si="19"/>
        <v>457506.60005316802</v>
      </c>
      <c r="P299" s="314"/>
      <c r="Q299" s="493"/>
    </row>
    <row r="300" spans="1:17" s="160" customFormat="1" x14ac:dyDescent="0.25">
      <c r="A300" s="157">
        <f>'B) D RI'!A301</f>
        <v>5923</v>
      </c>
      <c r="B300" s="158" t="str">
        <f>'B) D RI'!B301</f>
        <v>Oppens</v>
      </c>
      <c r="C300" s="310">
        <f>'B) D RI'!S301</f>
        <v>81</v>
      </c>
      <c r="D300" s="159">
        <f>'B) D RI'!AA301</f>
        <v>202</v>
      </c>
      <c r="E300" s="308">
        <f>'D) Ecrêtage'!C299</f>
        <v>5399.502592592592</v>
      </c>
      <c r="F300" s="312">
        <f>'E) Fact soc'!G305</f>
        <v>93606.158152203527</v>
      </c>
      <c r="G300" s="309">
        <f>'H) Péréquation directe'!I310</f>
        <v>-24371.043890447138</v>
      </c>
      <c r="H300" s="312">
        <f>+'I) Dépenses thématiques'!O299</f>
        <v>-30692.709533058889</v>
      </c>
      <c r="I300" s="309">
        <f>'K) Plafonnement aide'!J299</f>
        <v>0</v>
      </c>
      <c r="J300" s="312">
        <f>'J) Plafonnement effort'!I299</f>
        <v>0</v>
      </c>
      <c r="K300" s="309">
        <f>'L) Plafonnement taux'!Q300</f>
        <v>0</v>
      </c>
      <c r="L300" s="307">
        <f t="shared" si="20"/>
        <v>38542.404728697496</v>
      </c>
      <c r="M300" s="227">
        <f>'M) Police'!O300</f>
        <v>16598.652501049153</v>
      </c>
      <c r="N300" s="227">
        <f t="shared" si="18"/>
        <v>55141.05722974665</v>
      </c>
      <c r="O300" s="399">
        <f t="shared" si="19"/>
        <v>-55063.75342350603</v>
      </c>
      <c r="P300" s="314"/>
      <c r="Q300" s="493"/>
    </row>
    <row r="301" spans="1:17" s="160" customFormat="1" x14ac:dyDescent="0.25">
      <c r="A301" s="157">
        <f>'B) D RI'!A302</f>
        <v>5924</v>
      </c>
      <c r="B301" s="158" t="str">
        <f>'B) D RI'!B302</f>
        <v>Orges</v>
      </c>
      <c r="C301" s="310">
        <f>'B) D RI'!S302</f>
        <v>74</v>
      </c>
      <c r="D301" s="159">
        <f>'B) D RI'!AA302</f>
        <v>332</v>
      </c>
      <c r="E301" s="308">
        <f>'D) Ecrêtage'!C300</f>
        <v>11911.353243243244</v>
      </c>
      <c r="F301" s="312">
        <f>'E) Fact soc'!G306</f>
        <v>222774.89730027039</v>
      </c>
      <c r="G301" s="309">
        <f>'H) Péréquation directe'!I311</f>
        <v>115637.1267969508</v>
      </c>
      <c r="H301" s="312">
        <f>+'I) Dépenses thématiques'!O300</f>
        <v>0</v>
      </c>
      <c r="I301" s="309">
        <f>'K) Plafonnement aide'!J300</f>
        <v>0</v>
      </c>
      <c r="J301" s="312">
        <f>'J) Plafonnement effort'!I300</f>
        <v>0</v>
      </c>
      <c r="K301" s="309">
        <f>'L) Plafonnement taux'!Q301</f>
        <v>0</v>
      </c>
      <c r="L301" s="307">
        <f t="shared" si="20"/>
        <v>338412.02409722121</v>
      </c>
      <c r="M301" s="227">
        <f>'M) Police'!O301</f>
        <v>36587.084587154248</v>
      </c>
      <c r="N301" s="227">
        <f t="shared" si="18"/>
        <v>374999.10868437547</v>
      </c>
      <c r="O301" s="399">
        <f t="shared" si="19"/>
        <v>115637.1267969508</v>
      </c>
      <c r="P301" s="314"/>
      <c r="Q301" s="493"/>
    </row>
    <row r="302" spans="1:17" s="160" customFormat="1" x14ac:dyDescent="0.25">
      <c r="A302" s="157">
        <f>'B) D RI'!A303</f>
        <v>5925</v>
      </c>
      <c r="B302" s="158" t="str">
        <f>'B) D RI'!B303</f>
        <v>Orzens</v>
      </c>
      <c r="C302" s="310">
        <f>'B) D RI'!S303</f>
        <v>79</v>
      </c>
      <c r="D302" s="159">
        <f>'B) D RI'!AA303</f>
        <v>208</v>
      </c>
      <c r="E302" s="308">
        <f>'D) Ecrêtage'!C301</f>
        <v>5348.3883544303808</v>
      </c>
      <c r="F302" s="312">
        <f>'E) Fact soc'!G307</f>
        <v>173932.65511753311</v>
      </c>
      <c r="G302" s="309">
        <f>'H) Péréquation directe'!I312</f>
        <v>-29177.722279884401</v>
      </c>
      <c r="H302" s="312">
        <f>+'I) Dépenses thématiques'!O301</f>
        <v>-43133.587158307404</v>
      </c>
      <c r="I302" s="309">
        <f>'K) Plafonnement aide'!J301</f>
        <v>0</v>
      </c>
      <c r="J302" s="312">
        <f>'J) Plafonnement effort'!I301</f>
        <v>0</v>
      </c>
      <c r="K302" s="309">
        <f>'L) Plafonnement taux'!Q302</f>
        <v>0</v>
      </c>
      <c r="L302" s="307">
        <f t="shared" si="20"/>
        <v>101621.34567934132</v>
      </c>
      <c r="M302" s="227">
        <f>'M) Police'!O302</f>
        <v>16266.65197383745</v>
      </c>
      <c r="N302" s="227">
        <f t="shared" si="18"/>
        <v>117887.99765317877</v>
      </c>
      <c r="O302" s="399">
        <f t="shared" si="19"/>
        <v>-72311.309438191805</v>
      </c>
      <c r="P302" s="314"/>
      <c r="Q302" s="493"/>
    </row>
    <row r="303" spans="1:17" s="160" customFormat="1" x14ac:dyDescent="0.25">
      <c r="A303" s="157">
        <f>'B) D RI'!A304</f>
        <v>5926</v>
      </c>
      <c r="B303" s="158" t="str">
        <f>'B) D RI'!B304</f>
        <v>Pomy</v>
      </c>
      <c r="C303" s="310">
        <f>'B) D RI'!S304</f>
        <v>71</v>
      </c>
      <c r="D303" s="159">
        <f>'B) D RI'!AA304</f>
        <v>793</v>
      </c>
      <c r="E303" s="308">
        <f>'D) Ecrêtage'!C302</f>
        <v>27563.954929577467</v>
      </c>
      <c r="F303" s="312">
        <f>'E) Fact soc'!G308</f>
        <v>452181.22679011256</v>
      </c>
      <c r="G303" s="309">
        <f>'H) Péréquation directe'!I313</f>
        <v>256118.87882049294</v>
      </c>
      <c r="H303" s="312">
        <f>+'I) Dépenses thématiques'!O302</f>
        <v>-34314.546476672629</v>
      </c>
      <c r="I303" s="309">
        <f>'K) Plafonnement aide'!J302</f>
        <v>0</v>
      </c>
      <c r="J303" s="312">
        <f>'J) Plafonnement effort'!I302</f>
        <v>0</v>
      </c>
      <c r="K303" s="309">
        <f>'L) Plafonnement taux'!Q303</f>
        <v>0</v>
      </c>
      <c r="L303" s="307">
        <f t="shared" si="20"/>
        <v>673985.55913393293</v>
      </c>
      <c r="M303" s="227">
        <f>'M) Police'!O303</f>
        <v>32862.452068658647</v>
      </c>
      <c r="N303" s="227">
        <f t="shared" si="18"/>
        <v>706848.01120259159</v>
      </c>
      <c r="O303" s="399">
        <f t="shared" si="19"/>
        <v>221804.33234382031</v>
      </c>
      <c r="P303" s="314"/>
      <c r="Q303" s="493"/>
    </row>
    <row r="304" spans="1:17" s="160" customFormat="1" x14ac:dyDescent="0.25">
      <c r="A304" s="157">
        <f>'B) D RI'!A305</f>
        <v>5928</v>
      </c>
      <c r="B304" s="158" t="str">
        <f>'B) D RI'!B305</f>
        <v>Rovray</v>
      </c>
      <c r="C304" s="310">
        <f>'B) D RI'!S305</f>
        <v>73</v>
      </c>
      <c r="D304" s="159">
        <f>'B) D RI'!AA305</f>
        <v>185</v>
      </c>
      <c r="E304" s="308">
        <f>'D) Ecrêtage'!C303</f>
        <v>6002.0193150684927</v>
      </c>
      <c r="F304" s="312">
        <f>'E) Fact soc'!G309</f>
        <v>116876.04460347054</v>
      </c>
      <c r="G304" s="309">
        <f>'H) Péréquation directe'!I314</f>
        <v>39531.218146684536</v>
      </c>
      <c r="H304" s="312">
        <f>+'I) Dépenses thématiques'!O303</f>
        <v>-2405.8015924719493</v>
      </c>
      <c r="I304" s="309">
        <f>'K) Plafonnement aide'!J303</f>
        <v>0</v>
      </c>
      <c r="J304" s="312">
        <f>'J) Plafonnement effort'!I303</f>
        <v>0</v>
      </c>
      <c r="K304" s="309">
        <f>'L) Plafonnement taux'!Q304</f>
        <v>0</v>
      </c>
      <c r="L304" s="307">
        <f t="shared" si="20"/>
        <v>154001.46115768311</v>
      </c>
      <c r="M304" s="227">
        <f>'M) Police'!O304</f>
        <v>18530.676283177221</v>
      </c>
      <c r="N304" s="227">
        <f t="shared" si="18"/>
        <v>172532.13744086033</v>
      </c>
      <c r="O304" s="399">
        <f t="shared" si="19"/>
        <v>37125.416554212585</v>
      </c>
      <c r="P304" s="314"/>
      <c r="Q304" s="493"/>
    </row>
    <row r="305" spans="1:17" s="160" customFormat="1" x14ac:dyDescent="0.25">
      <c r="A305" s="157">
        <f>'B) D RI'!A306</f>
        <v>5929</v>
      </c>
      <c r="B305" s="158" t="str">
        <f>'B) D RI'!B306</f>
        <v>Suchy</v>
      </c>
      <c r="C305" s="310">
        <f>'B) D RI'!S306</f>
        <v>70</v>
      </c>
      <c r="D305" s="159">
        <f>'B) D RI'!AA306</f>
        <v>645</v>
      </c>
      <c r="E305" s="308">
        <f>'D) Ecrêtage'!C304</f>
        <v>17258.460214285715</v>
      </c>
      <c r="F305" s="312">
        <f>'E) Fact soc'!G310</f>
        <v>359492.71739480132</v>
      </c>
      <c r="G305" s="309">
        <f>'H) Péréquation directe'!I315</f>
        <v>9381.6688808439649</v>
      </c>
      <c r="H305" s="312">
        <f>+'I) Dépenses thématiques'!O304</f>
        <v>-26586.201542545321</v>
      </c>
      <c r="I305" s="309">
        <f>'K) Plafonnement aide'!J304</f>
        <v>0</v>
      </c>
      <c r="J305" s="312">
        <f>'J) Plafonnement effort'!I304</f>
        <v>0</v>
      </c>
      <c r="K305" s="309">
        <f>'L) Plafonnement taux'!Q305</f>
        <v>0</v>
      </c>
      <c r="L305" s="307">
        <f t="shared" si="20"/>
        <v>342288.18473309994</v>
      </c>
      <c r="M305" s="227">
        <f>'M) Police'!O305</f>
        <v>20575.977686069687</v>
      </c>
      <c r="N305" s="227">
        <f t="shared" si="18"/>
        <v>362864.16241916962</v>
      </c>
      <c r="O305" s="399">
        <f t="shared" si="19"/>
        <v>-17204.532661701356</v>
      </c>
      <c r="P305" s="314"/>
      <c r="Q305" s="493"/>
    </row>
    <row r="306" spans="1:17" s="160" customFormat="1" x14ac:dyDescent="0.25">
      <c r="A306" s="157">
        <f>'B) D RI'!A307</f>
        <v>5930</v>
      </c>
      <c r="B306" s="158" t="str">
        <f>'B) D RI'!B307</f>
        <v>Suscévaz</v>
      </c>
      <c r="C306" s="310">
        <f>'B) D RI'!S307</f>
        <v>72</v>
      </c>
      <c r="D306" s="159">
        <f>'B) D RI'!AA307</f>
        <v>215</v>
      </c>
      <c r="E306" s="308">
        <f>'D) Ecrêtage'!C305</f>
        <v>5852.6869444444428</v>
      </c>
      <c r="F306" s="312">
        <f>'E) Fact soc'!G311</f>
        <v>87333.527148583991</v>
      </c>
      <c r="G306" s="309">
        <f>'H) Péréquation directe'!I316</f>
        <v>2250.9904617767024</v>
      </c>
      <c r="H306" s="312">
        <f>+'I) Dépenses thématiques'!O305</f>
        <v>-33912.270401665577</v>
      </c>
      <c r="I306" s="309">
        <f>'K) Plafonnement aide'!J305</f>
        <v>0</v>
      </c>
      <c r="J306" s="312">
        <f>'J) Plafonnement effort'!I305</f>
        <v>0</v>
      </c>
      <c r="K306" s="309">
        <f>'L) Plafonnement taux'!Q306</f>
        <v>0</v>
      </c>
      <c r="L306" s="307">
        <f t="shared" si="20"/>
        <v>55672.247208695117</v>
      </c>
      <c r="M306" s="227">
        <f>'M) Police'!O306</f>
        <v>6977.7230689884191</v>
      </c>
      <c r="N306" s="227">
        <f t="shared" si="18"/>
        <v>62649.970277683533</v>
      </c>
      <c r="O306" s="399">
        <f t="shared" si="19"/>
        <v>-31661.279939888875</v>
      </c>
      <c r="P306" s="314"/>
      <c r="Q306" s="493"/>
    </row>
    <row r="307" spans="1:17" s="160" customFormat="1" x14ac:dyDescent="0.25">
      <c r="A307" s="157">
        <f>'B) D RI'!A308</f>
        <v>5931</v>
      </c>
      <c r="B307" s="158" t="str">
        <f>'B) D RI'!B308</f>
        <v>Treycovagnes</v>
      </c>
      <c r="C307" s="310">
        <f>'B) D RI'!S308</f>
        <v>75</v>
      </c>
      <c r="D307" s="159">
        <f>'B) D RI'!AA308</f>
        <v>492</v>
      </c>
      <c r="E307" s="308">
        <f>'D) Ecrêtage'!C306</f>
        <v>12202.115733333332</v>
      </c>
      <c r="F307" s="312">
        <f>'E) Fact soc'!G312</f>
        <v>202169.62888370399</v>
      </c>
      <c r="G307" s="309">
        <f>'H) Péréquation directe'!I317</f>
        <v>-62301.132169400516</v>
      </c>
      <c r="H307" s="312">
        <f>+'I) Dépenses thématiques'!O306</f>
        <v>-6723.9782196071556</v>
      </c>
      <c r="I307" s="309">
        <f>'K) Plafonnement aide'!J306</f>
        <v>0</v>
      </c>
      <c r="J307" s="312">
        <f>'J) Plafonnement effort'!I306</f>
        <v>0</v>
      </c>
      <c r="K307" s="309">
        <f>'L) Plafonnement taux'!Q307</f>
        <v>0</v>
      </c>
      <c r="L307" s="307">
        <f t="shared" si="20"/>
        <v>133144.51849469633</v>
      </c>
      <c r="M307" s="227">
        <f>'M) Police'!O307</f>
        <v>14547.674470059768</v>
      </c>
      <c r="N307" s="227">
        <f t="shared" si="18"/>
        <v>147692.1929647561</v>
      </c>
      <c r="O307" s="399">
        <f t="shared" si="19"/>
        <v>-69025.110389007677</v>
      </c>
      <c r="P307" s="314"/>
      <c r="Q307" s="493"/>
    </row>
    <row r="308" spans="1:17" s="160" customFormat="1" x14ac:dyDescent="0.25">
      <c r="A308" s="157">
        <f>'B) D RI'!A309</f>
        <v>5932</v>
      </c>
      <c r="B308" s="158" t="str">
        <f>'B) D RI'!B309</f>
        <v>Ursins</v>
      </c>
      <c r="C308" s="310">
        <f>'B) D RI'!S309</f>
        <v>77</v>
      </c>
      <c r="D308" s="159">
        <f>'B) D RI'!AA309</f>
        <v>225</v>
      </c>
      <c r="E308" s="308">
        <f>'D) Ecrêtage'!C307</f>
        <v>8278.3758441558457</v>
      </c>
      <c r="F308" s="312">
        <f>'E) Fact soc'!G313</f>
        <v>144880.91357761036</v>
      </c>
      <c r="G308" s="309">
        <f>'H) Péréquation directe'!I318</f>
        <v>82783.533880939503</v>
      </c>
      <c r="H308" s="312">
        <f>+'I) Dépenses thématiques'!O307</f>
        <v>-11303.437654062576</v>
      </c>
      <c r="I308" s="309">
        <f>'K) Plafonnement aide'!J307</f>
        <v>0</v>
      </c>
      <c r="J308" s="312">
        <f>'J) Plafonnement effort'!I307</f>
        <v>0</v>
      </c>
      <c r="K308" s="309">
        <f>'L) Plafonnement taux'!Q308</f>
        <v>0</v>
      </c>
      <c r="L308" s="307">
        <f t="shared" si="20"/>
        <v>216361.00980448729</v>
      </c>
      <c r="M308" s="227">
        <f>'M) Police'!O308</f>
        <v>25580.404144196087</v>
      </c>
      <c r="N308" s="227">
        <f t="shared" si="18"/>
        <v>241941.41394868336</v>
      </c>
      <c r="O308" s="399">
        <f t="shared" si="19"/>
        <v>71480.096226876922</v>
      </c>
      <c r="P308" s="314"/>
      <c r="Q308" s="493"/>
    </row>
    <row r="309" spans="1:17" s="160" customFormat="1" x14ac:dyDescent="0.25">
      <c r="A309" s="157">
        <f>'B) D RI'!A310</f>
        <v>5933</v>
      </c>
      <c r="B309" s="158" t="str">
        <f>'B) D RI'!B310</f>
        <v>Valeyres-sous-Montagny</v>
      </c>
      <c r="C309" s="310">
        <f>'B) D RI'!S310</f>
        <v>72</v>
      </c>
      <c r="D309" s="159">
        <f>'B) D RI'!AA310</f>
        <v>709</v>
      </c>
      <c r="E309" s="308">
        <f>'D) Ecrêtage'!C308</f>
        <v>22135.641944444447</v>
      </c>
      <c r="F309" s="312">
        <f>'E) Fact soc'!G314</f>
        <v>393691.37522251782</v>
      </c>
      <c r="G309" s="309">
        <f>'H) Péréquation directe'!I319</f>
        <v>122347.74270144349</v>
      </c>
      <c r="H309" s="312">
        <f>+'I) Dépenses thématiques'!O308</f>
        <v>-116466.3386415431</v>
      </c>
      <c r="I309" s="309">
        <f>'K) Plafonnement aide'!J308</f>
        <v>0</v>
      </c>
      <c r="J309" s="312">
        <f>'J) Plafonnement effort'!I308</f>
        <v>0</v>
      </c>
      <c r="K309" s="309">
        <f>'L) Plafonnement taux'!Q309</f>
        <v>0</v>
      </c>
      <c r="L309" s="307">
        <f t="shared" si="20"/>
        <v>399572.7792824182</v>
      </c>
      <c r="M309" s="227">
        <f>'M) Police'!O309</f>
        <v>67292.295710370759</v>
      </c>
      <c r="N309" s="227">
        <f t="shared" si="18"/>
        <v>466865.07499278896</v>
      </c>
      <c r="O309" s="399">
        <f t="shared" si="19"/>
        <v>5881.4040599003929</v>
      </c>
      <c r="P309" s="314"/>
      <c r="Q309" s="493"/>
    </row>
    <row r="310" spans="1:17" s="160" customFormat="1" x14ac:dyDescent="0.25">
      <c r="A310" s="157">
        <f>'B) D RI'!A311</f>
        <v>5934</v>
      </c>
      <c r="B310" s="158" t="str">
        <f>'B) D RI'!B311</f>
        <v>Valeyres-sous-Ursins</v>
      </c>
      <c r="C310" s="310">
        <f>'B) D RI'!S311</f>
        <v>79</v>
      </c>
      <c r="D310" s="159">
        <f>'B) D RI'!AA311</f>
        <v>227</v>
      </c>
      <c r="E310" s="308">
        <f>'D) Ecrêtage'!C309</f>
        <v>7563.0520253164568</v>
      </c>
      <c r="F310" s="312">
        <f>'E) Fact soc'!G315</f>
        <v>129869.26873665741</v>
      </c>
      <c r="G310" s="309">
        <f>'H) Péréquation directe'!I320</f>
        <v>45344.110601627413</v>
      </c>
      <c r="H310" s="312">
        <f>+'I) Dépenses thématiques'!O309</f>
        <v>-150556.47795505289</v>
      </c>
      <c r="I310" s="309">
        <f>'K) Plafonnement aide'!J309</f>
        <v>0</v>
      </c>
      <c r="J310" s="312">
        <f>'J) Plafonnement effort'!I309</f>
        <v>0</v>
      </c>
      <c r="K310" s="309">
        <f>'L) Plafonnement taux'!Q310</f>
        <v>0</v>
      </c>
      <c r="L310" s="307">
        <f t="shared" si="20"/>
        <v>24656.901383231947</v>
      </c>
      <c r="M310" s="227">
        <f>'M) Police'!O310</f>
        <v>23400.050393422702</v>
      </c>
      <c r="N310" s="227">
        <f t="shared" si="18"/>
        <v>48056.951776654649</v>
      </c>
      <c r="O310" s="399">
        <f t="shared" si="19"/>
        <v>-105212.36735342548</v>
      </c>
      <c r="P310" s="314"/>
      <c r="Q310" s="493"/>
    </row>
    <row r="311" spans="1:17" s="160" customFormat="1" x14ac:dyDescent="0.25">
      <c r="A311" s="157">
        <f>'B) D RI'!A312</f>
        <v>5935</v>
      </c>
      <c r="B311" s="158" t="str">
        <f>'B) D RI'!B312</f>
        <v>Villars-Epeney</v>
      </c>
      <c r="C311" s="310">
        <f>'B) D RI'!S312</f>
        <v>60</v>
      </c>
      <c r="D311" s="159">
        <f>'B) D RI'!AA312</f>
        <v>102</v>
      </c>
      <c r="E311" s="308">
        <f>'D) Ecrêtage'!C310</f>
        <v>4858.9101666666666</v>
      </c>
      <c r="F311" s="312">
        <f>'E) Fact soc'!G316</f>
        <v>72559.340643015399</v>
      </c>
      <c r="G311" s="309">
        <f>'H) Péréquation directe'!I321</f>
        <v>84396.579026430685</v>
      </c>
      <c r="H311" s="312">
        <f>+'I) Dépenses thématiques'!O310</f>
        <v>-2150.8892374617626</v>
      </c>
      <c r="I311" s="309">
        <f>'K) Plafonnement aide'!J310</f>
        <v>0</v>
      </c>
      <c r="J311" s="312">
        <f>'J) Plafonnement effort'!I310</f>
        <v>0</v>
      </c>
      <c r="K311" s="309">
        <f>'L) Plafonnement taux'!Q311</f>
        <v>0</v>
      </c>
      <c r="L311" s="307">
        <f t="shared" si="20"/>
        <v>154805.03043198431</v>
      </c>
      <c r="M311" s="227">
        <f>'M) Police'!O311</f>
        <v>14706.153484095765</v>
      </c>
      <c r="N311" s="227">
        <f t="shared" si="18"/>
        <v>169511.18391608007</v>
      </c>
      <c r="O311" s="399">
        <f t="shared" si="19"/>
        <v>82245.689788968928</v>
      </c>
      <c r="P311" s="314"/>
      <c r="Q311" s="493"/>
    </row>
    <row r="312" spans="1:17" s="160" customFormat="1" x14ac:dyDescent="0.25">
      <c r="A312" s="157">
        <f>'B) D RI'!A313</f>
        <v>5937</v>
      </c>
      <c r="B312" s="158" t="str">
        <f>'B) D RI'!B313</f>
        <v>Vugelles-La Mothe</v>
      </c>
      <c r="C312" s="310">
        <f>'B) D RI'!S313</f>
        <v>70</v>
      </c>
      <c r="D312" s="159">
        <f>'B) D RI'!AA313</f>
        <v>135</v>
      </c>
      <c r="E312" s="308">
        <f>'D) Ecrêtage'!C311</f>
        <v>2984.3882040816329</v>
      </c>
      <c r="F312" s="312">
        <f>'E) Fact soc'!G317</f>
        <v>61070.213679869732</v>
      </c>
      <c r="G312" s="309">
        <f>'H) Péréquation directe'!I322</f>
        <v>-22778.505209008261</v>
      </c>
      <c r="H312" s="312">
        <f>+'I) Dépenses thématiques'!O311</f>
        <v>-30483.003972029106</v>
      </c>
      <c r="I312" s="309">
        <f>'K) Plafonnement aide'!J311</f>
        <v>0</v>
      </c>
      <c r="J312" s="312">
        <f>'J) Plafonnement effort'!I311</f>
        <v>0</v>
      </c>
      <c r="K312" s="309">
        <f>'L) Plafonnement taux'!Q312</f>
        <v>0</v>
      </c>
      <c r="L312" s="307">
        <f t="shared" si="20"/>
        <v>7808.7044988323651</v>
      </c>
      <c r="M312" s="227">
        <f>'M) Police'!O312</f>
        <v>9060.7199484236153</v>
      </c>
      <c r="N312" s="227">
        <f t="shared" si="18"/>
        <v>16869.42444725598</v>
      </c>
      <c r="O312" s="399">
        <f t="shared" si="19"/>
        <v>-53261.509181037371</v>
      </c>
      <c r="P312" s="314"/>
      <c r="Q312" s="493"/>
    </row>
    <row r="313" spans="1:17" s="160" customFormat="1" x14ac:dyDescent="0.25">
      <c r="A313" s="157">
        <f>'B) D RI'!A314</f>
        <v>5938</v>
      </c>
      <c r="B313" s="158" t="str">
        <f>'B) D RI'!B314</f>
        <v>Yverdon-les-Bains</v>
      </c>
      <c r="C313" s="310">
        <f>'B) D RI'!S314</f>
        <v>76.5</v>
      </c>
      <c r="D313" s="159">
        <f>'B) D RI'!AA314</f>
        <v>30189</v>
      </c>
      <c r="E313" s="308">
        <f>'D) Ecrêtage'!C312</f>
        <v>788422.31346405216</v>
      </c>
      <c r="F313" s="312">
        <f>'E) Fact soc'!G318</f>
        <v>14771659.955779977</v>
      </c>
      <c r="G313" s="309">
        <f>'H) Péréquation directe'!I323</f>
        <v>-24775081.759365395</v>
      </c>
      <c r="H313" s="312">
        <f>+'I) Dépenses thématiques'!O312</f>
        <v>-10018680.718203487</v>
      </c>
      <c r="I313" s="309">
        <f>'K) Plafonnement aide'!J312</f>
        <v>3696043.2958730017</v>
      </c>
      <c r="J313" s="312">
        <f>'J) Plafonnement effort'!I312</f>
        <v>0</v>
      </c>
      <c r="K313" s="309">
        <f>'L) Plafonnement taux'!Q313</f>
        <v>0</v>
      </c>
      <c r="L313" s="307">
        <f t="shared" si="20"/>
        <v>-16326059.225915901</v>
      </c>
      <c r="M313" s="227">
        <f>'M) Police'!O313</f>
        <v>939977.24754190596</v>
      </c>
      <c r="N313" s="227">
        <f t="shared" si="18"/>
        <v>-15386081.978373995</v>
      </c>
      <c r="O313" s="399">
        <f t="shared" si="19"/>
        <v>-31097719.181695879</v>
      </c>
      <c r="P313" s="314"/>
      <c r="Q313" s="493"/>
    </row>
    <row r="314" spans="1:17" s="160" customFormat="1" x14ac:dyDescent="0.25">
      <c r="A314" s="157">
        <f>'B) D RI'!A315</f>
        <v>5939</v>
      </c>
      <c r="B314" s="158" t="str">
        <f>'B) D RI'!B315</f>
        <v>Yvonand</v>
      </c>
      <c r="C314" s="310">
        <f>'B) D RI'!S315</f>
        <v>73</v>
      </c>
      <c r="D314" s="159">
        <f>'B) D RI'!AA315</f>
        <v>3434</v>
      </c>
      <c r="E314" s="308">
        <f>'D) Ecrêtage'!C313</f>
        <v>95122.764246575331</v>
      </c>
      <c r="F314" s="312">
        <f>'E) Fact soc'!G319</f>
        <v>2051859.3401681427</v>
      </c>
      <c r="G314" s="309">
        <f>'H) Péréquation directe'!I324</f>
        <v>-551575.95128377853</v>
      </c>
      <c r="H314" s="361">
        <f>+'I) Dépenses thématiques'!O313</f>
        <v>-340802.81266107078</v>
      </c>
      <c r="I314" s="309">
        <f>'K) Plafonnement aide'!J313</f>
        <v>0</v>
      </c>
      <c r="J314" s="312">
        <f>'J) Plafonnement effort'!I313</f>
        <v>0</v>
      </c>
      <c r="K314" s="309">
        <f>'L) Plafonnement taux'!Q314</f>
        <v>0</v>
      </c>
      <c r="L314" s="307">
        <f t="shared" si="20"/>
        <v>1159480.5762232933</v>
      </c>
      <c r="M314" s="227">
        <f>'M) Police'!O314</f>
        <v>287184.23604562745</v>
      </c>
      <c r="N314" s="229">
        <f t="shared" si="18"/>
        <v>1446664.8122689207</v>
      </c>
      <c r="O314" s="361">
        <f t="shared" si="19"/>
        <v>-892378.76394484937</v>
      </c>
      <c r="P314" s="314"/>
      <c r="Q314" s="493"/>
    </row>
    <row r="315" spans="1:17" x14ac:dyDescent="0.25">
      <c r="A315" s="30"/>
      <c r="B315" s="24">
        <f>COUNTA(B6:B314)</f>
        <v>309</v>
      </c>
      <c r="C315" s="248"/>
      <c r="D315" s="162">
        <f>SUM(D6:D314)</f>
        <v>806088</v>
      </c>
      <c r="E315" s="162">
        <f>SUM(E6:E314)</f>
        <v>37986675.400474928</v>
      </c>
      <c r="F315" s="153">
        <f>'E) Fact soc'!G320</f>
        <v>825655960</v>
      </c>
      <c r="G315" s="153">
        <f>'H) Péréquation directe'!I325</f>
        <v>192061235.68211234</v>
      </c>
      <c r="H315" s="360">
        <f>'I) Dépenses thématiques'!O314</f>
        <v>-170940039.30213711</v>
      </c>
      <c r="I315" s="153">
        <f>'K) Plafonnement aide'!J314</f>
        <v>4088252.3142886814</v>
      </c>
      <c r="J315" s="153">
        <f>'J) Plafonnement effort'!I314</f>
        <v>-24713364.310575232</v>
      </c>
      <c r="K315" s="153">
        <f>+'L) Plafonnement taux'!Q315</f>
        <v>-46083.949377517849</v>
      </c>
      <c r="L315" s="228">
        <f t="shared" si="20"/>
        <v>826105960.43431115</v>
      </c>
      <c r="M315" s="228">
        <f>SUM(M6:M314)</f>
        <v>67922836.702568084</v>
      </c>
      <c r="N315" s="228">
        <f>SUM(N6:N314)</f>
        <v>894028797.13687932</v>
      </c>
      <c r="O315" s="394">
        <f>SUM(O6:O314)</f>
        <v>450000.43431089818</v>
      </c>
    </row>
    <row r="316" spans="1:17" x14ac:dyDescent="0.25">
      <c r="D316" s="13"/>
      <c r="E316" s="13"/>
      <c r="L316" s="6"/>
      <c r="M316" s="6"/>
      <c r="N316" s="6"/>
    </row>
    <row r="317" spans="1:17" x14ac:dyDescent="0.25">
      <c r="H317" s="161"/>
      <c r="I317" s="161"/>
      <c r="J317" s="161"/>
      <c r="K317" s="161"/>
      <c r="L317" s="6"/>
      <c r="M317" s="6"/>
      <c r="N317" s="6"/>
    </row>
  </sheetData>
  <mergeCells count="16">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B050"/>
  </sheetPr>
  <dimension ref="A1:W319"/>
  <sheetViews>
    <sheetView workbookViewId="0">
      <selection sqref="A1:E1"/>
    </sheetView>
  </sheetViews>
  <sheetFormatPr baseColWidth="10" defaultRowHeight="12.75" x14ac:dyDescent="0.2"/>
  <cols>
    <col min="2" max="2" width="20.25" bestFit="1" customWidth="1"/>
    <col min="12" max="12" width="15" style="484" bestFit="1" customWidth="1"/>
    <col min="13" max="13" width="11.125" style="484" bestFit="1" customWidth="1"/>
    <col min="14" max="14" width="15" style="484" bestFit="1" customWidth="1"/>
    <col min="15" max="15" width="11.125" style="484" bestFit="1" customWidth="1"/>
    <col min="16" max="16" width="14" style="484" bestFit="1" customWidth="1"/>
    <col min="17" max="17" width="11.125" style="484" bestFit="1" customWidth="1"/>
    <col min="18" max="18" width="14" style="484" bestFit="1" customWidth="1"/>
    <col min="19" max="19" width="11.125" style="484" bestFit="1" customWidth="1"/>
    <col min="20" max="20" width="13" style="484" bestFit="1" customWidth="1"/>
    <col min="21" max="21" width="11.125" style="484" bestFit="1" customWidth="1"/>
    <col min="22" max="22" width="13" style="484" bestFit="1" customWidth="1"/>
    <col min="23" max="23" width="11.125" style="484" bestFit="1" customWidth="1"/>
  </cols>
  <sheetData>
    <row r="1" spans="1:11" ht="21" x14ac:dyDescent="0.2">
      <c r="A1" s="605" t="s">
        <v>471</v>
      </c>
      <c r="B1" s="606"/>
      <c r="C1" s="606"/>
      <c r="D1" s="606"/>
      <c r="E1" s="606"/>
      <c r="F1" s="392"/>
      <c r="G1" s="393"/>
      <c r="H1" s="393"/>
      <c r="I1" s="392"/>
      <c r="J1" s="393"/>
      <c r="K1" s="393"/>
    </row>
    <row r="2" spans="1:11" ht="21" x14ac:dyDescent="0.2">
      <c r="A2" s="400" t="s">
        <v>598</v>
      </c>
      <c r="B2" s="391"/>
      <c r="C2" s="406"/>
      <c r="D2" s="401"/>
      <c r="E2" s="401"/>
      <c r="F2" s="392"/>
      <c r="G2" s="393"/>
      <c r="H2" s="393"/>
      <c r="I2" s="392"/>
      <c r="J2" s="393"/>
      <c r="K2" s="393"/>
    </row>
    <row r="3" spans="1:11" ht="15" x14ac:dyDescent="0.2">
      <c r="B3" s="392"/>
      <c r="C3" s="392"/>
      <c r="D3" s="392"/>
      <c r="E3" s="392"/>
      <c r="F3" s="392"/>
      <c r="G3" s="392"/>
      <c r="H3" s="392"/>
      <c r="I3" s="392"/>
      <c r="J3" s="392"/>
      <c r="K3" s="392"/>
    </row>
    <row r="4" spans="1:11" ht="15" x14ac:dyDescent="0.2">
      <c r="A4" s="559" t="s">
        <v>46</v>
      </c>
      <c r="B4" s="575" t="s">
        <v>592</v>
      </c>
      <c r="C4" s="607" t="s">
        <v>93</v>
      </c>
      <c r="D4" s="604"/>
      <c r="E4" s="599"/>
      <c r="F4" s="604" t="s">
        <v>593</v>
      </c>
      <c r="G4" s="604"/>
      <c r="H4" s="599"/>
      <c r="I4" s="604" t="s">
        <v>490</v>
      </c>
      <c r="J4" s="604"/>
      <c r="K4" s="599"/>
    </row>
    <row r="5" spans="1:11" ht="15" x14ac:dyDescent="0.2">
      <c r="A5" s="561"/>
      <c r="B5" s="576"/>
      <c r="C5" s="479" t="s">
        <v>594</v>
      </c>
      <c r="D5" s="409" t="s">
        <v>595</v>
      </c>
      <c r="E5" s="408" t="s">
        <v>596</v>
      </c>
      <c r="F5" s="398" t="s">
        <v>594</v>
      </c>
      <c r="G5" s="409" t="s">
        <v>595</v>
      </c>
      <c r="H5" s="408" t="s">
        <v>596</v>
      </c>
      <c r="I5" s="398" t="s">
        <v>594</v>
      </c>
      <c r="J5" s="408" t="s">
        <v>595</v>
      </c>
      <c r="K5" s="408" t="s">
        <v>597</v>
      </c>
    </row>
    <row r="6" spans="1:11" ht="15" x14ac:dyDescent="0.25">
      <c r="A6" s="395">
        <v>5401</v>
      </c>
      <c r="B6" s="480" t="s">
        <v>261</v>
      </c>
      <c r="C6" s="405">
        <v>5443503.6228761123</v>
      </c>
      <c r="D6" s="307">
        <f>VLOOKUP(B6,Synthèse!$B$6:$N$314,5,FALSE)</f>
        <v>5210182.734449177</v>
      </c>
      <c r="E6" s="399">
        <f>D6-C6</f>
        <v>-233320.8884269353</v>
      </c>
      <c r="F6" s="397">
        <v>-5834515.299138451</v>
      </c>
      <c r="G6" s="396">
        <f>VLOOKUP(B6,Synthèse!$B$6:$O$314,14,FALSE)</f>
        <v>-6383703.9986061882</v>
      </c>
      <c r="H6" s="399">
        <f>G6-F6</f>
        <v>-549188.69946773723</v>
      </c>
      <c r="I6" s="402">
        <v>342410.55328568275</v>
      </c>
      <c r="J6" s="396">
        <f>VLOOKUP(B6,Synthèse!$B$6:$O$314,12,FALSE)</f>
        <v>331187.90492672863</v>
      </c>
      <c r="K6" s="399">
        <f>J6-I6</f>
        <v>-11222.648358954117</v>
      </c>
    </row>
    <row r="7" spans="1:11" ht="15" x14ac:dyDescent="0.25">
      <c r="A7" s="395">
        <v>5402</v>
      </c>
      <c r="B7" s="480" t="s">
        <v>262</v>
      </c>
      <c r="C7" s="402">
        <v>3626969.70006361</v>
      </c>
      <c r="D7" s="307">
        <f>VLOOKUP(B7,Synthèse!$B$6:$N$314,5,FALSE)</f>
        <v>3363248.323230288</v>
      </c>
      <c r="E7" s="399">
        <f t="shared" ref="E7:E70" si="0">D7-C7</f>
        <v>-263721.37683332199</v>
      </c>
      <c r="F7" s="397">
        <v>-5347445.3077599406</v>
      </c>
      <c r="G7" s="396">
        <f>VLOOKUP(B7,Synthèse!$B$6:$O$314,14,FALSE)</f>
        <v>-5481161.3761914</v>
      </c>
      <c r="H7" s="399">
        <f t="shared" ref="H7:H70" si="1">G7-F7</f>
        <v>-133716.06843145937</v>
      </c>
      <c r="I7" s="402">
        <v>225318.09762868998</v>
      </c>
      <c r="J7" s="396">
        <f>VLOOKUP(B7,Synthèse!$B$6:$O$314,12,FALSE)</f>
        <v>221431.50546248065</v>
      </c>
      <c r="K7" s="399">
        <f t="shared" ref="K7:K70" si="2">J7-I7</f>
        <v>-3886.5921662093315</v>
      </c>
    </row>
    <row r="8" spans="1:11" ht="15" x14ac:dyDescent="0.25">
      <c r="A8" s="395">
        <v>5403</v>
      </c>
      <c r="B8" s="480" t="s">
        <v>112</v>
      </c>
      <c r="C8" s="402">
        <v>189188.98863288161</v>
      </c>
      <c r="D8" s="307">
        <f>VLOOKUP(B8,Synthèse!$B$6:$N$314,5,FALSE)</f>
        <v>206354.19600788265</v>
      </c>
      <c r="E8" s="399">
        <f t="shared" si="0"/>
        <v>17165.207375001046</v>
      </c>
      <c r="F8" s="397">
        <v>-74587.446878498304</v>
      </c>
      <c r="G8" s="396">
        <f>VLOOKUP(B8,Synthèse!$B$6:$O$314,14,FALSE)</f>
        <v>-96770.447856597733</v>
      </c>
      <c r="H8" s="399">
        <f t="shared" si="1"/>
        <v>-22183.00097809943</v>
      </c>
      <c r="I8" s="402">
        <v>30552.504409132591</v>
      </c>
      <c r="J8" s="396">
        <f>VLOOKUP(B8,Synthèse!$B$6:$O$314,12,FALSE)</f>
        <v>32082.884862760227</v>
      </c>
      <c r="K8" s="399">
        <f t="shared" si="2"/>
        <v>1530.3804536276366</v>
      </c>
    </row>
    <row r="9" spans="1:11" ht="15" x14ac:dyDescent="0.25">
      <c r="A9" s="395">
        <v>5404</v>
      </c>
      <c r="B9" s="480" t="s">
        <v>113</v>
      </c>
      <c r="C9" s="402">
        <v>368780.04672703356</v>
      </c>
      <c r="D9" s="307">
        <f>VLOOKUP(B9,Synthèse!$B$6:$N$314,5,FALSE)</f>
        <v>309847.84535203007</v>
      </c>
      <c r="E9" s="399">
        <f t="shared" si="0"/>
        <v>-58932.201375003497</v>
      </c>
      <c r="F9" s="397">
        <v>-232716.02086256494</v>
      </c>
      <c r="G9" s="396">
        <f>VLOOKUP(B9,Synthèse!$B$6:$O$314,14,FALSE)</f>
        <v>-33337.143016020651</v>
      </c>
      <c r="H9" s="399">
        <f t="shared" si="1"/>
        <v>199378.87784654429</v>
      </c>
      <c r="I9" s="402">
        <v>33657.198512355171</v>
      </c>
      <c r="J9" s="396">
        <f>VLOOKUP(B9,Synthèse!$B$6:$O$314,12,FALSE)</f>
        <v>44326.723837030244</v>
      </c>
      <c r="K9" s="399">
        <f t="shared" si="2"/>
        <v>10669.525324675073</v>
      </c>
    </row>
    <row r="10" spans="1:11" ht="15" x14ac:dyDescent="0.25">
      <c r="A10" s="395">
        <v>5405</v>
      </c>
      <c r="B10" s="480" t="s">
        <v>114</v>
      </c>
      <c r="C10" s="402">
        <v>1547747.8613343339</v>
      </c>
      <c r="D10" s="307">
        <f>VLOOKUP(B10,Synthèse!$B$6:$N$314,5,FALSE)</f>
        <v>1312105.8004444193</v>
      </c>
      <c r="E10" s="399">
        <f t="shared" si="0"/>
        <v>-235642.06088991463</v>
      </c>
      <c r="F10" s="397">
        <v>322951.9587207539</v>
      </c>
      <c r="G10" s="396">
        <f>VLOOKUP(B10,Synthèse!$B$6:$O$314,14,FALSE)</f>
        <v>18048.382991085527</v>
      </c>
      <c r="H10" s="399">
        <f t="shared" si="1"/>
        <v>-304903.57572966837</v>
      </c>
      <c r="I10" s="402">
        <v>205172.87431802164</v>
      </c>
      <c r="J10" s="396">
        <f>VLOOKUP(B10,Synthèse!$B$6:$O$314,12,FALSE)</f>
        <v>195582.36206496696</v>
      </c>
      <c r="K10" s="399">
        <f t="shared" si="2"/>
        <v>-9590.5122530546796</v>
      </c>
    </row>
    <row r="11" spans="1:11" ht="15" x14ac:dyDescent="0.25">
      <c r="A11" s="395">
        <v>5406</v>
      </c>
      <c r="B11" s="480" t="s">
        <v>115</v>
      </c>
      <c r="C11" s="402">
        <v>417394.85946004372</v>
      </c>
      <c r="D11" s="307">
        <f>VLOOKUP(B11,Synthèse!$B$6:$N$314,5,FALSE)</f>
        <v>386576.126299511</v>
      </c>
      <c r="E11" s="399">
        <f t="shared" si="0"/>
        <v>-30818.73316053272</v>
      </c>
      <c r="F11" s="397">
        <v>-252176.80890177505</v>
      </c>
      <c r="G11" s="396">
        <f>VLOOKUP(B11,Synthèse!$B$6:$O$314,14,FALSE)</f>
        <v>-115902.67045311934</v>
      </c>
      <c r="H11" s="399">
        <f t="shared" si="1"/>
        <v>136274.13844865572</v>
      </c>
      <c r="I11" s="402">
        <v>66681.782797438282</v>
      </c>
      <c r="J11" s="396">
        <f>VLOOKUP(B11,Synthèse!$B$6:$O$314,12,FALSE)</f>
        <v>74863.848651490087</v>
      </c>
      <c r="K11" s="399">
        <f t="shared" si="2"/>
        <v>8182.0658540518052</v>
      </c>
    </row>
    <row r="12" spans="1:11" ht="15" x14ac:dyDescent="0.25">
      <c r="A12" s="395">
        <v>5407</v>
      </c>
      <c r="B12" s="480" t="s">
        <v>116</v>
      </c>
      <c r="C12" s="402">
        <v>1779224.0782061846</v>
      </c>
      <c r="D12" s="307">
        <f>VLOOKUP(B12,Synthèse!$B$6:$N$314,5,FALSE)</f>
        <v>1730472.4034701895</v>
      </c>
      <c r="E12" s="399">
        <f t="shared" si="0"/>
        <v>-48751.67473599501</v>
      </c>
      <c r="F12" s="397">
        <v>-3691133.3801313899</v>
      </c>
      <c r="G12" s="396">
        <f>VLOOKUP(B12,Synthèse!$B$6:$O$314,14,FALSE)</f>
        <v>-3669827.7607606594</v>
      </c>
      <c r="H12" s="399">
        <f t="shared" si="1"/>
        <v>21305.619370730594</v>
      </c>
      <c r="I12" s="402">
        <v>276911.86119068391</v>
      </c>
      <c r="J12" s="396">
        <f>VLOOKUP(B12,Synthèse!$B$6:$O$314,12,FALSE)</f>
        <v>267041.59568369051</v>
      </c>
      <c r="K12" s="399">
        <f t="shared" si="2"/>
        <v>-9870.2655069933971</v>
      </c>
    </row>
    <row r="13" spans="1:11" ht="15" x14ac:dyDescent="0.25">
      <c r="A13" s="395">
        <v>5408</v>
      </c>
      <c r="B13" s="480" t="s">
        <v>117</v>
      </c>
      <c r="C13" s="402">
        <v>642874.19804881769</v>
      </c>
      <c r="D13" s="307">
        <f>VLOOKUP(B13,Synthèse!$B$6:$N$314,5,FALSE)</f>
        <v>773752.70598031348</v>
      </c>
      <c r="E13" s="399">
        <f t="shared" si="0"/>
        <v>130878.50793149578</v>
      </c>
      <c r="F13" s="397">
        <v>-96065.263166098448</v>
      </c>
      <c r="G13" s="396">
        <f>VLOOKUP(B13,Synthèse!$B$6:$O$314,14,FALSE)</f>
        <v>-531986.84676310059</v>
      </c>
      <c r="H13" s="399">
        <f t="shared" si="1"/>
        <v>-435921.58359700214</v>
      </c>
      <c r="I13" s="402">
        <v>99775.420327783111</v>
      </c>
      <c r="J13" s="396">
        <f>VLOOKUP(B13,Synthèse!$B$6:$O$314,12,FALSE)</f>
        <v>84051.527124856657</v>
      </c>
      <c r="K13" s="399">
        <f t="shared" si="2"/>
        <v>-15723.893202926454</v>
      </c>
    </row>
    <row r="14" spans="1:11" ht="15" x14ac:dyDescent="0.25">
      <c r="A14" s="395">
        <v>5409</v>
      </c>
      <c r="B14" s="480" t="s">
        <v>118</v>
      </c>
      <c r="C14" s="402">
        <v>7650536.5556577919</v>
      </c>
      <c r="D14" s="307">
        <f>VLOOKUP(B14,Synthèse!$B$6:$N$314,5,FALSE)</f>
        <v>8030699.6367016761</v>
      </c>
      <c r="E14" s="399">
        <f t="shared" si="0"/>
        <v>380163.08104388416</v>
      </c>
      <c r="F14" s="397">
        <v>2013803.3603425245</v>
      </c>
      <c r="G14" s="396">
        <f>VLOOKUP(B14,Synthèse!$B$6:$O$314,14,FALSE)</f>
        <v>2248299.52450873</v>
      </c>
      <c r="H14" s="399">
        <f t="shared" si="1"/>
        <v>234496.16416620556</v>
      </c>
      <c r="I14" s="402">
        <v>476725.1180592195</v>
      </c>
      <c r="J14" s="396">
        <f>VLOOKUP(B14,Synthèse!$B$6:$O$314,12,FALSE)</f>
        <v>476623.20986114012</v>
      </c>
      <c r="K14" s="399">
        <f t="shared" si="2"/>
        <v>-101.90819807938533</v>
      </c>
    </row>
    <row r="15" spans="1:11" ht="15" x14ac:dyDescent="0.25">
      <c r="A15" s="395">
        <v>5410</v>
      </c>
      <c r="B15" s="480" t="s">
        <v>130</v>
      </c>
      <c r="C15" s="402">
        <v>794983.84045456338</v>
      </c>
      <c r="D15" s="307">
        <f>VLOOKUP(B15,Synthèse!$B$6:$N$314,5,FALSE)</f>
        <v>749270.30253441597</v>
      </c>
      <c r="E15" s="399">
        <f t="shared" si="0"/>
        <v>-45713.537920147413</v>
      </c>
      <c r="F15" s="397">
        <v>-640731.5245702567</v>
      </c>
      <c r="G15" s="396">
        <f>VLOOKUP(B15,Synthèse!$B$6:$O$314,14,FALSE)</f>
        <v>-777126.6059020058</v>
      </c>
      <c r="H15" s="399">
        <f t="shared" si="1"/>
        <v>-136395.0813317491</v>
      </c>
      <c r="I15" s="402">
        <v>114483.52337299187</v>
      </c>
      <c r="J15" s="396">
        <f>VLOOKUP(B15,Synthèse!$B$6:$O$314,12,FALSE)</f>
        <v>112629.47226047951</v>
      </c>
      <c r="K15" s="399">
        <f t="shared" si="2"/>
        <v>-1854.0511125123594</v>
      </c>
    </row>
    <row r="16" spans="1:11" ht="15" x14ac:dyDescent="0.25">
      <c r="A16" s="395">
        <v>5411</v>
      </c>
      <c r="B16" s="480" t="s">
        <v>131</v>
      </c>
      <c r="C16" s="402">
        <v>1687079.9865265856</v>
      </c>
      <c r="D16" s="307">
        <f>VLOOKUP(B16,Synthèse!$B$6:$N$314,5,FALSE)</f>
        <v>1518692.2547864781</v>
      </c>
      <c r="E16" s="399">
        <f t="shared" si="0"/>
        <v>-168387.73174010753</v>
      </c>
      <c r="F16" s="397">
        <v>363183.88183386729</v>
      </c>
      <c r="G16" s="396">
        <f>VLOOKUP(B16,Synthèse!$B$6:$O$314,14,FALSE)</f>
        <v>254777.80322567979</v>
      </c>
      <c r="H16" s="399">
        <f t="shared" si="1"/>
        <v>-108406.0786081875</v>
      </c>
      <c r="I16" s="402">
        <v>225128.33773095364</v>
      </c>
      <c r="J16" s="396">
        <f>VLOOKUP(B16,Synthèse!$B$6:$O$314,12,FALSE)</f>
        <v>211270.34591287683</v>
      </c>
      <c r="K16" s="399">
        <f t="shared" si="2"/>
        <v>-13857.991818076815</v>
      </c>
    </row>
    <row r="17" spans="1:11" ht="15" x14ac:dyDescent="0.25">
      <c r="A17" s="395">
        <v>5412</v>
      </c>
      <c r="B17" s="480" t="s">
        <v>132</v>
      </c>
      <c r="C17" s="402">
        <v>560455.90099823126</v>
      </c>
      <c r="D17" s="307">
        <f>VLOOKUP(B17,Synthèse!$B$6:$N$314,5,FALSE)</f>
        <v>415965.80905807531</v>
      </c>
      <c r="E17" s="399">
        <f t="shared" si="0"/>
        <v>-144490.09194015595</v>
      </c>
      <c r="F17" s="397">
        <v>378827.10353546229</v>
      </c>
      <c r="G17" s="396">
        <f>VLOOKUP(B17,Synthèse!$B$6:$O$314,14,FALSE)</f>
        <v>-12988.491570693281</v>
      </c>
      <c r="H17" s="399">
        <f t="shared" si="1"/>
        <v>-391815.59510615555</v>
      </c>
      <c r="I17" s="402">
        <v>94674.249696027342</v>
      </c>
      <c r="J17" s="396">
        <f>VLOOKUP(B17,Synthèse!$B$6:$O$314,12,FALSE)</f>
        <v>73715.888112848566</v>
      </c>
      <c r="K17" s="399">
        <f t="shared" si="2"/>
        <v>-20958.361583178776</v>
      </c>
    </row>
    <row r="18" spans="1:11" ht="15" x14ac:dyDescent="0.25">
      <c r="A18" s="395">
        <v>5413</v>
      </c>
      <c r="B18" s="480" t="s">
        <v>133</v>
      </c>
      <c r="C18" s="402">
        <v>742974.07606904092</v>
      </c>
      <c r="D18" s="307">
        <f>VLOOKUP(B18,Synthèse!$B$6:$N$314,5,FALSE)</f>
        <v>932862.73318605835</v>
      </c>
      <c r="E18" s="399">
        <f t="shared" si="0"/>
        <v>189888.65711701743</v>
      </c>
      <c r="F18" s="397">
        <v>-350817.93615849852</v>
      </c>
      <c r="G18" s="396">
        <f>VLOOKUP(B18,Synthèse!$B$6:$O$314,14,FALSE)</f>
        <v>-264203.43344149389</v>
      </c>
      <c r="H18" s="399">
        <f t="shared" si="1"/>
        <v>86614.502717004623</v>
      </c>
      <c r="I18" s="402">
        <v>113756.84906024564</v>
      </c>
      <c r="J18" s="396">
        <f>VLOOKUP(B18,Synthèse!$B$6:$O$314,12,FALSE)</f>
        <v>135882.10933274229</v>
      </c>
      <c r="K18" s="399">
        <f t="shared" si="2"/>
        <v>22125.260272496642</v>
      </c>
    </row>
    <row r="19" spans="1:11" ht="15" x14ac:dyDescent="0.25">
      <c r="A19" s="395">
        <v>5414</v>
      </c>
      <c r="B19" s="480" t="s">
        <v>134</v>
      </c>
      <c r="C19" s="402">
        <v>3509024.4457131131</v>
      </c>
      <c r="D19" s="307">
        <f>VLOOKUP(B19,Synthèse!$B$6:$N$314,5,FALSE)</f>
        <v>3791454.8488014084</v>
      </c>
      <c r="E19" s="399">
        <f t="shared" si="0"/>
        <v>282430.40308829537</v>
      </c>
      <c r="F19" s="397">
        <v>-2405002.4396647941</v>
      </c>
      <c r="G19" s="396">
        <f>VLOOKUP(B19,Synthèse!$B$6:$O$314,14,FALSE)</f>
        <v>-2827659.9207712999</v>
      </c>
      <c r="H19" s="399">
        <f t="shared" si="1"/>
        <v>-422657.48110650573</v>
      </c>
      <c r="I19" s="402">
        <v>498244.98458386352</v>
      </c>
      <c r="J19" s="396">
        <f>VLOOKUP(B19,Synthèse!$B$6:$O$314,12,FALSE)</f>
        <v>496398.56247807364</v>
      </c>
      <c r="K19" s="399">
        <f t="shared" si="2"/>
        <v>-1846.4221057898831</v>
      </c>
    </row>
    <row r="20" spans="1:11" ht="15" x14ac:dyDescent="0.25">
      <c r="A20" s="395">
        <v>5415</v>
      </c>
      <c r="B20" s="480" t="s">
        <v>72</v>
      </c>
      <c r="C20" s="402">
        <v>668783.356899512</v>
      </c>
      <c r="D20" s="307">
        <f>VLOOKUP(B20,Synthèse!$B$6:$N$314,5,FALSE)</f>
        <v>763324.50122795452</v>
      </c>
      <c r="E20" s="399">
        <f t="shared" si="0"/>
        <v>94541.144328442519</v>
      </c>
      <c r="F20" s="397">
        <v>167634.73612780301</v>
      </c>
      <c r="G20" s="396">
        <f>VLOOKUP(B20,Synthèse!$B$6:$O$314,14,FALSE)</f>
        <v>224948.01341381637</v>
      </c>
      <c r="H20" s="399">
        <f t="shared" si="1"/>
        <v>57313.277286013355</v>
      </c>
      <c r="I20" s="402">
        <v>107238.5126686835</v>
      </c>
      <c r="J20" s="396">
        <f>VLOOKUP(B20,Synthèse!$B$6:$O$314,12,FALSE)</f>
        <v>118651.34544416031</v>
      </c>
      <c r="K20" s="399">
        <f t="shared" si="2"/>
        <v>11412.832775476811</v>
      </c>
    </row>
    <row r="21" spans="1:11" ht="15" x14ac:dyDescent="0.25">
      <c r="A21" s="395">
        <v>5421</v>
      </c>
      <c r="B21" s="480" t="s">
        <v>73</v>
      </c>
      <c r="C21" s="402">
        <v>1054709.0505615911</v>
      </c>
      <c r="D21" s="307">
        <f>VLOOKUP(B21,Synthèse!$B$6:$N$314,5,FALSE)</f>
        <v>1261252.481074976</v>
      </c>
      <c r="E21" s="399">
        <f t="shared" si="0"/>
        <v>206543.43051338498</v>
      </c>
      <c r="F21" s="397">
        <v>573744.59260226646</v>
      </c>
      <c r="G21" s="396">
        <f>VLOOKUP(B21,Synthèse!$B$6:$O$314,14,FALSE)</f>
        <v>870743.94301966624</v>
      </c>
      <c r="H21" s="399">
        <f t="shared" si="1"/>
        <v>296999.35041739978</v>
      </c>
      <c r="I21" s="402">
        <v>185713.85020110515</v>
      </c>
      <c r="J21" s="396">
        <f>VLOOKUP(B21,Synthèse!$B$6:$O$314,12,FALSE)</f>
        <v>211767.23986847172</v>
      </c>
      <c r="K21" s="399">
        <f t="shared" si="2"/>
        <v>26053.389667366573</v>
      </c>
    </row>
    <row r="22" spans="1:11" ht="15" x14ac:dyDescent="0.25">
      <c r="A22" s="395">
        <v>5422</v>
      </c>
      <c r="B22" s="480" t="s">
        <v>74</v>
      </c>
      <c r="C22" s="402">
        <v>6476211.17927917</v>
      </c>
      <c r="D22" s="307">
        <f>VLOOKUP(B22,Synthèse!$B$6:$N$314,5,FALSE)</f>
        <v>5495655.2422491331</v>
      </c>
      <c r="E22" s="399">
        <f t="shared" si="0"/>
        <v>-980555.93703003693</v>
      </c>
      <c r="F22" s="397">
        <v>3921307.3641740102</v>
      </c>
      <c r="G22" s="396">
        <f>VLOOKUP(B22,Synthèse!$B$6:$O$314,14,FALSE)</f>
        <v>3657139.3613272482</v>
      </c>
      <c r="H22" s="399">
        <f t="shared" si="1"/>
        <v>-264168.00284676207</v>
      </c>
      <c r="I22" s="402">
        <v>591605.43120644067</v>
      </c>
      <c r="J22" s="396">
        <f>VLOOKUP(B22,Synthèse!$B$6:$O$314,12,FALSE)</f>
        <v>561881.15728722629</v>
      </c>
      <c r="K22" s="399">
        <f t="shared" si="2"/>
        <v>-29724.273919214378</v>
      </c>
    </row>
    <row r="23" spans="1:11" ht="15" x14ac:dyDescent="0.25">
      <c r="A23" s="395">
        <v>5423</v>
      </c>
      <c r="B23" s="480" t="s">
        <v>75</v>
      </c>
      <c r="C23" s="402">
        <v>335806.84638763225</v>
      </c>
      <c r="D23" s="307">
        <f>VLOOKUP(B23,Synthèse!$B$6:$N$314,5,FALSE)</f>
        <v>288962.9304933555</v>
      </c>
      <c r="E23" s="399">
        <f t="shared" si="0"/>
        <v>-46843.915894276754</v>
      </c>
      <c r="F23" s="397">
        <v>83367.816548458068</v>
      </c>
      <c r="G23" s="396">
        <f>VLOOKUP(B23,Synthèse!$B$6:$O$314,14,FALSE)</f>
        <v>-22757.708477527267</v>
      </c>
      <c r="H23" s="399">
        <f t="shared" si="1"/>
        <v>-106125.52502598533</v>
      </c>
      <c r="I23" s="402">
        <v>53222.478883660981</v>
      </c>
      <c r="J23" s="396">
        <f>VLOOKUP(B23,Synthèse!$B$6:$O$314,12,FALSE)</f>
        <v>49636.256849304613</v>
      </c>
      <c r="K23" s="399">
        <f t="shared" si="2"/>
        <v>-3586.2220343563677</v>
      </c>
    </row>
    <row r="24" spans="1:11" ht="15" x14ac:dyDescent="0.25">
      <c r="A24" s="395">
        <v>5424</v>
      </c>
      <c r="B24" s="480" t="s">
        <v>76</v>
      </c>
      <c r="C24" s="402">
        <v>199018.47413455893</v>
      </c>
      <c r="D24" s="307">
        <f>VLOOKUP(B24,Synthèse!$B$6:$N$314,5,FALSE)</f>
        <v>141611.621543285</v>
      </c>
      <c r="E24" s="399">
        <f t="shared" si="0"/>
        <v>-57406.852591273928</v>
      </c>
      <c r="F24" s="397">
        <v>123971.48647833138</v>
      </c>
      <c r="G24" s="396">
        <f>VLOOKUP(B24,Synthèse!$B$6:$O$314,14,FALSE)</f>
        <v>-6544.3649429049838</v>
      </c>
      <c r="H24" s="399">
        <f t="shared" si="1"/>
        <v>-130515.85142123637</v>
      </c>
      <c r="I24" s="402">
        <v>36083.194691089506</v>
      </c>
      <c r="J24" s="396">
        <f>VLOOKUP(B24,Synthèse!$B$6:$O$314,12,FALSE)</f>
        <v>28307.052481636754</v>
      </c>
      <c r="K24" s="399">
        <f t="shared" si="2"/>
        <v>-7776.1422094527516</v>
      </c>
    </row>
    <row r="25" spans="1:11" ht="15" x14ac:dyDescent="0.25">
      <c r="A25" s="395">
        <v>5425</v>
      </c>
      <c r="B25" s="480" t="s">
        <v>77</v>
      </c>
      <c r="C25" s="402">
        <v>717890.92395219684</v>
      </c>
      <c r="D25" s="307">
        <f>VLOOKUP(B25,Synthèse!$B$6:$N$314,5,FALSE)</f>
        <v>750863.6899306674</v>
      </c>
      <c r="E25" s="399">
        <f t="shared" si="0"/>
        <v>32972.765978470561</v>
      </c>
      <c r="F25" s="397">
        <v>-645169.21794154332</v>
      </c>
      <c r="G25" s="396">
        <f>VLOOKUP(B25,Synthèse!$B$6:$O$314,14,FALSE)</f>
        <v>-817886.99218599242</v>
      </c>
      <c r="H25" s="399">
        <f t="shared" si="1"/>
        <v>-172717.7742444491</v>
      </c>
      <c r="I25" s="402">
        <v>127757.48068986094</v>
      </c>
      <c r="J25" s="396">
        <f>VLOOKUP(B25,Synthèse!$B$6:$O$314,12,FALSE)</f>
        <v>119997.72716865179</v>
      </c>
      <c r="K25" s="399">
        <f t="shared" si="2"/>
        <v>-7759.7535212091461</v>
      </c>
    </row>
    <row r="26" spans="1:11" ht="15" x14ac:dyDescent="0.25">
      <c r="A26" s="395">
        <v>5426</v>
      </c>
      <c r="B26" s="480" t="s">
        <v>71</v>
      </c>
      <c r="C26" s="402">
        <v>1785797.3225186598</v>
      </c>
      <c r="D26" s="307">
        <f>VLOOKUP(B26,Synthèse!$B$6:$N$314,5,FALSE)</f>
        <v>1651467.7306426382</v>
      </c>
      <c r="E26" s="399">
        <f t="shared" si="0"/>
        <v>-134329.59187602159</v>
      </c>
      <c r="F26" s="397">
        <v>366694.43884497648</v>
      </c>
      <c r="G26" s="396">
        <f>VLOOKUP(B26,Synthèse!$B$6:$O$314,14,FALSE)</f>
        <v>691824.49208463437</v>
      </c>
      <c r="H26" s="399">
        <f t="shared" si="1"/>
        <v>325130.05323965789</v>
      </c>
      <c r="I26" s="402">
        <v>102640.57040271439</v>
      </c>
      <c r="J26" s="396">
        <f>VLOOKUP(B26,Synthèse!$B$6:$O$314,12,FALSE)</f>
        <v>103590.67285550627</v>
      </c>
      <c r="K26" s="399">
        <f t="shared" si="2"/>
        <v>950.10245279187802</v>
      </c>
    </row>
    <row r="27" spans="1:11" ht="15" x14ac:dyDescent="0.25">
      <c r="A27" s="395">
        <v>5427</v>
      </c>
      <c r="B27" s="480" t="s">
        <v>342</v>
      </c>
      <c r="C27" s="402">
        <v>2308867.4121355424</v>
      </c>
      <c r="D27" s="307">
        <f>VLOOKUP(B27,Synthèse!$B$6:$N$314,5,FALSE)</f>
        <v>2544465.6345609678</v>
      </c>
      <c r="E27" s="399">
        <f t="shared" si="0"/>
        <v>235598.22242542543</v>
      </c>
      <c r="F27" s="397">
        <v>1260027.8582370535</v>
      </c>
      <c r="G27" s="396">
        <f>VLOOKUP(B27,Synthèse!$B$6:$O$314,14,FALSE)</f>
        <v>1359259.1719294169</v>
      </c>
      <c r="H27" s="399">
        <f t="shared" si="1"/>
        <v>99231.313692363445</v>
      </c>
      <c r="I27" s="402">
        <v>178090.79718156173</v>
      </c>
      <c r="J27" s="396">
        <f>VLOOKUP(B27,Synthèse!$B$6:$O$314,12,FALSE)</f>
        <v>178663.10360773228</v>
      </c>
      <c r="K27" s="399">
        <f t="shared" si="2"/>
        <v>572.306426170544</v>
      </c>
    </row>
    <row r="28" spans="1:11" ht="15" x14ac:dyDescent="0.25">
      <c r="A28" s="395">
        <v>5428</v>
      </c>
      <c r="B28" s="480" t="s">
        <v>343</v>
      </c>
      <c r="C28" s="402">
        <v>1395752.4673956931</v>
      </c>
      <c r="D28" s="307">
        <f>VLOOKUP(B28,Synthèse!$B$6:$N$314,5,FALSE)</f>
        <v>1221259.428748192</v>
      </c>
      <c r="E28" s="399">
        <f t="shared" si="0"/>
        <v>-174493.03864750103</v>
      </c>
      <c r="F28" s="397">
        <v>-388172.81824178644</v>
      </c>
      <c r="G28" s="396">
        <f>VLOOKUP(B28,Synthèse!$B$6:$O$314,14,FALSE)</f>
        <v>-363489.04111819301</v>
      </c>
      <c r="H28" s="399">
        <f t="shared" si="1"/>
        <v>24683.777123593434</v>
      </c>
      <c r="I28" s="402">
        <v>194259.12103132423</v>
      </c>
      <c r="J28" s="396">
        <f>VLOOKUP(B28,Synthèse!$B$6:$O$314,12,FALSE)</f>
        <v>201074.96397095727</v>
      </c>
      <c r="K28" s="399">
        <f t="shared" si="2"/>
        <v>6815.8429396330321</v>
      </c>
    </row>
    <row r="29" spans="1:11" ht="15" x14ac:dyDescent="0.25">
      <c r="A29" s="395">
        <v>5429</v>
      </c>
      <c r="B29" s="480" t="s">
        <v>363</v>
      </c>
      <c r="C29" s="402">
        <v>277231.17984570767</v>
      </c>
      <c r="D29" s="307">
        <f>VLOOKUP(B29,Synthèse!$B$6:$N$314,5,FALSE)</f>
        <v>263414.67188112694</v>
      </c>
      <c r="E29" s="399">
        <f t="shared" si="0"/>
        <v>-13816.507964580727</v>
      </c>
      <c r="F29" s="397">
        <v>-21659.596182840789</v>
      </c>
      <c r="G29" s="396">
        <f>VLOOKUP(B29,Synthèse!$B$6:$O$314,14,FALSE)</f>
        <v>-19074.467272060967</v>
      </c>
      <c r="H29" s="399">
        <f t="shared" si="1"/>
        <v>2585.128910779822</v>
      </c>
      <c r="I29" s="402">
        <v>46952.097236386064</v>
      </c>
      <c r="J29" s="396">
        <f>VLOOKUP(B29,Synthèse!$B$6:$O$314,12,FALSE)</f>
        <v>46401.308248194968</v>
      </c>
      <c r="K29" s="399">
        <f t="shared" si="2"/>
        <v>-550.788988191096</v>
      </c>
    </row>
    <row r="30" spans="1:11" ht="15" x14ac:dyDescent="0.25">
      <c r="A30" s="395">
        <v>5430</v>
      </c>
      <c r="B30" s="480" t="s">
        <v>364</v>
      </c>
      <c r="C30" s="402">
        <v>266851.32569194498</v>
      </c>
      <c r="D30" s="307">
        <f>VLOOKUP(B30,Synthèse!$B$6:$N$314,5,FALSE)</f>
        <v>247706.05778232383</v>
      </c>
      <c r="E30" s="399">
        <f t="shared" si="0"/>
        <v>-19145.26790962115</v>
      </c>
      <c r="F30" s="397">
        <v>-166787.12166030012</v>
      </c>
      <c r="G30" s="396">
        <f>VLOOKUP(B30,Synthèse!$B$6:$O$314,14,FALSE)</f>
        <v>-17963.937893112452</v>
      </c>
      <c r="H30" s="399">
        <f t="shared" si="1"/>
        <v>148823.18376718767</v>
      </c>
      <c r="I30" s="402">
        <v>42841.323568471322</v>
      </c>
      <c r="J30" s="396">
        <f>VLOOKUP(B30,Synthèse!$B$6:$O$314,12,FALSE)</f>
        <v>45121.838991364712</v>
      </c>
      <c r="K30" s="399">
        <f t="shared" si="2"/>
        <v>2280.5154228933898</v>
      </c>
    </row>
    <row r="31" spans="1:11" ht="15" x14ac:dyDescent="0.25">
      <c r="A31" s="395">
        <v>5431</v>
      </c>
      <c r="B31" s="480" t="s">
        <v>365</v>
      </c>
      <c r="C31" s="402">
        <v>156068.84000146328</v>
      </c>
      <c r="D31" s="307">
        <f>VLOOKUP(B31,Synthèse!$B$6:$N$314,5,FALSE)</f>
        <v>214375.62526318911</v>
      </c>
      <c r="E31" s="399">
        <f t="shared" si="0"/>
        <v>58306.785261725832</v>
      </c>
      <c r="F31" s="397">
        <v>19092.204919163596</v>
      </c>
      <c r="G31" s="396">
        <f>VLOOKUP(B31,Synthèse!$B$6:$O$314,14,FALSE)</f>
        <v>62265.975670528351</v>
      </c>
      <c r="H31" s="399">
        <f t="shared" si="1"/>
        <v>43173.770751364755</v>
      </c>
      <c r="I31" s="402">
        <v>28284.342635283861</v>
      </c>
      <c r="J31" s="396">
        <f>VLOOKUP(B31,Synthèse!$B$6:$O$314,12,FALSE)</f>
        <v>32521.627432045632</v>
      </c>
      <c r="K31" s="399">
        <f t="shared" si="2"/>
        <v>4237.2847967617708</v>
      </c>
    </row>
    <row r="32" spans="1:11" ht="15" x14ac:dyDescent="0.25">
      <c r="A32" s="395">
        <v>5432</v>
      </c>
      <c r="B32" s="480" t="s">
        <v>366</v>
      </c>
      <c r="C32" s="402">
        <v>342329.80258299096</v>
      </c>
      <c r="D32" s="307">
        <f>VLOOKUP(B32,Synthèse!$B$6:$N$314,5,FALSE)</f>
        <v>260908.09810291277</v>
      </c>
      <c r="E32" s="399">
        <f t="shared" si="0"/>
        <v>-81421.704480078188</v>
      </c>
      <c r="F32" s="397">
        <v>140406.4294611584</v>
      </c>
      <c r="G32" s="396">
        <f>VLOOKUP(B32,Synthèse!$B$6:$O$314,14,FALSE)</f>
        <v>-15162.166257195371</v>
      </c>
      <c r="H32" s="399">
        <f t="shared" si="1"/>
        <v>-155568.59571835378</v>
      </c>
      <c r="I32" s="402">
        <v>56477.878317787967</v>
      </c>
      <c r="J32" s="396">
        <f>VLOOKUP(B32,Synthèse!$B$6:$O$314,12,FALSE)</f>
        <v>48782.827741043409</v>
      </c>
      <c r="K32" s="399">
        <f t="shared" si="2"/>
        <v>-7695.0505767445575</v>
      </c>
    </row>
    <row r="33" spans="1:11" ht="15" x14ac:dyDescent="0.25">
      <c r="A33" s="395">
        <v>5434</v>
      </c>
      <c r="B33" s="480" t="s">
        <v>367</v>
      </c>
      <c r="C33" s="402">
        <v>810705.39238630771</v>
      </c>
      <c r="D33" s="307">
        <f>VLOOKUP(B33,Synthèse!$B$6:$N$314,5,FALSE)</f>
        <v>701586.47045881464</v>
      </c>
      <c r="E33" s="399">
        <f t="shared" si="0"/>
        <v>-109118.92192749307</v>
      </c>
      <c r="F33" s="397">
        <v>352215.67960647342</v>
      </c>
      <c r="G33" s="396">
        <f>VLOOKUP(B33,Synthèse!$B$6:$O$314,14,FALSE)</f>
        <v>385883.08393181226</v>
      </c>
      <c r="H33" s="399">
        <f t="shared" si="1"/>
        <v>33667.404325338837</v>
      </c>
      <c r="I33" s="402">
        <v>116425.20210741446</v>
      </c>
      <c r="J33" s="396">
        <f>VLOOKUP(B33,Synthèse!$B$6:$O$314,12,FALSE)</f>
        <v>120795.65848014411</v>
      </c>
      <c r="K33" s="399">
        <f t="shared" si="2"/>
        <v>4370.4563727296481</v>
      </c>
    </row>
    <row r="34" spans="1:11" ht="15" x14ac:dyDescent="0.25">
      <c r="A34" s="395">
        <v>5435</v>
      </c>
      <c r="B34" s="480" t="s">
        <v>344</v>
      </c>
      <c r="C34" s="402">
        <v>408900.86859545729</v>
      </c>
      <c r="D34" s="307">
        <f>VLOOKUP(B34,Synthèse!$B$6:$N$314,5,FALSE)</f>
        <v>391084.93466867734</v>
      </c>
      <c r="E34" s="399">
        <f t="shared" si="0"/>
        <v>-17815.933926779951</v>
      </c>
      <c r="F34" s="397">
        <v>289696.96920103679</v>
      </c>
      <c r="G34" s="396">
        <f>VLOOKUP(B34,Synthèse!$B$6:$O$314,14,FALSE)</f>
        <v>176130.45458264617</v>
      </c>
      <c r="H34" s="399">
        <f t="shared" si="1"/>
        <v>-113566.51461839062</v>
      </c>
      <c r="I34" s="402">
        <v>81048.046556921894</v>
      </c>
      <c r="J34" s="396">
        <f>VLOOKUP(B34,Synthèse!$B$6:$O$314,12,FALSE)</f>
        <v>74097.821953092149</v>
      </c>
      <c r="K34" s="399">
        <f t="shared" si="2"/>
        <v>-6950.2246038297453</v>
      </c>
    </row>
    <row r="35" spans="1:11" ht="15" x14ac:dyDescent="0.25">
      <c r="A35" s="395">
        <v>5436</v>
      </c>
      <c r="B35" s="480" t="s">
        <v>345</v>
      </c>
      <c r="C35" s="402">
        <v>264974.57832952251</v>
      </c>
      <c r="D35" s="307">
        <f>VLOOKUP(B35,Synthèse!$B$6:$N$314,5,FALSE)</f>
        <v>267489.26799732901</v>
      </c>
      <c r="E35" s="399">
        <f t="shared" si="0"/>
        <v>2514.689667806495</v>
      </c>
      <c r="F35" s="397">
        <v>-84353.813690968193</v>
      </c>
      <c r="G35" s="396">
        <f>VLOOKUP(B35,Synthèse!$B$6:$O$314,14,FALSE)</f>
        <v>158354.13376139855</v>
      </c>
      <c r="H35" s="399">
        <f t="shared" si="1"/>
        <v>242707.94745236676</v>
      </c>
      <c r="I35" s="402">
        <v>35844.787170963871</v>
      </c>
      <c r="J35" s="396">
        <f>VLOOKUP(B35,Synthèse!$B$6:$O$314,12,FALSE)</f>
        <v>50884.800489018002</v>
      </c>
      <c r="K35" s="399">
        <f t="shared" si="2"/>
        <v>15040.013318054131</v>
      </c>
    </row>
    <row r="36" spans="1:11" ht="15" x14ac:dyDescent="0.25">
      <c r="A36" s="395">
        <v>5437</v>
      </c>
      <c r="B36" s="480" t="s">
        <v>346</v>
      </c>
      <c r="C36" s="402">
        <v>178704.08728703755</v>
      </c>
      <c r="D36" s="307">
        <f>VLOOKUP(B36,Synthèse!$B$6:$N$314,5,FALSE)</f>
        <v>216533.2693914524</v>
      </c>
      <c r="E36" s="399">
        <f t="shared" si="0"/>
        <v>37829.182104414853</v>
      </c>
      <c r="F36" s="397">
        <v>-153632.92193520779</v>
      </c>
      <c r="G36" s="396">
        <f>VLOOKUP(B36,Synthèse!$B$6:$O$314,14,FALSE)</f>
        <v>21602.060289725156</v>
      </c>
      <c r="H36" s="399">
        <f t="shared" si="1"/>
        <v>175234.98222493296</v>
      </c>
      <c r="I36" s="402">
        <v>31076.018164413425</v>
      </c>
      <c r="J36" s="396">
        <f>VLOOKUP(B36,Synthèse!$B$6:$O$314,12,FALSE)</f>
        <v>40313.921260749405</v>
      </c>
      <c r="K36" s="399">
        <f t="shared" si="2"/>
        <v>9237.9030963359801</v>
      </c>
    </row>
    <row r="37" spans="1:11" ht="15" x14ac:dyDescent="0.25">
      <c r="A37" s="395">
        <v>5451</v>
      </c>
      <c r="B37" s="480" t="s">
        <v>347</v>
      </c>
      <c r="C37" s="402">
        <v>1960522.3403253183</v>
      </c>
      <c r="D37" s="307">
        <f>VLOOKUP(B37,Synthèse!$B$6:$N$314,5,FALSE)</f>
        <v>2399546.927846753</v>
      </c>
      <c r="E37" s="399">
        <f t="shared" si="0"/>
        <v>439024.58752143476</v>
      </c>
      <c r="F37" s="397">
        <v>-2864403.1334711583</v>
      </c>
      <c r="G37" s="396">
        <f>VLOOKUP(B37,Synthèse!$B$6:$O$314,14,FALSE)</f>
        <v>-1620221.575892501</v>
      </c>
      <c r="H37" s="399">
        <f t="shared" si="1"/>
        <v>1244181.5575786573</v>
      </c>
      <c r="I37" s="402">
        <v>288356.29978047207</v>
      </c>
      <c r="J37" s="396">
        <f>VLOOKUP(B37,Synthèse!$B$6:$O$314,12,FALSE)</f>
        <v>383990.96703450818</v>
      </c>
      <c r="K37" s="399">
        <f t="shared" si="2"/>
        <v>95634.667254036118</v>
      </c>
    </row>
    <row r="38" spans="1:11" ht="15" x14ac:dyDescent="0.25">
      <c r="A38" s="395">
        <v>5456</v>
      </c>
      <c r="B38" s="480" t="s">
        <v>348</v>
      </c>
      <c r="C38" s="402">
        <v>1051967.5679419441</v>
      </c>
      <c r="D38" s="307">
        <f>VLOOKUP(B38,Synthèse!$B$6:$N$314,5,FALSE)</f>
        <v>1426049.3645792538</v>
      </c>
      <c r="E38" s="399">
        <f t="shared" si="0"/>
        <v>374081.79663730972</v>
      </c>
      <c r="F38" s="397">
        <v>220407.87527767115</v>
      </c>
      <c r="G38" s="396">
        <f>VLOOKUP(B38,Synthèse!$B$6:$O$314,14,FALSE)</f>
        <v>101445.63792689185</v>
      </c>
      <c r="H38" s="399">
        <f t="shared" si="1"/>
        <v>-118962.23735077929</v>
      </c>
      <c r="I38" s="402">
        <v>170269.57568892764</v>
      </c>
      <c r="J38" s="396">
        <f>VLOOKUP(B38,Synthèse!$B$6:$O$314,12,FALSE)</f>
        <v>173452.62211081095</v>
      </c>
      <c r="K38" s="399">
        <f t="shared" si="2"/>
        <v>3183.0464218833076</v>
      </c>
    </row>
    <row r="39" spans="1:11" ht="15" x14ac:dyDescent="0.25">
      <c r="A39" s="395">
        <v>5458</v>
      </c>
      <c r="B39" s="480" t="s">
        <v>349</v>
      </c>
      <c r="C39" s="402">
        <v>675667.18368759542</v>
      </c>
      <c r="D39" s="307">
        <f>VLOOKUP(B39,Synthèse!$B$6:$N$314,5,FALSE)</f>
        <v>711571.36706510419</v>
      </c>
      <c r="E39" s="399">
        <f t="shared" si="0"/>
        <v>35904.183377508773</v>
      </c>
      <c r="F39" s="397">
        <v>399228.44690270681</v>
      </c>
      <c r="G39" s="396">
        <f>VLOOKUP(B39,Synthèse!$B$6:$O$314,14,FALSE)</f>
        <v>341501.13912110403</v>
      </c>
      <c r="H39" s="399">
        <f t="shared" si="1"/>
        <v>-57727.30778160278</v>
      </c>
      <c r="I39" s="402">
        <v>108850.80188367241</v>
      </c>
      <c r="J39" s="396">
        <f>VLOOKUP(B39,Synthèse!$B$6:$O$314,12,FALSE)</f>
        <v>100262.98740606784</v>
      </c>
      <c r="K39" s="399">
        <f t="shared" si="2"/>
        <v>-8587.8144776045665</v>
      </c>
    </row>
    <row r="40" spans="1:11" ht="15" x14ac:dyDescent="0.25">
      <c r="A40" s="395">
        <v>5464</v>
      </c>
      <c r="B40" s="480" t="s">
        <v>430</v>
      </c>
      <c r="C40" s="402">
        <v>1858423.0044700846</v>
      </c>
      <c r="D40" s="307">
        <f>VLOOKUP(B40,Synthèse!$B$6:$N$314,5,FALSE)</f>
        <v>2037221.4122604332</v>
      </c>
      <c r="E40" s="399">
        <f t="shared" si="0"/>
        <v>178798.40779034863</v>
      </c>
      <c r="F40" s="397">
        <v>-85446.128771126969</v>
      </c>
      <c r="G40" s="396">
        <f>VLOOKUP(B40,Synthèse!$B$6:$O$314,14,FALSE)</f>
        <v>37527.644120040291</v>
      </c>
      <c r="H40" s="399">
        <f t="shared" si="1"/>
        <v>122973.77289116726</v>
      </c>
      <c r="I40" s="402">
        <v>307655.52137256664</v>
      </c>
      <c r="J40" s="396">
        <f>VLOOKUP(B40,Synthèse!$B$6:$O$314,12,FALSE)</f>
        <v>339757.88712836034</v>
      </c>
      <c r="K40" s="399">
        <f t="shared" si="2"/>
        <v>32102.365755793697</v>
      </c>
    </row>
    <row r="41" spans="1:11" ht="15" x14ac:dyDescent="0.25">
      <c r="A41" s="395">
        <v>5471</v>
      </c>
      <c r="B41" s="480" t="s">
        <v>350</v>
      </c>
      <c r="C41" s="402">
        <v>409407.08578839659</v>
      </c>
      <c r="D41" s="307">
        <f>VLOOKUP(B41,Synthèse!$B$6:$N$314,5,FALSE)</f>
        <v>349507.03270198748</v>
      </c>
      <c r="E41" s="399">
        <f t="shared" si="0"/>
        <v>-59900.053086409112</v>
      </c>
      <c r="F41" s="397">
        <v>179430.9702132027</v>
      </c>
      <c r="G41" s="396">
        <f>VLOOKUP(B41,Synthèse!$B$6:$O$314,14,FALSE)</f>
        <v>179456.12215153937</v>
      </c>
      <c r="H41" s="399">
        <f t="shared" si="1"/>
        <v>25.151938336668536</v>
      </c>
      <c r="I41" s="402">
        <v>59921.949264877243</v>
      </c>
      <c r="J41" s="396">
        <f>VLOOKUP(B41,Synthèse!$B$6:$O$314,12,FALSE)</f>
        <v>65859.678364082618</v>
      </c>
      <c r="K41" s="399">
        <f t="shared" si="2"/>
        <v>5937.729099205375</v>
      </c>
    </row>
    <row r="42" spans="1:11" ht="15" x14ac:dyDescent="0.25">
      <c r="A42" s="395">
        <v>5472</v>
      </c>
      <c r="B42" s="480" t="s">
        <v>351</v>
      </c>
      <c r="C42" s="402">
        <v>258360.25433487468</v>
      </c>
      <c r="D42" s="307">
        <f>VLOOKUP(B42,Synthèse!$B$6:$N$314,5,FALSE)</f>
        <v>251455.84549740131</v>
      </c>
      <c r="E42" s="399">
        <f t="shared" si="0"/>
        <v>-6904.4088374733692</v>
      </c>
      <c r="F42" s="397">
        <v>100383.9291948546</v>
      </c>
      <c r="G42" s="396">
        <f>VLOOKUP(B42,Synthèse!$B$6:$O$314,14,FALSE)</f>
        <v>133528.5205198664</v>
      </c>
      <c r="H42" s="399">
        <f t="shared" si="1"/>
        <v>33144.591325011803</v>
      </c>
      <c r="I42" s="402">
        <v>46763.075748580392</v>
      </c>
      <c r="J42" s="396">
        <f>VLOOKUP(B42,Synthèse!$B$6:$O$314,12,FALSE)</f>
        <v>45684.00271077198</v>
      </c>
      <c r="K42" s="399">
        <f t="shared" si="2"/>
        <v>-1079.0730378084118</v>
      </c>
    </row>
    <row r="43" spans="1:11" ht="15" x14ac:dyDescent="0.25">
      <c r="A43" s="395">
        <v>5473</v>
      </c>
      <c r="B43" s="480" t="s">
        <v>209</v>
      </c>
      <c r="C43" s="402">
        <v>567525.3469113647</v>
      </c>
      <c r="D43" s="307">
        <f>VLOOKUP(B43,Synthèse!$B$6:$N$314,5,FALSE)</f>
        <v>550039.27916090284</v>
      </c>
      <c r="E43" s="399">
        <f t="shared" si="0"/>
        <v>-17486.067750461865</v>
      </c>
      <c r="F43" s="397">
        <v>323067.34049442405</v>
      </c>
      <c r="G43" s="396">
        <f>VLOOKUP(B43,Synthèse!$B$6:$O$314,14,FALSE)</f>
        <v>327911.95227203192</v>
      </c>
      <c r="H43" s="399">
        <f t="shared" si="1"/>
        <v>4844.6117776078754</v>
      </c>
      <c r="I43" s="402">
        <v>103964.26114654257</v>
      </c>
      <c r="J43" s="396">
        <f>VLOOKUP(B43,Synthèse!$B$6:$O$314,12,FALSE)</f>
        <v>104360.87565214363</v>
      </c>
      <c r="K43" s="399">
        <f t="shared" si="2"/>
        <v>396.61450560105732</v>
      </c>
    </row>
    <row r="44" spans="1:11" ht="15" x14ac:dyDescent="0.25">
      <c r="A44" s="395">
        <v>5474</v>
      </c>
      <c r="B44" s="480" t="s">
        <v>210</v>
      </c>
      <c r="C44" s="402">
        <v>319101.56493679166</v>
      </c>
      <c r="D44" s="307">
        <f>VLOOKUP(B44,Synthèse!$B$6:$N$314,5,FALSE)</f>
        <v>276544.39006338036</v>
      </c>
      <c r="E44" s="399">
        <f t="shared" si="0"/>
        <v>-42557.174873411306</v>
      </c>
      <c r="F44" s="397">
        <v>-20307.022324685095</v>
      </c>
      <c r="G44" s="396">
        <f>VLOOKUP(B44,Synthèse!$B$6:$O$314,14,FALSE)</f>
        <v>30055.799871562049</v>
      </c>
      <c r="H44" s="399">
        <f t="shared" si="1"/>
        <v>50362.822196247143</v>
      </c>
      <c r="I44" s="402">
        <v>42361.919813145068</v>
      </c>
      <c r="J44" s="396">
        <f>VLOOKUP(B44,Synthèse!$B$6:$O$314,12,FALSE)</f>
        <v>47079.948602919118</v>
      </c>
      <c r="K44" s="399">
        <f t="shared" si="2"/>
        <v>4718.0287897740491</v>
      </c>
    </row>
    <row r="45" spans="1:11" ht="15" x14ac:dyDescent="0.25">
      <c r="A45" s="395">
        <v>5475</v>
      </c>
      <c r="B45" s="480" t="s">
        <v>373</v>
      </c>
      <c r="C45" s="402">
        <v>62315.755778641287</v>
      </c>
      <c r="D45" s="307">
        <f>VLOOKUP(B45,Synthèse!$B$6:$N$314,5,FALSE)</f>
        <v>57568.798438988684</v>
      </c>
      <c r="E45" s="399">
        <f t="shared" si="0"/>
        <v>-4746.957339652603</v>
      </c>
      <c r="F45" s="397">
        <v>-46018.584249333813</v>
      </c>
      <c r="G45" s="396">
        <f>VLOOKUP(B45,Synthèse!$B$6:$O$314,14,FALSE)</f>
        <v>-72877.810401127266</v>
      </c>
      <c r="H45" s="399">
        <f t="shared" si="1"/>
        <v>-26859.226151793453</v>
      </c>
      <c r="I45" s="402">
        <v>11864.57693031061</v>
      </c>
      <c r="J45" s="396">
        <f>VLOOKUP(B45,Synthèse!$B$6:$O$314,12,FALSE)</f>
        <v>9137.5884983372325</v>
      </c>
      <c r="K45" s="399">
        <f t="shared" si="2"/>
        <v>-2726.9884319733774</v>
      </c>
    </row>
    <row r="46" spans="1:11" ht="15" x14ac:dyDescent="0.25">
      <c r="A46" s="395">
        <v>5476</v>
      </c>
      <c r="B46" s="480" t="s">
        <v>374</v>
      </c>
      <c r="C46" s="402">
        <v>161190.05471687892</v>
      </c>
      <c r="D46" s="307">
        <f>VLOOKUP(B46,Synthèse!$B$6:$N$314,5,FALSE)</f>
        <v>185586.88402302933</v>
      </c>
      <c r="E46" s="399">
        <f t="shared" si="0"/>
        <v>24396.829306150408</v>
      </c>
      <c r="F46" s="397">
        <v>56976.316556916718</v>
      </c>
      <c r="G46" s="396">
        <f>VLOOKUP(B46,Synthèse!$B$6:$O$314,14,FALSE)</f>
        <v>152395.03888323103</v>
      </c>
      <c r="H46" s="399">
        <f t="shared" si="1"/>
        <v>95418.72232631431</v>
      </c>
      <c r="I46" s="402">
        <v>31699.77846012692</v>
      </c>
      <c r="J46" s="396">
        <f>VLOOKUP(B46,Synthèse!$B$6:$O$314,12,FALSE)</f>
        <v>38724.88730489726</v>
      </c>
      <c r="K46" s="399">
        <f t="shared" si="2"/>
        <v>7025.1088447703405</v>
      </c>
    </row>
    <row r="47" spans="1:11" ht="15" x14ac:dyDescent="0.25">
      <c r="A47" s="395">
        <v>5477</v>
      </c>
      <c r="B47" s="480" t="s">
        <v>375</v>
      </c>
      <c r="C47" s="402">
        <v>2537209.5937090432</v>
      </c>
      <c r="D47" s="307">
        <f>VLOOKUP(B47,Synthèse!$B$6:$N$314,5,FALSE)</f>
        <v>2376203.484886907</v>
      </c>
      <c r="E47" s="399">
        <f t="shared" si="0"/>
        <v>-161006.10882213619</v>
      </c>
      <c r="F47" s="397">
        <v>-288360.24139721307</v>
      </c>
      <c r="G47" s="396">
        <f>VLOOKUP(B47,Synthèse!$B$6:$O$314,14,FALSE)</f>
        <v>65566.314006659202</v>
      </c>
      <c r="H47" s="399">
        <f t="shared" si="1"/>
        <v>353926.55540387228</v>
      </c>
      <c r="I47" s="402">
        <v>390469.46463392104</v>
      </c>
      <c r="J47" s="396">
        <f>VLOOKUP(B47,Synthèse!$B$6:$O$314,12,FALSE)</f>
        <v>441735.13459331205</v>
      </c>
      <c r="K47" s="399">
        <f t="shared" si="2"/>
        <v>51265.669959391002</v>
      </c>
    </row>
    <row r="48" spans="1:11" ht="15" x14ac:dyDescent="0.25">
      <c r="A48" s="395">
        <v>5478</v>
      </c>
      <c r="B48" s="480" t="s">
        <v>241</v>
      </c>
      <c r="C48" s="402">
        <v>306544.61159674445</v>
      </c>
      <c r="D48" s="307">
        <f>VLOOKUP(B48,Synthèse!$B$6:$N$314,5,FALSE)</f>
        <v>310612.24945534987</v>
      </c>
      <c r="E48" s="399">
        <f t="shared" si="0"/>
        <v>4067.6378586054198</v>
      </c>
      <c r="F48" s="397">
        <v>146008.91097840192</v>
      </c>
      <c r="G48" s="396">
        <f>VLOOKUP(B48,Synthèse!$B$6:$O$314,14,FALSE)</f>
        <v>-374256.9535567885</v>
      </c>
      <c r="H48" s="399">
        <f t="shared" si="1"/>
        <v>-520265.8645351904</v>
      </c>
      <c r="I48" s="402">
        <v>53524.752501237177</v>
      </c>
      <c r="J48" s="396">
        <f>VLOOKUP(B48,Synthèse!$B$6:$O$314,12,FALSE)</f>
        <v>53905.218551751459</v>
      </c>
      <c r="K48" s="399">
        <f t="shared" si="2"/>
        <v>380.46605051428196</v>
      </c>
    </row>
    <row r="49" spans="1:11" ht="15" x14ac:dyDescent="0.25">
      <c r="A49" s="395">
        <v>5479</v>
      </c>
      <c r="B49" s="480" t="s">
        <v>242</v>
      </c>
      <c r="C49" s="402">
        <v>300845.77992718021</v>
      </c>
      <c r="D49" s="307">
        <f>VLOOKUP(B49,Synthèse!$B$6:$N$314,5,FALSE)</f>
        <v>278749.01581062691</v>
      </c>
      <c r="E49" s="399">
        <f t="shared" si="0"/>
        <v>-22096.764116553299</v>
      </c>
      <c r="F49" s="397">
        <v>-52959.697188351682</v>
      </c>
      <c r="G49" s="396">
        <f>VLOOKUP(B49,Synthèse!$B$6:$O$314,14,FALSE)</f>
        <v>-150218.75363956741</v>
      </c>
      <c r="H49" s="399">
        <f t="shared" si="1"/>
        <v>-97259.056451215729</v>
      </c>
      <c r="I49" s="402">
        <v>47468.865688915059</v>
      </c>
      <c r="J49" s="396">
        <f>VLOOKUP(B49,Synthèse!$B$6:$O$314,12,FALSE)</f>
        <v>52976.555446692495</v>
      </c>
      <c r="K49" s="399">
        <f t="shared" si="2"/>
        <v>5507.6897577774362</v>
      </c>
    </row>
    <row r="50" spans="1:11" ht="15" x14ac:dyDescent="0.25">
      <c r="A50" s="395">
        <v>5480</v>
      </c>
      <c r="B50" s="480" t="s">
        <v>243</v>
      </c>
      <c r="C50" s="402">
        <v>725059.14930590941</v>
      </c>
      <c r="D50" s="307">
        <f>VLOOKUP(B50,Synthèse!$B$6:$N$314,5,FALSE)</f>
        <v>700785.77377627359</v>
      </c>
      <c r="E50" s="399">
        <f t="shared" si="0"/>
        <v>-24273.375529635814</v>
      </c>
      <c r="F50" s="397">
        <v>486650.41634007241</v>
      </c>
      <c r="G50" s="396">
        <f>VLOOKUP(B50,Synthèse!$B$6:$O$314,14,FALSE)</f>
        <v>110381.6588509251</v>
      </c>
      <c r="H50" s="399">
        <f t="shared" si="1"/>
        <v>-376268.75748914731</v>
      </c>
      <c r="I50" s="402">
        <v>127466.03191448745</v>
      </c>
      <c r="J50" s="396">
        <f>VLOOKUP(B50,Synthèse!$B$6:$O$314,12,FALSE)</f>
        <v>121093.98495198843</v>
      </c>
      <c r="K50" s="399">
        <f t="shared" si="2"/>
        <v>-6372.0469624990219</v>
      </c>
    </row>
    <row r="51" spans="1:11" ht="15" x14ac:dyDescent="0.25">
      <c r="A51" s="395">
        <v>5481</v>
      </c>
      <c r="B51" s="480" t="s">
        <v>244</v>
      </c>
      <c r="C51" s="402">
        <v>141609.25708618216</v>
      </c>
      <c r="D51" s="307">
        <f>VLOOKUP(B51,Synthèse!$B$6:$N$314,5,FALSE)</f>
        <v>141967.30386319666</v>
      </c>
      <c r="E51" s="399">
        <f t="shared" si="0"/>
        <v>358.04677701450419</v>
      </c>
      <c r="F51" s="397">
        <v>84638.700938305017</v>
      </c>
      <c r="G51" s="396">
        <f>VLOOKUP(B51,Synthèse!$B$6:$O$314,14,FALSE)</f>
        <v>115758.73777612094</v>
      </c>
      <c r="H51" s="399">
        <f t="shared" si="1"/>
        <v>31120.036837815918</v>
      </c>
      <c r="I51" s="402">
        <v>26817.194493648185</v>
      </c>
      <c r="J51" s="396">
        <f>VLOOKUP(B51,Synthèse!$B$6:$O$314,12,FALSE)</f>
        <v>29912.909359457306</v>
      </c>
      <c r="K51" s="399">
        <f t="shared" si="2"/>
        <v>3095.714865809121</v>
      </c>
    </row>
    <row r="52" spans="1:11" ht="15" x14ac:dyDescent="0.25">
      <c r="A52" s="395">
        <v>5482</v>
      </c>
      <c r="B52" s="480" t="s">
        <v>245</v>
      </c>
      <c r="C52" s="402">
        <v>1037336.5091505434</v>
      </c>
      <c r="D52" s="307">
        <f>VLOOKUP(B52,Synthèse!$B$6:$N$314,5,FALSE)</f>
        <v>1061436.451057265</v>
      </c>
      <c r="E52" s="399">
        <f t="shared" si="0"/>
        <v>24099.94190672168</v>
      </c>
      <c r="F52" s="397">
        <v>722812.8565719889</v>
      </c>
      <c r="G52" s="396">
        <f>VLOOKUP(B52,Synthèse!$B$6:$O$314,14,FALSE)</f>
        <v>938190.53234174685</v>
      </c>
      <c r="H52" s="399">
        <f t="shared" si="1"/>
        <v>215377.67576975795</v>
      </c>
      <c r="I52" s="402">
        <v>142676.65025942068</v>
      </c>
      <c r="J52" s="396">
        <f>VLOOKUP(B52,Synthèse!$B$6:$O$314,12,FALSE)</f>
        <v>171487.27598709569</v>
      </c>
      <c r="K52" s="399">
        <f t="shared" si="2"/>
        <v>28810.625727675011</v>
      </c>
    </row>
    <row r="53" spans="1:11" ht="15" x14ac:dyDescent="0.25">
      <c r="A53" s="395">
        <v>5483</v>
      </c>
      <c r="B53" s="480" t="s">
        <v>140</v>
      </c>
      <c r="C53" s="402">
        <v>207761.33934303792</v>
      </c>
      <c r="D53" s="307">
        <f>VLOOKUP(B53,Synthèse!$B$6:$N$314,5,FALSE)</f>
        <v>193994.36435640976</v>
      </c>
      <c r="E53" s="399">
        <f t="shared" si="0"/>
        <v>-13766.974986628164</v>
      </c>
      <c r="F53" s="397">
        <v>149056.90265661463</v>
      </c>
      <c r="G53" s="396">
        <f>VLOOKUP(B53,Synthèse!$B$6:$O$314,14,FALSE)</f>
        <v>91844.779425844506</v>
      </c>
      <c r="H53" s="399">
        <f t="shared" si="1"/>
        <v>-57212.123230770128</v>
      </c>
      <c r="I53" s="402">
        <v>39317.015521193702</v>
      </c>
      <c r="J53" s="396">
        <f>VLOOKUP(B53,Synthèse!$B$6:$O$314,12,FALSE)</f>
        <v>34231.261343051927</v>
      </c>
      <c r="K53" s="399">
        <f t="shared" si="2"/>
        <v>-5085.7541781417749</v>
      </c>
    </row>
    <row r="54" spans="1:11" ht="15" x14ac:dyDescent="0.25">
      <c r="A54" s="395">
        <v>5484</v>
      </c>
      <c r="B54" s="480" t="s">
        <v>141</v>
      </c>
      <c r="C54" s="402">
        <v>711244.30862631998</v>
      </c>
      <c r="D54" s="307">
        <f>VLOOKUP(B54,Synthèse!$B$6:$N$314,5,FALSE)</f>
        <v>639892.83112841076</v>
      </c>
      <c r="E54" s="399">
        <f t="shared" si="0"/>
        <v>-71351.477497909218</v>
      </c>
      <c r="F54" s="397">
        <v>263322.39210681501</v>
      </c>
      <c r="G54" s="396">
        <f>VLOOKUP(B54,Synthèse!$B$6:$O$314,14,FALSE)</f>
        <v>221537.47151109256</v>
      </c>
      <c r="H54" s="399">
        <f t="shared" si="1"/>
        <v>-41784.920595722448</v>
      </c>
      <c r="I54" s="402">
        <v>107550.37994636002</v>
      </c>
      <c r="J54" s="396">
        <f>VLOOKUP(B54,Synthèse!$B$6:$O$314,12,FALSE)</f>
        <v>103573.37815235584</v>
      </c>
      <c r="K54" s="399">
        <f t="shared" si="2"/>
        <v>-3977.0017940041726</v>
      </c>
    </row>
    <row r="55" spans="1:11" ht="15" x14ac:dyDescent="0.25">
      <c r="A55" s="395">
        <v>5485</v>
      </c>
      <c r="B55" s="480" t="s">
        <v>142</v>
      </c>
      <c r="C55" s="402">
        <v>324283.47019281017</v>
      </c>
      <c r="D55" s="307">
        <f>VLOOKUP(B55,Synthèse!$B$6:$N$314,5,FALSE)</f>
        <v>293679.87148010277</v>
      </c>
      <c r="E55" s="399">
        <f t="shared" si="0"/>
        <v>-30603.598712707404</v>
      </c>
      <c r="F55" s="397">
        <v>260450.96904642918</v>
      </c>
      <c r="G55" s="396">
        <f>VLOOKUP(B55,Synthèse!$B$6:$O$314,14,FALSE)</f>
        <v>226503.86229222186</v>
      </c>
      <c r="H55" s="399">
        <f t="shared" si="1"/>
        <v>-33947.106754207314</v>
      </c>
      <c r="I55" s="402">
        <v>56490.17631333803</v>
      </c>
      <c r="J55" s="396">
        <f>VLOOKUP(B55,Synthèse!$B$6:$O$314,12,FALSE)</f>
        <v>52031.786499760972</v>
      </c>
      <c r="K55" s="399">
        <f t="shared" si="2"/>
        <v>-4458.3898135770578</v>
      </c>
    </row>
    <row r="56" spans="1:11" ht="15" x14ac:dyDescent="0.25">
      <c r="A56" s="395">
        <v>5486</v>
      </c>
      <c r="B56" s="480" t="s">
        <v>1</v>
      </c>
      <c r="C56" s="402">
        <v>512848.55536974658</v>
      </c>
      <c r="D56" s="307">
        <f>VLOOKUP(B56,Synthèse!$B$6:$N$314,5,FALSE)</f>
        <v>843730.0911818879</v>
      </c>
      <c r="E56" s="399">
        <f t="shared" si="0"/>
        <v>330881.53581214132</v>
      </c>
      <c r="F56" s="397">
        <v>-397285.28537388355</v>
      </c>
      <c r="G56" s="396">
        <f>VLOOKUP(B56,Synthèse!$B$6:$O$314,14,FALSE)</f>
        <v>22962.332100175146</v>
      </c>
      <c r="H56" s="399">
        <f t="shared" si="1"/>
        <v>420247.6174740587</v>
      </c>
      <c r="I56" s="402">
        <v>79814.374971604324</v>
      </c>
      <c r="J56" s="396">
        <f>VLOOKUP(B56,Synthèse!$B$6:$O$314,12,FALSE)</f>
        <v>108847.08487783969</v>
      </c>
      <c r="K56" s="399">
        <f t="shared" si="2"/>
        <v>29032.709906235366</v>
      </c>
    </row>
    <row r="57" spans="1:11" ht="15" x14ac:dyDescent="0.25">
      <c r="A57" s="395">
        <v>5487</v>
      </c>
      <c r="B57" s="480" t="s">
        <v>2</v>
      </c>
      <c r="C57" s="402">
        <v>271507.03756311414</v>
      </c>
      <c r="D57" s="307">
        <f>VLOOKUP(B57,Synthèse!$B$6:$N$314,5,FALSE)</f>
        <v>262880.14328380494</v>
      </c>
      <c r="E57" s="399">
        <f t="shared" si="0"/>
        <v>-8626.8942793091992</v>
      </c>
      <c r="F57" s="397">
        <v>85527.146600252221</v>
      </c>
      <c r="G57" s="396">
        <f>VLOOKUP(B57,Synthèse!$B$6:$O$314,14,FALSE)</f>
        <v>75375.463710616488</v>
      </c>
      <c r="H57" s="399">
        <f t="shared" si="1"/>
        <v>-10151.682889635733</v>
      </c>
      <c r="I57" s="402">
        <v>45283.751738333493</v>
      </c>
      <c r="J57" s="396">
        <f>VLOOKUP(B57,Synthèse!$B$6:$O$314,12,FALSE)</f>
        <v>47427.760819119787</v>
      </c>
      <c r="K57" s="399">
        <f t="shared" si="2"/>
        <v>2144.0090807862944</v>
      </c>
    </row>
    <row r="58" spans="1:11" ht="15" x14ac:dyDescent="0.25">
      <c r="A58" s="395">
        <v>5488</v>
      </c>
      <c r="B58" s="480" t="s">
        <v>3</v>
      </c>
      <c r="C58" s="402">
        <v>25813.536160772615</v>
      </c>
      <c r="D58" s="307">
        <f>VLOOKUP(B58,Synthèse!$B$6:$N$314,5,FALSE)</f>
        <v>25736.907577120735</v>
      </c>
      <c r="E58" s="399">
        <f t="shared" si="0"/>
        <v>-76.628583651880035</v>
      </c>
      <c r="F58" s="397">
        <v>-85.696241627637392</v>
      </c>
      <c r="G58" s="396">
        <f>VLOOKUP(B58,Synthèse!$B$6:$O$314,14,FALSE)</f>
        <v>5382.9695746357283</v>
      </c>
      <c r="H58" s="399">
        <f t="shared" si="1"/>
        <v>5468.6658162633657</v>
      </c>
      <c r="I58" s="402">
        <v>5166.7635989701757</v>
      </c>
      <c r="J58" s="396">
        <f>VLOOKUP(B58,Synthèse!$B$6:$O$314,12,FALSE)</f>
        <v>5376.2879745812279</v>
      </c>
      <c r="K58" s="399">
        <f t="shared" si="2"/>
        <v>209.52437561105216</v>
      </c>
    </row>
    <row r="59" spans="1:11" ht="15" x14ac:dyDescent="0.25">
      <c r="A59" s="395">
        <v>5489</v>
      </c>
      <c r="B59" s="480" t="s">
        <v>4</v>
      </c>
      <c r="C59" s="402">
        <v>1352429.8752463115</v>
      </c>
      <c r="D59" s="307">
        <f>VLOOKUP(B59,Synthèse!$B$6:$N$314,5,FALSE)</f>
        <v>1570361.6297983322</v>
      </c>
      <c r="E59" s="399">
        <f t="shared" si="0"/>
        <v>217931.75455202069</v>
      </c>
      <c r="F59" s="397">
        <v>970548.17685105151</v>
      </c>
      <c r="G59" s="396">
        <f>VLOOKUP(B59,Synthèse!$B$6:$O$314,14,FALSE)</f>
        <v>1169285.1194621297</v>
      </c>
      <c r="H59" s="399">
        <f t="shared" si="1"/>
        <v>198736.94261107815</v>
      </c>
      <c r="I59" s="402">
        <v>128990.62161186524</v>
      </c>
      <c r="J59" s="396">
        <f>VLOOKUP(B59,Synthèse!$B$6:$O$314,12,FALSE)</f>
        <v>137796.69073404558</v>
      </c>
      <c r="K59" s="399">
        <f t="shared" si="2"/>
        <v>8806.0691221803427</v>
      </c>
    </row>
    <row r="60" spans="1:11" ht="15" x14ac:dyDescent="0.25">
      <c r="A60" s="395">
        <v>5490</v>
      </c>
      <c r="B60" s="480" t="s">
        <v>5</v>
      </c>
      <c r="C60" s="402">
        <v>135586.31606409713</v>
      </c>
      <c r="D60" s="307">
        <f>VLOOKUP(B60,Synthèse!$B$6:$N$314,5,FALSE)</f>
        <v>131878.4508339646</v>
      </c>
      <c r="E60" s="399">
        <f t="shared" si="0"/>
        <v>-3707.8652301325346</v>
      </c>
      <c r="F60" s="397">
        <v>-79919.453920705346</v>
      </c>
      <c r="G60" s="396">
        <f>VLOOKUP(B60,Synthèse!$B$6:$O$314,14,FALSE)</f>
        <v>-88157.338198306941</v>
      </c>
      <c r="H60" s="399">
        <f t="shared" si="1"/>
        <v>-8237.8842776015954</v>
      </c>
      <c r="I60" s="402">
        <v>25929.646972220078</v>
      </c>
      <c r="J60" s="396">
        <f>VLOOKUP(B60,Synthèse!$B$6:$O$314,12,FALSE)</f>
        <v>25495.138592482675</v>
      </c>
      <c r="K60" s="399">
        <f t="shared" si="2"/>
        <v>-434.50837973740272</v>
      </c>
    </row>
    <row r="61" spans="1:11" ht="15" x14ac:dyDescent="0.25">
      <c r="A61" s="395">
        <v>5491</v>
      </c>
      <c r="B61" s="480" t="s">
        <v>164</v>
      </c>
      <c r="C61" s="402">
        <v>190078.08196394314</v>
      </c>
      <c r="D61" s="307">
        <f>VLOOKUP(B61,Synthèse!$B$6:$N$314,5,FALSE)</f>
        <v>220551.92219936699</v>
      </c>
      <c r="E61" s="399">
        <f t="shared" si="0"/>
        <v>30473.84023542385</v>
      </c>
      <c r="F61" s="397">
        <v>-127148.75878187893</v>
      </c>
      <c r="G61" s="396">
        <f>VLOOKUP(B61,Synthèse!$B$6:$O$314,14,FALSE)</f>
        <v>-67248.93247888278</v>
      </c>
      <c r="H61" s="399">
        <f t="shared" si="1"/>
        <v>59899.826302996153</v>
      </c>
      <c r="I61" s="402">
        <v>32928.598264300424</v>
      </c>
      <c r="J61" s="396">
        <f>VLOOKUP(B61,Synthèse!$B$6:$O$314,12,FALSE)</f>
        <v>42859.980250862282</v>
      </c>
      <c r="K61" s="399">
        <f t="shared" si="2"/>
        <v>9931.381986561857</v>
      </c>
    </row>
    <row r="62" spans="1:11" ht="15" x14ac:dyDescent="0.25">
      <c r="A62" s="395">
        <v>5492</v>
      </c>
      <c r="B62" s="480" t="s">
        <v>165</v>
      </c>
      <c r="C62" s="402">
        <v>9388061.3140610047</v>
      </c>
      <c r="D62" s="307">
        <f>VLOOKUP(B62,Synthèse!$B$6:$N$314,5,FALSE)</f>
        <v>7340039.4074617838</v>
      </c>
      <c r="E62" s="399">
        <f t="shared" si="0"/>
        <v>-2048021.9065992208</v>
      </c>
      <c r="F62" s="397">
        <v>641255.29609524505</v>
      </c>
      <c r="G62" s="396">
        <f>VLOOKUP(B62,Synthèse!$B$6:$O$314,14,FALSE)</f>
        <v>1214139.1401944668</v>
      </c>
      <c r="H62" s="399">
        <f t="shared" si="1"/>
        <v>572883.84409922175</v>
      </c>
      <c r="I62" s="402">
        <v>372036.07873155503</v>
      </c>
      <c r="J62" s="396">
        <f>VLOOKUP(B62,Synthèse!$B$6:$O$314,12,FALSE)</f>
        <v>310872.38911101379</v>
      </c>
      <c r="K62" s="399">
        <f t="shared" si="2"/>
        <v>-61163.689620541234</v>
      </c>
    </row>
    <row r="63" spans="1:11" ht="15" x14ac:dyDescent="0.25">
      <c r="A63" s="395">
        <v>5493</v>
      </c>
      <c r="B63" s="480" t="s">
        <v>166</v>
      </c>
      <c r="C63" s="402">
        <v>211566.73633469554</v>
      </c>
      <c r="D63" s="307">
        <f>VLOOKUP(B63,Synthèse!$B$6:$N$314,5,FALSE)</f>
        <v>242137.76610591757</v>
      </c>
      <c r="E63" s="399">
        <f t="shared" si="0"/>
        <v>30571.029771222034</v>
      </c>
      <c r="F63" s="397">
        <v>-306033.5279636081</v>
      </c>
      <c r="G63" s="396">
        <f>VLOOKUP(B63,Synthèse!$B$6:$O$314,14,FALSE)</f>
        <v>-27314.983091273927</v>
      </c>
      <c r="H63" s="399">
        <f t="shared" si="1"/>
        <v>278718.54487233417</v>
      </c>
      <c r="I63" s="402">
        <v>31136.404557598478</v>
      </c>
      <c r="J63" s="396">
        <f>VLOOKUP(B63,Synthèse!$B$6:$O$314,12,FALSE)</f>
        <v>32556.187961264572</v>
      </c>
      <c r="K63" s="399">
        <f t="shared" si="2"/>
        <v>1419.7834036660934</v>
      </c>
    </row>
    <row r="64" spans="1:11" ht="15" x14ac:dyDescent="0.25">
      <c r="A64" s="395">
        <v>5494</v>
      </c>
      <c r="B64" s="480" t="s">
        <v>167</v>
      </c>
      <c r="C64" s="402">
        <v>613347.13865960867</v>
      </c>
      <c r="D64" s="307">
        <f>VLOOKUP(B64,Synthèse!$B$6:$N$314,5,FALSE)</f>
        <v>642545.25952480326</v>
      </c>
      <c r="E64" s="399">
        <f t="shared" si="0"/>
        <v>29198.120865194593</v>
      </c>
      <c r="F64" s="397">
        <v>36686.320063506922</v>
      </c>
      <c r="G64" s="396">
        <f>VLOOKUP(B64,Synthèse!$B$6:$O$314,14,FALSE)</f>
        <v>10535.998243286303</v>
      </c>
      <c r="H64" s="399">
        <f t="shared" si="1"/>
        <v>-26150.321820220619</v>
      </c>
      <c r="I64" s="402">
        <v>116262.13498563446</v>
      </c>
      <c r="J64" s="396">
        <f>VLOOKUP(B64,Synthèse!$B$6:$O$314,12,FALSE)</f>
        <v>112420.34474181951</v>
      </c>
      <c r="K64" s="399">
        <f t="shared" si="2"/>
        <v>-3841.7902438149467</v>
      </c>
    </row>
    <row r="65" spans="1:11" ht="15" x14ac:dyDescent="0.25">
      <c r="A65" s="395">
        <v>5495</v>
      </c>
      <c r="B65" s="480" t="s">
        <v>168</v>
      </c>
      <c r="C65" s="402">
        <v>1844483.8964229277</v>
      </c>
      <c r="D65" s="307">
        <f>VLOOKUP(B65,Synthèse!$B$6:$N$314,5,FALSE)</f>
        <v>1618766.1317854149</v>
      </c>
      <c r="E65" s="399">
        <f t="shared" si="0"/>
        <v>-225717.76463751285</v>
      </c>
      <c r="F65" s="397">
        <v>-797432.13639657269</v>
      </c>
      <c r="G65" s="396">
        <f>VLOOKUP(B65,Synthèse!$B$6:$O$314,14,FALSE)</f>
        <v>-886622.24505796272</v>
      </c>
      <c r="H65" s="399">
        <f t="shared" si="1"/>
        <v>-89190.108661390026</v>
      </c>
      <c r="I65" s="402">
        <v>290455.00562187738</v>
      </c>
      <c r="J65" s="396">
        <f>VLOOKUP(B65,Synthèse!$B$6:$O$314,12,FALSE)</f>
        <v>289338.14340326877</v>
      </c>
      <c r="K65" s="399">
        <f t="shared" si="2"/>
        <v>-1116.8622186086141</v>
      </c>
    </row>
    <row r="66" spans="1:11" ht="15" x14ac:dyDescent="0.25">
      <c r="A66" s="395">
        <v>5496</v>
      </c>
      <c r="B66" s="480" t="s">
        <v>169</v>
      </c>
      <c r="C66" s="402">
        <v>1010185.6412547021</v>
      </c>
      <c r="D66" s="307">
        <f>VLOOKUP(B66,Synthèse!$B$6:$N$314,5,FALSE)</f>
        <v>1091070.6673668462</v>
      </c>
      <c r="E66" s="399">
        <f t="shared" si="0"/>
        <v>80885.026112144114</v>
      </c>
      <c r="F66" s="397">
        <v>11575.146258957684</v>
      </c>
      <c r="G66" s="396">
        <f>VLOOKUP(B66,Synthèse!$B$6:$O$314,14,FALSE)</f>
        <v>69822.186783543089</v>
      </c>
      <c r="H66" s="399">
        <f t="shared" si="1"/>
        <v>58247.040524585405</v>
      </c>
      <c r="I66" s="402">
        <v>172100.64994307529</v>
      </c>
      <c r="J66" s="396">
        <f>VLOOKUP(B66,Synthèse!$B$6:$O$314,12,FALSE)</f>
        <v>180347.6440827219</v>
      </c>
      <c r="K66" s="399">
        <f t="shared" si="2"/>
        <v>8246.9941396466165</v>
      </c>
    </row>
    <row r="67" spans="1:11" ht="15" x14ac:dyDescent="0.25">
      <c r="A67" s="395">
        <v>5497</v>
      </c>
      <c r="B67" s="480" t="s">
        <v>170</v>
      </c>
      <c r="C67" s="402">
        <v>594317.2284704675</v>
      </c>
      <c r="D67" s="307">
        <f>VLOOKUP(B67,Synthèse!$B$6:$N$314,5,FALSE)</f>
        <v>447943.86973845272</v>
      </c>
      <c r="E67" s="399">
        <f t="shared" si="0"/>
        <v>-146373.35873201478</v>
      </c>
      <c r="F67" s="397">
        <v>-145318.80901879314</v>
      </c>
      <c r="G67" s="396">
        <f>VLOOKUP(B67,Synthèse!$B$6:$O$314,14,FALSE)</f>
        <v>-142603.31205949234</v>
      </c>
      <c r="H67" s="399">
        <f t="shared" si="1"/>
        <v>2715.4969593007991</v>
      </c>
      <c r="I67" s="402">
        <v>68110.863406595832</v>
      </c>
      <c r="J67" s="396">
        <f>VLOOKUP(B67,Synthèse!$B$6:$O$314,12,FALSE)</f>
        <v>67896.867812745681</v>
      </c>
      <c r="K67" s="399">
        <f t="shared" si="2"/>
        <v>-213.99559385015164</v>
      </c>
    </row>
    <row r="68" spans="1:11" ht="15" x14ac:dyDescent="0.25">
      <c r="A68" s="395">
        <v>5498</v>
      </c>
      <c r="B68" s="480" t="s">
        <v>171</v>
      </c>
      <c r="C68" s="402">
        <v>1550261.7191714572</v>
      </c>
      <c r="D68" s="307">
        <f>VLOOKUP(B68,Synthèse!$B$6:$N$314,5,FALSE)</f>
        <v>1422827.2713115686</v>
      </c>
      <c r="E68" s="399">
        <f t="shared" si="0"/>
        <v>-127434.44785988866</v>
      </c>
      <c r="F68" s="397">
        <v>-688056.46788794617</v>
      </c>
      <c r="G68" s="396">
        <f>VLOOKUP(B68,Synthèse!$B$6:$O$314,14,FALSE)</f>
        <v>-534763.05646546336</v>
      </c>
      <c r="H68" s="399">
        <f t="shared" si="1"/>
        <v>153293.41142248281</v>
      </c>
      <c r="I68" s="402">
        <v>221947.60925247098</v>
      </c>
      <c r="J68" s="396">
        <f>VLOOKUP(B68,Synthèse!$B$6:$O$314,12,FALSE)</f>
        <v>235517.5014542609</v>
      </c>
      <c r="K68" s="399">
        <f t="shared" si="2"/>
        <v>13569.892201789917</v>
      </c>
    </row>
    <row r="69" spans="1:11" ht="15" x14ac:dyDescent="0.25">
      <c r="A69" s="395">
        <v>5499</v>
      </c>
      <c r="B69" s="480" t="s">
        <v>172</v>
      </c>
      <c r="C69" s="402">
        <v>495413.38698205317</v>
      </c>
      <c r="D69" s="307">
        <f>VLOOKUP(B69,Synthèse!$B$6:$N$314,5,FALSE)</f>
        <v>346859.86367175484</v>
      </c>
      <c r="E69" s="399">
        <f t="shared" si="0"/>
        <v>-148553.52331029833</v>
      </c>
      <c r="F69" s="397">
        <v>266740.07948114356</v>
      </c>
      <c r="G69" s="396">
        <f>VLOOKUP(B69,Synthèse!$B$6:$O$314,14,FALSE)</f>
        <v>275539.76342453941</v>
      </c>
      <c r="H69" s="399">
        <f t="shared" si="1"/>
        <v>8799.6839433958521</v>
      </c>
      <c r="I69" s="402">
        <v>63865.980724374283</v>
      </c>
      <c r="J69" s="396">
        <f>VLOOKUP(B69,Synthèse!$B$6:$O$314,12,FALSE)</f>
        <v>59544.337492145503</v>
      </c>
      <c r="K69" s="399">
        <f t="shared" si="2"/>
        <v>-4321.6432322287801</v>
      </c>
    </row>
    <row r="70" spans="1:11" ht="15" x14ac:dyDescent="0.25">
      <c r="A70" s="395">
        <v>5500</v>
      </c>
      <c r="B70" s="480" t="s">
        <v>173</v>
      </c>
      <c r="C70" s="402">
        <v>157305.0520911435</v>
      </c>
      <c r="D70" s="307">
        <f>VLOOKUP(B70,Synthèse!$B$6:$N$314,5,FALSE)</f>
        <v>118721.49939178079</v>
      </c>
      <c r="E70" s="399">
        <f t="shared" si="0"/>
        <v>-38583.552699362714</v>
      </c>
      <c r="F70" s="397">
        <v>106854.96510439017</v>
      </c>
      <c r="G70" s="396">
        <f>VLOOKUP(B70,Synthèse!$B$6:$O$314,14,FALSE)</f>
        <v>11346.9711505819</v>
      </c>
      <c r="H70" s="399">
        <f t="shared" si="1"/>
        <v>-95507.993953808269</v>
      </c>
      <c r="I70" s="402">
        <v>28373.447787856796</v>
      </c>
      <c r="J70" s="396">
        <f>VLOOKUP(B70,Synthèse!$B$6:$O$314,12,FALSE)</f>
        <v>21211.469819505037</v>
      </c>
      <c r="K70" s="399">
        <f t="shared" si="2"/>
        <v>-7161.977968351759</v>
      </c>
    </row>
    <row r="71" spans="1:11" ht="15" x14ac:dyDescent="0.25">
      <c r="A71" s="395">
        <v>5501</v>
      </c>
      <c r="B71" s="480" t="s">
        <v>174</v>
      </c>
      <c r="C71" s="402">
        <v>630444.8717773247</v>
      </c>
      <c r="D71" s="307">
        <f>VLOOKUP(B71,Synthèse!$B$6:$N$314,5,FALSE)</f>
        <v>684993.50740045612</v>
      </c>
      <c r="E71" s="399">
        <f t="shared" ref="E71:E134" si="3">D71-C71</f>
        <v>54548.635623131413</v>
      </c>
      <c r="F71" s="397">
        <v>278209.15147389221</v>
      </c>
      <c r="G71" s="396">
        <f>VLOOKUP(B71,Synthèse!$B$6:$O$314,14,FALSE)</f>
        <v>504517.77273009176</v>
      </c>
      <c r="H71" s="399">
        <f t="shared" ref="H71:H134" si="4">G71-F71</f>
        <v>226308.62125619955</v>
      </c>
      <c r="I71" s="402">
        <v>106890.16457332985</v>
      </c>
      <c r="J71" s="396">
        <f>VLOOKUP(B71,Synthèse!$B$6:$O$314,12,FALSE)</f>
        <v>122864.16104614985</v>
      </c>
      <c r="K71" s="399">
        <f t="shared" ref="K71:K134" si="5">J71-I71</f>
        <v>15973.996472819999</v>
      </c>
    </row>
    <row r="72" spans="1:11" ht="15" x14ac:dyDescent="0.25">
      <c r="A72" s="395">
        <v>5503</v>
      </c>
      <c r="B72" s="480" t="s">
        <v>175</v>
      </c>
      <c r="C72" s="402">
        <v>1246859.7064182421</v>
      </c>
      <c r="D72" s="307">
        <f>VLOOKUP(B72,Synthèse!$B$6:$N$314,5,FALSE)</f>
        <v>1957398.4933915893</v>
      </c>
      <c r="E72" s="399">
        <f t="shared" si="3"/>
        <v>710538.78697334719</v>
      </c>
      <c r="F72" s="397">
        <v>1069423.7811553748</v>
      </c>
      <c r="G72" s="396">
        <f>VLOOKUP(B72,Synthèse!$B$6:$O$314,14,FALSE)</f>
        <v>1529718.4967452257</v>
      </c>
      <c r="H72" s="399">
        <f t="shared" si="4"/>
        <v>460294.71558985091</v>
      </c>
      <c r="I72" s="402">
        <v>191567.63800961489</v>
      </c>
      <c r="J72" s="396">
        <f>VLOOKUP(B72,Synthèse!$B$6:$O$314,12,FALSE)</f>
        <v>217991.27231669193</v>
      </c>
      <c r="K72" s="399">
        <f t="shared" si="5"/>
        <v>26423.634307077038</v>
      </c>
    </row>
    <row r="73" spans="1:11" ht="15" x14ac:dyDescent="0.25">
      <c r="A73" s="395">
        <v>5511</v>
      </c>
      <c r="B73" s="480" t="s">
        <v>176</v>
      </c>
      <c r="C73" s="402">
        <v>802942.24195966311</v>
      </c>
      <c r="D73" s="307">
        <f>VLOOKUP(B73,Synthèse!$B$6:$N$314,5,FALSE)</f>
        <v>858907.2064305495</v>
      </c>
      <c r="E73" s="399">
        <f t="shared" si="3"/>
        <v>55964.964470886393</v>
      </c>
      <c r="F73" s="397">
        <v>672069.86199704697</v>
      </c>
      <c r="G73" s="396">
        <f>VLOOKUP(B73,Synthèse!$B$6:$O$314,14,FALSE)</f>
        <v>626155.65796724777</v>
      </c>
      <c r="H73" s="399">
        <f t="shared" si="4"/>
        <v>-45914.204029799206</v>
      </c>
      <c r="I73" s="402">
        <v>152188.523775087</v>
      </c>
      <c r="J73" s="396">
        <f>VLOOKUP(B73,Synthèse!$B$6:$O$314,12,FALSE)</f>
        <v>152978.47224352125</v>
      </c>
      <c r="K73" s="399">
        <f t="shared" si="5"/>
        <v>789.94846843424602</v>
      </c>
    </row>
    <row r="74" spans="1:11" ht="15" x14ac:dyDescent="0.25">
      <c r="A74" s="395">
        <v>5512</v>
      </c>
      <c r="B74" s="480" t="s">
        <v>177</v>
      </c>
      <c r="C74" s="402">
        <v>711948.40384601115</v>
      </c>
      <c r="D74" s="307">
        <f>VLOOKUP(B74,Synthèse!$B$6:$N$314,5,FALSE)</f>
        <v>675584.38176823943</v>
      </c>
      <c r="E74" s="399">
        <f t="shared" si="3"/>
        <v>-36364.022077771719</v>
      </c>
      <c r="F74" s="397">
        <v>-64977.705144390435</v>
      </c>
      <c r="G74" s="396">
        <f>VLOOKUP(B74,Synthèse!$B$6:$O$314,14,FALSE)</f>
        <v>-161262.36406578281</v>
      </c>
      <c r="H74" s="399">
        <f t="shared" si="4"/>
        <v>-96284.658921392373</v>
      </c>
      <c r="I74" s="402">
        <v>117954.59043333883</v>
      </c>
      <c r="J74" s="396">
        <f>VLOOKUP(B74,Synthèse!$B$6:$O$314,12,FALSE)</f>
        <v>121184.92800734495</v>
      </c>
      <c r="K74" s="399">
        <f t="shared" si="5"/>
        <v>3230.3375740061165</v>
      </c>
    </row>
    <row r="75" spans="1:11" ht="15" x14ac:dyDescent="0.25">
      <c r="A75" s="395">
        <v>5513</v>
      </c>
      <c r="B75" s="480" t="s">
        <v>178</v>
      </c>
      <c r="C75" s="402">
        <v>545741.01661566447</v>
      </c>
      <c r="D75" s="307">
        <f>VLOOKUP(B75,Synthèse!$B$6:$N$314,5,FALSE)</f>
        <v>387219.92201140331</v>
      </c>
      <c r="E75" s="399">
        <f t="shared" si="3"/>
        <v>-158521.09460426116</v>
      </c>
      <c r="F75" s="397">
        <v>305032.94635528448</v>
      </c>
      <c r="G75" s="396">
        <f>VLOOKUP(B75,Synthèse!$B$6:$O$314,14,FALSE)</f>
        <v>329395.32820993179</v>
      </c>
      <c r="H75" s="399">
        <f t="shared" si="4"/>
        <v>24362.381854647305</v>
      </c>
      <c r="I75" s="402">
        <v>66339.699481571195</v>
      </c>
      <c r="J75" s="396">
        <f>VLOOKUP(B75,Synthèse!$B$6:$O$314,12,FALSE)</f>
        <v>66664.060784938003</v>
      </c>
      <c r="K75" s="399">
        <f t="shared" si="5"/>
        <v>324.36130336680799</v>
      </c>
    </row>
    <row r="76" spans="1:11" ht="15" x14ac:dyDescent="0.25">
      <c r="A76" s="395">
        <v>5514</v>
      </c>
      <c r="B76" s="480" t="s">
        <v>179</v>
      </c>
      <c r="C76" s="402">
        <v>707740.76395040832</v>
      </c>
      <c r="D76" s="307">
        <f>VLOOKUP(B76,Synthèse!$B$6:$N$314,5,FALSE)</f>
        <v>662454.70101008017</v>
      </c>
      <c r="E76" s="399">
        <f t="shared" si="3"/>
        <v>-45286.062940328149</v>
      </c>
      <c r="F76" s="397">
        <v>297310.16540482023</v>
      </c>
      <c r="G76" s="396">
        <f>VLOOKUP(B76,Synthèse!$B$6:$O$314,14,FALSE)</f>
        <v>142173.86714033887</v>
      </c>
      <c r="H76" s="399">
        <f t="shared" si="4"/>
        <v>-155136.29826448136</v>
      </c>
      <c r="I76" s="402">
        <v>128671.18445133006</v>
      </c>
      <c r="J76" s="396">
        <f>VLOOKUP(B76,Synthèse!$B$6:$O$314,12,FALSE)</f>
        <v>123699.38195551404</v>
      </c>
      <c r="K76" s="399">
        <f t="shared" si="5"/>
        <v>-4971.802495816024</v>
      </c>
    </row>
    <row r="77" spans="1:11" ht="15" x14ac:dyDescent="0.25">
      <c r="A77" s="395">
        <v>5515</v>
      </c>
      <c r="B77" s="480" t="s">
        <v>180</v>
      </c>
      <c r="C77" s="402">
        <v>492610.2702195067</v>
      </c>
      <c r="D77" s="307">
        <f>VLOOKUP(B77,Synthèse!$B$6:$N$314,5,FALSE)</f>
        <v>519668.40642261767</v>
      </c>
      <c r="E77" s="399">
        <f t="shared" si="3"/>
        <v>27058.136203110975</v>
      </c>
      <c r="F77" s="397">
        <v>202773.35817851665</v>
      </c>
      <c r="G77" s="396">
        <f>VLOOKUP(B77,Synthèse!$B$6:$O$314,14,FALSE)</f>
        <v>104334.26157189143</v>
      </c>
      <c r="H77" s="399">
        <f t="shared" si="4"/>
        <v>-98439.096606625215</v>
      </c>
      <c r="I77" s="402">
        <v>87217.671627561009</v>
      </c>
      <c r="J77" s="396">
        <f>VLOOKUP(B77,Synthèse!$B$6:$O$314,12,FALSE)</f>
        <v>87903.296758405369</v>
      </c>
      <c r="K77" s="399">
        <f t="shared" si="5"/>
        <v>685.62513084436068</v>
      </c>
    </row>
    <row r="78" spans="1:11" ht="15" x14ac:dyDescent="0.25">
      <c r="A78" s="395">
        <v>5516</v>
      </c>
      <c r="B78" s="480" t="s">
        <v>181</v>
      </c>
      <c r="C78" s="402">
        <v>2041788.3407018781</v>
      </c>
      <c r="D78" s="307">
        <f>VLOOKUP(B78,Synthèse!$B$6:$N$314,5,FALSE)</f>
        <v>1780765.3706982615</v>
      </c>
      <c r="E78" s="399">
        <f t="shared" si="3"/>
        <v>-261022.97000361653</v>
      </c>
      <c r="F78" s="397">
        <v>932878.45956105459</v>
      </c>
      <c r="G78" s="396">
        <f>VLOOKUP(B78,Synthèse!$B$6:$O$314,14,FALSE)</f>
        <v>811975.64248550276</v>
      </c>
      <c r="H78" s="399">
        <f t="shared" si="4"/>
        <v>-120902.81707555184</v>
      </c>
      <c r="I78" s="402">
        <v>346362.42978312902</v>
      </c>
      <c r="J78" s="396">
        <f>VLOOKUP(B78,Synthèse!$B$6:$O$314,12,FALSE)</f>
        <v>339400.40033743263</v>
      </c>
      <c r="K78" s="399">
        <f t="shared" si="5"/>
        <v>-6962.0294456963893</v>
      </c>
    </row>
    <row r="79" spans="1:11" ht="15" x14ac:dyDescent="0.25">
      <c r="A79" s="395">
        <v>5518</v>
      </c>
      <c r="B79" s="480" t="s">
        <v>182</v>
      </c>
      <c r="C79" s="402">
        <v>3257131.7251791549</v>
      </c>
      <c r="D79" s="307">
        <f>VLOOKUP(B79,Synthèse!$B$6:$N$314,5,FALSE)</f>
        <v>3523749.6576180104</v>
      </c>
      <c r="E79" s="399">
        <f t="shared" si="3"/>
        <v>266617.93243885553</v>
      </c>
      <c r="F79" s="397">
        <v>-1163765.7171124909</v>
      </c>
      <c r="G79" s="396">
        <f>VLOOKUP(B79,Synthèse!$B$6:$O$314,14,FALSE)</f>
        <v>-1299425.6593044135</v>
      </c>
      <c r="H79" s="399">
        <f t="shared" si="4"/>
        <v>-135659.94219192257</v>
      </c>
      <c r="I79" s="402">
        <v>585695.27568938129</v>
      </c>
      <c r="J79" s="396">
        <f>VLOOKUP(B79,Synthèse!$B$6:$O$314,12,FALSE)</f>
        <v>569732.41102944058</v>
      </c>
      <c r="K79" s="399">
        <f t="shared" si="5"/>
        <v>-15962.864659940707</v>
      </c>
    </row>
    <row r="80" spans="1:11" ht="15" x14ac:dyDescent="0.25">
      <c r="A80" s="395">
        <v>5520</v>
      </c>
      <c r="B80" s="480" t="s">
        <v>183</v>
      </c>
      <c r="C80" s="402">
        <v>606787.84688492515</v>
      </c>
      <c r="D80" s="307">
        <f>VLOOKUP(B80,Synthèse!$B$6:$N$314,5,FALSE)</f>
        <v>501645.79719286674</v>
      </c>
      <c r="E80" s="399">
        <f t="shared" si="3"/>
        <v>-105142.04969205841</v>
      </c>
      <c r="F80" s="397">
        <v>24757.172089137195</v>
      </c>
      <c r="G80" s="396">
        <f>VLOOKUP(B80,Synthèse!$B$6:$O$314,14,FALSE)</f>
        <v>-9388.2695091967762</v>
      </c>
      <c r="H80" s="399">
        <f t="shared" si="4"/>
        <v>-34145.441598333971</v>
      </c>
      <c r="I80" s="402">
        <v>100822.66618831355</v>
      </c>
      <c r="J80" s="396">
        <f>VLOOKUP(B80,Synthèse!$B$6:$O$314,12,FALSE)</f>
        <v>90236.957944838796</v>
      </c>
      <c r="K80" s="399">
        <f t="shared" si="5"/>
        <v>-10585.708243474757</v>
      </c>
    </row>
    <row r="81" spans="1:11" ht="15" x14ac:dyDescent="0.25">
      <c r="A81" s="395">
        <v>5521</v>
      </c>
      <c r="B81" s="480" t="s">
        <v>184</v>
      </c>
      <c r="C81" s="402">
        <v>734797.13769961626</v>
      </c>
      <c r="D81" s="307">
        <f>VLOOKUP(B81,Synthèse!$B$6:$N$314,5,FALSE)</f>
        <v>841136.7875817311</v>
      </c>
      <c r="E81" s="399">
        <f t="shared" si="3"/>
        <v>106339.64988211484</v>
      </c>
      <c r="F81" s="397">
        <v>448633.52098040597</v>
      </c>
      <c r="G81" s="396">
        <f>VLOOKUP(B81,Synthèse!$B$6:$O$314,14,FALSE)</f>
        <v>665242.96296136768</v>
      </c>
      <c r="H81" s="399">
        <f t="shared" si="4"/>
        <v>216609.44198096171</v>
      </c>
      <c r="I81" s="402">
        <v>128295.97286869753</v>
      </c>
      <c r="J81" s="396">
        <f>VLOOKUP(B81,Synthèse!$B$6:$O$314,12,FALSE)</f>
        <v>146871.50774032529</v>
      </c>
      <c r="K81" s="399">
        <f t="shared" si="5"/>
        <v>18575.534871627766</v>
      </c>
    </row>
    <row r="82" spans="1:11" ht="15" x14ac:dyDescent="0.25">
      <c r="A82" s="395">
        <v>5522</v>
      </c>
      <c r="B82" s="480" t="s">
        <v>185</v>
      </c>
      <c r="C82" s="402">
        <v>387871.38590017043</v>
      </c>
      <c r="D82" s="307">
        <f>VLOOKUP(B82,Synthèse!$B$6:$N$314,5,FALSE)</f>
        <v>386034.38730608206</v>
      </c>
      <c r="E82" s="399">
        <f t="shared" si="3"/>
        <v>-1836.9985940883635</v>
      </c>
      <c r="F82" s="397">
        <v>39340.911575964128</v>
      </c>
      <c r="G82" s="396">
        <f>VLOOKUP(B82,Synthèse!$B$6:$O$314,14,FALSE)</f>
        <v>62530.576357902937</v>
      </c>
      <c r="H82" s="399">
        <f t="shared" si="4"/>
        <v>23189.664781938809</v>
      </c>
      <c r="I82" s="402">
        <v>63443.382428183759</v>
      </c>
      <c r="J82" s="396">
        <f>VLOOKUP(B82,Synthèse!$B$6:$O$314,12,FALSE)</f>
        <v>68955.070176178924</v>
      </c>
      <c r="K82" s="399">
        <f t="shared" si="5"/>
        <v>5511.6877479951654</v>
      </c>
    </row>
    <row r="83" spans="1:11" ht="15" x14ac:dyDescent="0.25">
      <c r="A83" s="395">
        <v>5523</v>
      </c>
      <c r="B83" s="480" t="s">
        <v>186</v>
      </c>
      <c r="C83" s="402">
        <v>1466957.1175540036</v>
      </c>
      <c r="D83" s="307">
        <f>VLOOKUP(B83,Synthèse!$B$6:$N$314,5,FALSE)</f>
        <v>1435787.4356365625</v>
      </c>
      <c r="E83" s="399">
        <f t="shared" si="3"/>
        <v>-31169.681917441078</v>
      </c>
      <c r="F83" s="397">
        <v>130431.03698961349</v>
      </c>
      <c r="G83" s="396">
        <f>VLOOKUP(B83,Synthèse!$B$6:$O$314,14,FALSE)</f>
        <v>226379.82895895501</v>
      </c>
      <c r="H83" s="399">
        <f t="shared" si="4"/>
        <v>95948.791969341517</v>
      </c>
      <c r="I83" s="402">
        <v>263191.04679156066</v>
      </c>
      <c r="J83" s="396">
        <f>VLOOKUP(B83,Synthèse!$B$6:$O$314,12,FALSE)</f>
        <v>270782.76248628052</v>
      </c>
      <c r="K83" s="399">
        <f t="shared" si="5"/>
        <v>7591.7156947198673</v>
      </c>
    </row>
    <row r="84" spans="1:11" ht="15" x14ac:dyDescent="0.25">
      <c r="A84" s="395">
        <v>5527</v>
      </c>
      <c r="B84" s="480" t="s">
        <v>187</v>
      </c>
      <c r="C84" s="402">
        <v>707541.3049601547</v>
      </c>
      <c r="D84" s="307">
        <f>VLOOKUP(B84,Synthèse!$B$6:$N$314,5,FALSE)</f>
        <v>708372.79663292412</v>
      </c>
      <c r="E84" s="399">
        <f t="shared" si="3"/>
        <v>831.49167276942171</v>
      </c>
      <c r="F84" s="397">
        <v>413803.07164230262</v>
      </c>
      <c r="G84" s="396">
        <f>VLOOKUP(B84,Synthèse!$B$6:$O$314,14,FALSE)</f>
        <v>352818.4012218389</v>
      </c>
      <c r="H84" s="399">
        <f t="shared" si="4"/>
        <v>-60984.670420463721</v>
      </c>
      <c r="I84" s="402">
        <v>124700.42758516516</v>
      </c>
      <c r="J84" s="396">
        <f>VLOOKUP(B84,Synthèse!$B$6:$O$314,12,FALSE)</f>
        <v>121876.10013577706</v>
      </c>
      <c r="K84" s="399">
        <f t="shared" si="5"/>
        <v>-2824.3274493881036</v>
      </c>
    </row>
    <row r="85" spans="1:11" ht="15" x14ac:dyDescent="0.25">
      <c r="A85" s="395">
        <v>5529</v>
      </c>
      <c r="B85" s="480" t="s">
        <v>188</v>
      </c>
      <c r="C85" s="402">
        <v>371904.30165323464</v>
      </c>
      <c r="D85" s="307">
        <f>VLOOKUP(B85,Synthèse!$B$6:$N$314,5,FALSE)</f>
        <v>356784.05327943969</v>
      </c>
      <c r="E85" s="399">
        <f t="shared" si="3"/>
        <v>-15120.248373794951</v>
      </c>
      <c r="F85" s="397">
        <v>93049.252438558251</v>
      </c>
      <c r="G85" s="396">
        <f>VLOOKUP(B85,Synthèse!$B$6:$O$314,14,FALSE)</f>
        <v>153720.57300742797</v>
      </c>
      <c r="H85" s="399">
        <f t="shared" si="4"/>
        <v>60671.32056886972</v>
      </c>
      <c r="I85" s="402">
        <v>63721.319402211157</v>
      </c>
      <c r="J85" s="396">
        <f>VLOOKUP(B85,Synthèse!$B$6:$O$314,12,FALSE)</f>
        <v>65503.054484895008</v>
      </c>
      <c r="K85" s="399">
        <f t="shared" si="5"/>
        <v>1781.7350826838519</v>
      </c>
    </row>
    <row r="86" spans="1:11" ht="15" x14ac:dyDescent="0.25">
      <c r="A86" s="395">
        <v>5530</v>
      </c>
      <c r="B86" s="480" t="s">
        <v>189</v>
      </c>
      <c r="C86" s="402">
        <v>307845.01901892002</v>
      </c>
      <c r="D86" s="307">
        <f>VLOOKUP(B86,Synthèse!$B$6:$N$314,5,FALSE)</f>
        <v>311821.76237022487</v>
      </c>
      <c r="E86" s="399">
        <f t="shared" si="3"/>
        <v>3976.7433513048454</v>
      </c>
      <c r="F86" s="397">
        <v>-483414.44591865176</v>
      </c>
      <c r="G86" s="396">
        <f>VLOOKUP(B86,Synthèse!$B$6:$O$314,14,FALSE)</f>
        <v>-299892.47617621272</v>
      </c>
      <c r="H86" s="399">
        <f t="shared" si="4"/>
        <v>183521.96974243905</v>
      </c>
      <c r="I86" s="402">
        <v>51673.690503563841</v>
      </c>
      <c r="J86" s="396">
        <f>VLOOKUP(B86,Synthèse!$B$6:$O$314,12,FALSE)</f>
        <v>53612.80571070459</v>
      </c>
      <c r="K86" s="399">
        <f t="shared" si="5"/>
        <v>1939.1152071407487</v>
      </c>
    </row>
    <row r="87" spans="1:11" ht="15" x14ac:dyDescent="0.25">
      <c r="A87" s="395">
        <v>5531</v>
      </c>
      <c r="B87" s="480" t="s">
        <v>190</v>
      </c>
      <c r="C87" s="402">
        <v>235717.82118547428</v>
      </c>
      <c r="D87" s="307">
        <f>VLOOKUP(B87,Synthèse!$B$6:$N$314,5,FALSE)</f>
        <v>222404.58966746629</v>
      </c>
      <c r="E87" s="399">
        <f t="shared" si="3"/>
        <v>-13313.23151800799</v>
      </c>
      <c r="F87" s="397">
        <v>10184.872213881878</v>
      </c>
      <c r="G87" s="396">
        <f>VLOOKUP(B87,Synthèse!$B$6:$O$314,14,FALSE)</f>
        <v>50082.844595750466</v>
      </c>
      <c r="H87" s="399">
        <f t="shared" si="4"/>
        <v>39897.972381868589</v>
      </c>
      <c r="I87" s="402">
        <v>41402.089599504325</v>
      </c>
      <c r="J87" s="396">
        <f>VLOOKUP(B87,Synthèse!$B$6:$O$314,12,FALSE)</f>
        <v>44789.397039501229</v>
      </c>
      <c r="K87" s="399">
        <f t="shared" si="5"/>
        <v>3387.3074399969046</v>
      </c>
    </row>
    <row r="88" spans="1:11" ht="15" x14ac:dyDescent="0.25">
      <c r="A88" s="395">
        <v>5533</v>
      </c>
      <c r="B88" s="480" t="s">
        <v>191</v>
      </c>
      <c r="C88" s="402">
        <v>452738.69064472208</v>
      </c>
      <c r="D88" s="307">
        <f>VLOOKUP(B88,Synthèse!$B$6:$N$314,5,FALSE)</f>
        <v>406892.42727201473</v>
      </c>
      <c r="E88" s="399">
        <f t="shared" si="3"/>
        <v>-45846.263372707355</v>
      </c>
      <c r="F88" s="397">
        <v>181332.47260417009</v>
      </c>
      <c r="G88" s="396">
        <f>VLOOKUP(B88,Synthèse!$B$6:$O$314,14,FALSE)</f>
        <v>-66989.398633940888</v>
      </c>
      <c r="H88" s="399">
        <f t="shared" si="4"/>
        <v>-248321.87123811099</v>
      </c>
      <c r="I88" s="402">
        <v>86681.065542338853</v>
      </c>
      <c r="J88" s="396">
        <f>VLOOKUP(B88,Synthèse!$B$6:$O$314,12,FALSE)</f>
        <v>69084.24226858266</v>
      </c>
      <c r="K88" s="399">
        <f t="shared" si="5"/>
        <v>-17596.823273756192</v>
      </c>
    </row>
    <row r="89" spans="1:11" ht="15" x14ac:dyDescent="0.25">
      <c r="A89" s="395">
        <v>5534</v>
      </c>
      <c r="B89" s="480" t="s">
        <v>192</v>
      </c>
      <c r="C89" s="402">
        <v>158002.46375087873</v>
      </c>
      <c r="D89" s="307">
        <f>VLOOKUP(B89,Synthèse!$B$6:$N$314,5,FALSE)</f>
        <v>178875.26936963401</v>
      </c>
      <c r="E89" s="399">
        <f t="shared" si="3"/>
        <v>20872.805618755287</v>
      </c>
      <c r="F89" s="397">
        <v>83010.972247188809</v>
      </c>
      <c r="G89" s="396">
        <f>VLOOKUP(B89,Synthèse!$B$6:$O$314,14,FALSE)</f>
        <v>131322.83802619323</v>
      </c>
      <c r="H89" s="399">
        <f t="shared" si="4"/>
        <v>48311.865779004424</v>
      </c>
      <c r="I89" s="402">
        <v>28624.236058257462</v>
      </c>
      <c r="J89" s="396">
        <f>VLOOKUP(B89,Synthèse!$B$6:$O$314,12,FALSE)</f>
        <v>31220.814505279741</v>
      </c>
      <c r="K89" s="399">
        <f t="shared" si="5"/>
        <v>2596.5784470222789</v>
      </c>
    </row>
    <row r="90" spans="1:11" ht="15" x14ac:dyDescent="0.25">
      <c r="A90" s="395">
        <v>5535</v>
      </c>
      <c r="B90" s="480" t="s">
        <v>30</v>
      </c>
      <c r="C90" s="402">
        <v>392366.78594328585</v>
      </c>
      <c r="D90" s="307">
        <f>VLOOKUP(B90,Synthèse!$B$6:$N$314,5,FALSE)</f>
        <v>378617.11284527974</v>
      </c>
      <c r="E90" s="399">
        <f t="shared" si="3"/>
        <v>-13749.673098006111</v>
      </c>
      <c r="F90" s="397">
        <v>96423.973687032238</v>
      </c>
      <c r="G90" s="396">
        <f>VLOOKUP(B90,Synthèse!$B$6:$O$314,14,FALSE)</f>
        <v>-15561.822994148595</v>
      </c>
      <c r="H90" s="399">
        <f t="shared" si="4"/>
        <v>-111985.79668118083</v>
      </c>
      <c r="I90" s="402">
        <v>72906.764251880551</v>
      </c>
      <c r="J90" s="396">
        <f>VLOOKUP(B90,Synthèse!$B$6:$O$314,12,FALSE)</f>
        <v>67906.63386837866</v>
      </c>
      <c r="K90" s="399">
        <f t="shared" si="5"/>
        <v>-5000.1303835018916</v>
      </c>
    </row>
    <row r="91" spans="1:11" ht="15" x14ac:dyDescent="0.25">
      <c r="A91" s="395">
        <v>5537</v>
      </c>
      <c r="B91" s="480" t="s">
        <v>31</v>
      </c>
      <c r="C91" s="402">
        <v>601175.68290938344</v>
      </c>
      <c r="D91" s="307">
        <f>VLOOKUP(B91,Synthèse!$B$6:$N$314,5,FALSE)</f>
        <v>579918.97061039484</v>
      </c>
      <c r="E91" s="399">
        <f t="shared" si="3"/>
        <v>-21256.712298988597</v>
      </c>
      <c r="F91" s="397">
        <v>55078.181012912639</v>
      </c>
      <c r="G91" s="396">
        <f>VLOOKUP(B91,Synthèse!$B$6:$O$314,14,FALSE)</f>
        <v>31455.343748627918</v>
      </c>
      <c r="H91" s="399">
        <f t="shared" si="4"/>
        <v>-23622.837264284721</v>
      </c>
      <c r="I91" s="402">
        <v>104872.80457728842</v>
      </c>
      <c r="J91" s="396">
        <f>VLOOKUP(B91,Synthèse!$B$6:$O$314,12,FALSE)</f>
        <v>109402.56735501098</v>
      </c>
      <c r="K91" s="399">
        <f t="shared" si="5"/>
        <v>4529.7627777225571</v>
      </c>
    </row>
    <row r="92" spans="1:11" ht="15" x14ac:dyDescent="0.25">
      <c r="A92" s="395">
        <v>5539</v>
      </c>
      <c r="B92" s="480" t="s">
        <v>32</v>
      </c>
      <c r="C92" s="402">
        <v>472556.58767281123</v>
      </c>
      <c r="D92" s="307">
        <f>VLOOKUP(B92,Synthèse!$B$6:$N$314,5,FALSE)</f>
        <v>544086.43591579422</v>
      </c>
      <c r="E92" s="399">
        <f t="shared" si="3"/>
        <v>71529.848242982989</v>
      </c>
      <c r="F92" s="397">
        <v>-38934.286769419516</v>
      </c>
      <c r="G92" s="396">
        <f>VLOOKUP(B92,Synthèse!$B$6:$O$314,14,FALSE)</f>
        <v>-4910.33576468299</v>
      </c>
      <c r="H92" s="399">
        <f t="shared" si="4"/>
        <v>34023.951004736526</v>
      </c>
      <c r="I92" s="402">
        <v>84164.078878750908</v>
      </c>
      <c r="J92" s="396">
        <f>VLOOKUP(B92,Synthèse!$B$6:$O$314,12,FALSE)</f>
        <v>90879.612266009994</v>
      </c>
      <c r="K92" s="399">
        <f t="shared" si="5"/>
        <v>6715.5333872590854</v>
      </c>
    </row>
    <row r="93" spans="1:11" ht="15" x14ac:dyDescent="0.25">
      <c r="A93" s="395">
        <v>5540</v>
      </c>
      <c r="B93" s="480" t="s">
        <v>432</v>
      </c>
      <c r="C93" s="402">
        <v>1004555.4315990731</v>
      </c>
      <c r="D93" s="307">
        <f>VLOOKUP(B93,Synthèse!$B$6:$N$314,5,FALSE)</f>
        <v>1030342.6488717753</v>
      </c>
      <c r="E93" s="399">
        <f t="shared" si="3"/>
        <v>25787.217272702139</v>
      </c>
      <c r="F93" s="397">
        <v>1486.4192218809039</v>
      </c>
      <c r="G93" s="396">
        <f>VLOOKUP(B93,Synthèse!$B$6:$O$314,14,FALSE)</f>
        <v>134669.02906167833</v>
      </c>
      <c r="H93" s="399">
        <f t="shared" si="4"/>
        <v>133182.60983979743</v>
      </c>
      <c r="I93" s="402">
        <v>179411.79185122761</v>
      </c>
      <c r="J93" s="396">
        <f>VLOOKUP(B93,Synthèse!$B$6:$O$314,12,FALSE)</f>
        <v>197489.38033677312</v>
      </c>
      <c r="K93" s="399">
        <f t="shared" si="5"/>
        <v>18077.588485545508</v>
      </c>
    </row>
    <row r="94" spans="1:11" ht="15" x14ac:dyDescent="0.25">
      <c r="A94" s="395">
        <v>5541</v>
      </c>
      <c r="B94" s="480" t="s">
        <v>431</v>
      </c>
      <c r="C94" s="402">
        <v>680243.53621039551</v>
      </c>
      <c r="D94" s="307">
        <f>VLOOKUP(B94,Synthèse!$B$6:$N$314,5,FALSE)</f>
        <v>657867.69844688755</v>
      </c>
      <c r="E94" s="399">
        <f t="shared" si="3"/>
        <v>-22375.837763507967</v>
      </c>
      <c r="F94" s="397">
        <v>314639.29918527685</v>
      </c>
      <c r="G94" s="396">
        <f>VLOOKUP(B94,Synthèse!$B$6:$O$314,14,FALSE)</f>
        <v>187361.36883315444</v>
      </c>
      <c r="H94" s="399">
        <f t="shared" si="4"/>
        <v>-127277.93035212241</v>
      </c>
      <c r="I94" s="402">
        <v>122082.08963125703</v>
      </c>
      <c r="J94" s="396">
        <f>VLOOKUP(B94,Synthèse!$B$6:$O$314,12,FALSE)</f>
        <v>113930.25267749705</v>
      </c>
      <c r="K94" s="399">
        <f t="shared" si="5"/>
        <v>-8151.8369537599792</v>
      </c>
    </row>
    <row r="95" spans="1:11" ht="15" x14ac:dyDescent="0.25">
      <c r="A95" s="395">
        <v>5551</v>
      </c>
      <c r="B95" s="480" t="s">
        <v>33</v>
      </c>
      <c r="C95" s="402">
        <v>357303.53665403894</v>
      </c>
      <c r="D95" s="307">
        <f>VLOOKUP(B95,Synthèse!$B$6:$N$314,5,FALSE)</f>
        <v>280841.76954863907</v>
      </c>
      <c r="E95" s="399">
        <f t="shared" si="3"/>
        <v>-76461.767105399864</v>
      </c>
      <c r="F95" s="397">
        <v>192844.63505801314</v>
      </c>
      <c r="G95" s="396">
        <f>VLOOKUP(B95,Synthèse!$B$6:$O$314,14,FALSE)</f>
        <v>153766.23639664211</v>
      </c>
      <c r="H95" s="399">
        <f t="shared" si="4"/>
        <v>-39078.398661371029</v>
      </c>
      <c r="I95" s="402">
        <v>57971.287413141348</v>
      </c>
      <c r="J95" s="396">
        <f>VLOOKUP(B95,Synthèse!$B$6:$O$314,12,FALSE)</f>
        <v>54008.125015677972</v>
      </c>
      <c r="K95" s="399">
        <f t="shared" si="5"/>
        <v>-3963.1623974633767</v>
      </c>
    </row>
    <row r="96" spans="1:11" ht="15" x14ac:dyDescent="0.25">
      <c r="A96" s="395">
        <v>5552</v>
      </c>
      <c r="B96" s="480" t="s">
        <v>34</v>
      </c>
      <c r="C96" s="402">
        <v>339815.95499522641</v>
      </c>
      <c r="D96" s="307">
        <f>VLOOKUP(B96,Synthèse!$B$6:$N$314,5,FALSE)</f>
        <v>336484.05356612243</v>
      </c>
      <c r="E96" s="399">
        <f t="shared" si="3"/>
        <v>-3331.9014291039784</v>
      </c>
      <c r="F96" s="397">
        <v>-149087.60459722439</v>
      </c>
      <c r="G96" s="396">
        <f>VLOOKUP(B96,Synthèse!$B$6:$O$314,14,FALSE)</f>
        <v>-191885.83705866922</v>
      </c>
      <c r="H96" s="399">
        <f t="shared" si="4"/>
        <v>-42798.23246144483</v>
      </c>
      <c r="I96" s="402">
        <v>55406.543433781248</v>
      </c>
      <c r="J96" s="396">
        <f>VLOOKUP(B96,Synthèse!$B$6:$O$314,12,FALSE)</f>
        <v>55346.856990781533</v>
      </c>
      <c r="K96" s="399">
        <f t="shared" si="5"/>
        <v>-59.686442999714927</v>
      </c>
    </row>
    <row r="97" spans="1:11" ht="15" x14ac:dyDescent="0.25">
      <c r="A97" s="395">
        <v>5553</v>
      </c>
      <c r="B97" s="480" t="s">
        <v>35</v>
      </c>
      <c r="C97" s="402">
        <v>643127.52473792806</v>
      </c>
      <c r="D97" s="307">
        <f>VLOOKUP(B97,Synthèse!$B$6:$N$314,5,FALSE)</f>
        <v>663247.85970694618</v>
      </c>
      <c r="E97" s="399">
        <f t="shared" si="3"/>
        <v>20120.33496901812</v>
      </c>
      <c r="F97" s="397">
        <v>87536.38850673617</v>
      </c>
      <c r="G97" s="396">
        <f>VLOOKUP(B97,Synthèse!$B$6:$O$314,14,FALSE)</f>
        <v>224465.61996482898</v>
      </c>
      <c r="H97" s="399">
        <f t="shared" si="4"/>
        <v>136929.23145809281</v>
      </c>
      <c r="I97" s="402">
        <v>105436.17521949958</v>
      </c>
      <c r="J97" s="396">
        <f>VLOOKUP(B97,Synthèse!$B$6:$O$314,12,FALSE)</f>
        <v>112434.64123282759</v>
      </c>
      <c r="K97" s="399">
        <f t="shared" si="5"/>
        <v>6998.4660133280122</v>
      </c>
    </row>
    <row r="98" spans="1:11" ht="15" x14ac:dyDescent="0.25">
      <c r="A98" s="395">
        <v>5554</v>
      </c>
      <c r="B98" s="480" t="s">
        <v>36</v>
      </c>
      <c r="C98" s="402">
        <v>559223.32860480715</v>
      </c>
      <c r="D98" s="307">
        <f>VLOOKUP(B98,Synthèse!$B$6:$N$314,5,FALSE)</f>
        <v>674307.47285226046</v>
      </c>
      <c r="E98" s="399">
        <f t="shared" si="3"/>
        <v>115084.14424745331</v>
      </c>
      <c r="F98" s="397">
        <v>92183.123362251266</v>
      </c>
      <c r="G98" s="396">
        <f>VLOOKUP(B98,Synthèse!$B$6:$O$314,14,FALSE)</f>
        <v>45235.675660123903</v>
      </c>
      <c r="H98" s="399">
        <f t="shared" si="4"/>
        <v>-46947.447702127363</v>
      </c>
      <c r="I98" s="402">
        <v>99901.836150412826</v>
      </c>
      <c r="J98" s="396">
        <f>VLOOKUP(B98,Synthèse!$B$6:$O$314,12,FALSE)</f>
        <v>101585.64822458898</v>
      </c>
      <c r="K98" s="399">
        <f t="shared" si="5"/>
        <v>1683.8120741761522</v>
      </c>
    </row>
    <row r="99" spans="1:11" ht="15" x14ac:dyDescent="0.25">
      <c r="A99" s="395">
        <v>5555</v>
      </c>
      <c r="B99" s="480" t="s">
        <v>37</v>
      </c>
      <c r="C99" s="402">
        <v>277011.77618996485</v>
      </c>
      <c r="D99" s="307">
        <f>VLOOKUP(B99,Synthèse!$B$6:$N$314,5,FALSE)</f>
        <v>245007.34307380195</v>
      </c>
      <c r="E99" s="399">
        <f t="shared" si="3"/>
        <v>-32004.433116162894</v>
      </c>
      <c r="F99" s="397">
        <v>55817.627518592592</v>
      </c>
      <c r="G99" s="396">
        <f>VLOOKUP(B99,Synthèse!$B$6:$O$314,14,FALSE)</f>
        <v>2039.2110131221998</v>
      </c>
      <c r="H99" s="399">
        <f t="shared" si="4"/>
        <v>-53778.416505470392</v>
      </c>
      <c r="I99" s="402">
        <v>42601.224807761762</v>
      </c>
      <c r="J99" s="396">
        <f>VLOOKUP(B99,Synthèse!$B$6:$O$314,12,FALSE)</f>
        <v>40607.412173486635</v>
      </c>
      <c r="K99" s="399">
        <f t="shared" si="5"/>
        <v>-1993.8126342751275</v>
      </c>
    </row>
    <row r="100" spans="1:11" ht="15" x14ac:dyDescent="0.25">
      <c r="A100" s="395">
        <v>5556</v>
      </c>
      <c r="B100" s="480" t="s">
        <v>38</v>
      </c>
      <c r="C100" s="402">
        <v>440921.40814908559</v>
      </c>
      <c r="D100" s="307">
        <f>VLOOKUP(B100,Synthèse!$B$6:$N$314,5,FALSE)</f>
        <v>206288.48251945456</v>
      </c>
      <c r="E100" s="399">
        <f t="shared" si="3"/>
        <v>-234632.92562963103</v>
      </c>
      <c r="F100" s="397">
        <v>-34298.030358671283</v>
      </c>
      <c r="G100" s="396">
        <f>VLOOKUP(B100,Synthèse!$B$6:$O$314,14,FALSE)</f>
        <v>-77994.020870922366</v>
      </c>
      <c r="H100" s="399">
        <f t="shared" si="4"/>
        <v>-43695.990512251083</v>
      </c>
      <c r="I100" s="402">
        <v>40602.076289087665</v>
      </c>
      <c r="J100" s="396">
        <f>VLOOKUP(B100,Synthèse!$B$6:$O$314,12,FALSE)</f>
        <v>39531.970703277955</v>
      </c>
      <c r="K100" s="399">
        <f t="shared" si="5"/>
        <v>-1070.1055858097097</v>
      </c>
    </row>
    <row r="101" spans="1:11" ht="15" x14ac:dyDescent="0.25">
      <c r="A101" s="395">
        <v>5557</v>
      </c>
      <c r="B101" s="480" t="s">
        <v>39</v>
      </c>
      <c r="C101" s="402">
        <v>85227.400442168684</v>
      </c>
      <c r="D101" s="307">
        <f>VLOOKUP(B101,Synthèse!$B$6:$N$314,5,FALSE)</f>
        <v>98355.440150835449</v>
      </c>
      <c r="E101" s="399">
        <f t="shared" si="3"/>
        <v>13128.039708666765</v>
      </c>
      <c r="F101" s="397">
        <v>-71343.496265894297</v>
      </c>
      <c r="G101" s="396">
        <f>VLOOKUP(B101,Synthèse!$B$6:$O$314,14,FALSE)</f>
        <v>550.93282987599378</v>
      </c>
      <c r="H101" s="399">
        <f t="shared" si="4"/>
        <v>71894.429095770291</v>
      </c>
      <c r="I101" s="402">
        <v>13706.878207583712</v>
      </c>
      <c r="J101" s="396">
        <f>VLOOKUP(B101,Synthèse!$B$6:$O$314,12,FALSE)</f>
        <v>19789.997872796717</v>
      </c>
      <c r="K101" s="399">
        <f t="shared" si="5"/>
        <v>6083.1196652130056</v>
      </c>
    </row>
    <row r="102" spans="1:11" ht="15" x14ac:dyDescent="0.25">
      <c r="A102" s="395">
        <v>5559</v>
      </c>
      <c r="B102" s="480" t="s">
        <v>40</v>
      </c>
      <c r="C102" s="402">
        <v>283307.13062917918</v>
      </c>
      <c r="D102" s="307">
        <f>VLOOKUP(B102,Synthèse!$B$6:$N$314,5,FALSE)</f>
        <v>364295.37595705438</v>
      </c>
      <c r="E102" s="399">
        <f t="shared" si="3"/>
        <v>80988.245327875193</v>
      </c>
      <c r="F102" s="397">
        <v>190254.93553942069</v>
      </c>
      <c r="G102" s="396">
        <f>VLOOKUP(B102,Synthèse!$B$6:$O$314,14,FALSE)</f>
        <v>364578.59115765372</v>
      </c>
      <c r="H102" s="399">
        <f t="shared" si="4"/>
        <v>174323.65561823302</v>
      </c>
      <c r="I102" s="402">
        <v>49392.099959648476</v>
      </c>
      <c r="J102" s="396">
        <f>VLOOKUP(B102,Synthèse!$B$6:$O$314,12,FALSE)</f>
        <v>61002.346206691494</v>
      </c>
      <c r="K102" s="399">
        <f t="shared" si="5"/>
        <v>11610.246247043018</v>
      </c>
    </row>
    <row r="103" spans="1:11" ht="15" x14ac:dyDescent="0.25">
      <c r="A103" s="395">
        <v>5560</v>
      </c>
      <c r="B103" s="480" t="s">
        <v>41</v>
      </c>
      <c r="C103" s="402">
        <v>112494.67972159453</v>
      </c>
      <c r="D103" s="307">
        <f>VLOOKUP(B103,Synthèse!$B$6:$N$314,5,FALSE)</f>
        <v>122977.11239867072</v>
      </c>
      <c r="E103" s="399">
        <f t="shared" si="3"/>
        <v>10482.432677076198</v>
      </c>
      <c r="F103" s="397">
        <v>3041.7875188457001</v>
      </c>
      <c r="G103" s="396">
        <f>VLOOKUP(B103,Synthèse!$B$6:$O$314,14,FALSE)</f>
        <v>54116.403626986619</v>
      </c>
      <c r="H103" s="399">
        <f t="shared" si="4"/>
        <v>51074.616108140923</v>
      </c>
      <c r="I103" s="402">
        <v>19466.409765597815</v>
      </c>
      <c r="J103" s="396">
        <f>VLOOKUP(B103,Synthèse!$B$6:$O$314,12,FALSE)</f>
        <v>22398.971349923399</v>
      </c>
      <c r="K103" s="399">
        <f t="shared" si="5"/>
        <v>2932.5615843255837</v>
      </c>
    </row>
    <row r="104" spans="1:11" ht="15" x14ac:dyDescent="0.25">
      <c r="A104" s="395">
        <v>5561</v>
      </c>
      <c r="B104" s="480" t="s">
        <v>42</v>
      </c>
      <c r="C104" s="402">
        <v>2103080.8634242695</v>
      </c>
      <c r="D104" s="307">
        <f>VLOOKUP(B104,Synthèse!$B$6:$N$314,5,FALSE)</f>
        <v>2986318.0711518014</v>
      </c>
      <c r="E104" s="399">
        <f t="shared" si="3"/>
        <v>883237.2077275319</v>
      </c>
      <c r="F104" s="397">
        <v>-150203.45217281091</v>
      </c>
      <c r="G104" s="396">
        <f>VLOOKUP(B104,Synthèse!$B$6:$O$314,14,FALSE)</f>
        <v>-618088.80635805591</v>
      </c>
      <c r="H104" s="399">
        <f t="shared" si="4"/>
        <v>-467885.354185245</v>
      </c>
      <c r="I104" s="402">
        <v>364464.47658842837</v>
      </c>
      <c r="J104" s="396">
        <f>VLOOKUP(B104,Synthèse!$B$6:$O$314,12,FALSE)</f>
        <v>344441.10953661415</v>
      </c>
      <c r="K104" s="399">
        <f t="shared" si="5"/>
        <v>-20023.367051814217</v>
      </c>
    </row>
    <row r="105" spans="1:11" ht="15" x14ac:dyDescent="0.25">
      <c r="A105" s="395">
        <v>5562</v>
      </c>
      <c r="B105" s="480" t="s">
        <v>43</v>
      </c>
      <c r="C105" s="402">
        <v>106976.42053576342</v>
      </c>
      <c r="D105" s="307">
        <f>VLOOKUP(B105,Synthèse!$B$6:$N$314,5,FALSE)</f>
        <v>122221.8768923741</v>
      </c>
      <c r="E105" s="399">
        <f t="shared" si="3"/>
        <v>15245.456356610681</v>
      </c>
      <c r="F105" s="397">
        <v>93267.368341497582</v>
      </c>
      <c r="G105" s="396">
        <f>VLOOKUP(B105,Synthèse!$B$6:$O$314,14,FALSE)</f>
        <v>90597.212824176197</v>
      </c>
      <c r="H105" s="399">
        <f t="shared" si="4"/>
        <v>-2670.1555173213856</v>
      </c>
      <c r="I105" s="402">
        <v>17654.995959110751</v>
      </c>
      <c r="J105" s="396">
        <f>VLOOKUP(B105,Synthèse!$B$6:$O$314,12,FALSE)</f>
        <v>16602.056692499573</v>
      </c>
      <c r="K105" s="399">
        <f t="shared" si="5"/>
        <v>-1052.939266611178</v>
      </c>
    </row>
    <row r="106" spans="1:11" ht="15" x14ac:dyDescent="0.25">
      <c r="A106" s="395">
        <v>5563</v>
      </c>
      <c r="B106" s="480" t="s">
        <v>285</v>
      </c>
      <c r="C106" s="402">
        <v>55173.973017142453</v>
      </c>
      <c r="D106" s="307">
        <f>VLOOKUP(B106,Synthèse!$B$6:$N$314,5,FALSE)</f>
        <v>61475.003017297793</v>
      </c>
      <c r="E106" s="399">
        <f t="shared" si="3"/>
        <v>6301.0300001553405</v>
      </c>
      <c r="F106" s="397">
        <v>-97985.781860606861</v>
      </c>
      <c r="G106" s="396">
        <f>VLOOKUP(B106,Synthèse!$B$6:$O$314,14,FALSE)</f>
        <v>-48856.622959951783</v>
      </c>
      <c r="H106" s="399">
        <f t="shared" si="4"/>
        <v>49129.158900655078</v>
      </c>
      <c r="I106" s="402">
        <v>9713.2879251552404</v>
      </c>
      <c r="J106" s="396">
        <f>VLOOKUP(B106,Synthèse!$B$6:$O$314,12,FALSE)</f>
        <v>12284.044239513358</v>
      </c>
      <c r="K106" s="399">
        <f t="shared" si="5"/>
        <v>2570.7563143581174</v>
      </c>
    </row>
    <row r="107" spans="1:11" ht="15" x14ac:dyDescent="0.25">
      <c r="A107" s="395">
        <v>5564</v>
      </c>
      <c r="B107" s="480" t="s">
        <v>286</v>
      </c>
      <c r="C107" s="402">
        <v>49851.002954813252</v>
      </c>
      <c r="D107" s="307">
        <f>VLOOKUP(B107,Synthèse!$B$6:$N$314,5,FALSE)</f>
        <v>33260.098682379146</v>
      </c>
      <c r="E107" s="399">
        <f t="shared" si="3"/>
        <v>-16590.904272434105</v>
      </c>
      <c r="F107" s="397">
        <v>-15885.18419944702</v>
      </c>
      <c r="G107" s="396">
        <f>VLOOKUP(B107,Synthèse!$B$6:$O$314,14,FALSE)</f>
        <v>-33496.151222565037</v>
      </c>
      <c r="H107" s="399">
        <f t="shared" si="4"/>
        <v>-17610.967023118017</v>
      </c>
      <c r="I107" s="402">
        <v>8320.5482446282695</v>
      </c>
      <c r="J107" s="396">
        <f>VLOOKUP(B107,Synthèse!$B$6:$O$314,12,FALSE)</f>
        <v>6866.3826648061977</v>
      </c>
      <c r="K107" s="399">
        <f t="shared" si="5"/>
        <v>-1454.1655798220718</v>
      </c>
    </row>
    <row r="108" spans="1:11" ht="15" x14ac:dyDescent="0.25">
      <c r="A108" s="395">
        <v>5565</v>
      </c>
      <c r="B108" s="480" t="s">
        <v>287</v>
      </c>
      <c r="C108" s="402">
        <v>340911.5490026105</v>
      </c>
      <c r="D108" s="307">
        <f>VLOOKUP(B108,Synthèse!$B$6:$N$314,5,FALSE)</f>
        <v>361511.26226493128</v>
      </c>
      <c r="E108" s="399">
        <f t="shared" si="3"/>
        <v>20599.713262320787</v>
      </c>
      <c r="F108" s="397">
        <v>210088.22865157848</v>
      </c>
      <c r="G108" s="396">
        <f>VLOOKUP(B108,Synthèse!$B$6:$O$314,14,FALSE)</f>
        <v>161133.8966132818</v>
      </c>
      <c r="H108" s="399">
        <f t="shared" si="4"/>
        <v>-48954.332038296678</v>
      </c>
      <c r="I108" s="402">
        <v>57233.474872057923</v>
      </c>
      <c r="J108" s="396">
        <f>VLOOKUP(B108,Synthèse!$B$6:$O$314,12,FALSE)</f>
        <v>54351.41985491736</v>
      </c>
      <c r="K108" s="399">
        <f t="shared" si="5"/>
        <v>-2882.055017140563</v>
      </c>
    </row>
    <row r="109" spans="1:11" ht="15" x14ac:dyDescent="0.25">
      <c r="A109" s="395">
        <v>5566</v>
      </c>
      <c r="B109" s="480" t="s">
        <v>288</v>
      </c>
      <c r="C109" s="402">
        <v>145035.70133865566</v>
      </c>
      <c r="D109" s="307">
        <f>VLOOKUP(B109,Synthèse!$B$6:$N$314,5,FALSE)</f>
        <v>168501.83347285248</v>
      </c>
      <c r="E109" s="399">
        <f t="shared" si="3"/>
        <v>23466.132134196814</v>
      </c>
      <c r="F109" s="397">
        <v>-349946.66664002102</v>
      </c>
      <c r="G109" s="396">
        <f>VLOOKUP(B109,Synthèse!$B$6:$O$314,14,FALSE)</f>
        <v>-339894.0396913148</v>
      </c>
      <c r="H109" s="399">
        <f t="shared" si="4"/>
        <v>10052.626948706224</v>
      </c>
      <c r="I109" s="402">
        <v>24874.834058494718</v>
      </c>
      <c r="J109" s="396">
        <f>VLOOKUP(B109,Synthèse!$B$6:$O$314,12,FALSE)</f>
        <v>25698.772305757488</v>
      </c>
      <c r="K109" s="399">
        <f t="shared" si="5"/>
        <v>823.93824726276944</v>
      </c>
    </row>
    <row r="110" spans="1:11" ht="15" x14ac:dyDescent="0.25">
      <c r="A110" s="395">
        <v>5568</v>
      </c>
      <c r="B110" s="480" t="s">
        <v>119</v>
      </c>
      <c r="C110" s="402">
        <v>2503416.7402406977</v>
      </c>
      <c r="D110" s="307">
        <f>VLOOKUP(B110,Synthèse!$B$6:$N$314,5,FALSE)</f>
        <v>2665555.4979151306</v>
      </c>
      <c r="E110" s="399">
        <f t="shared" si="3"/>
        <v>162138.75767443283</v>
      </c>
      <c r="F110" s="397">
        <v>-3396556.9017705638</v>
      </c>
      <c r="G110" s="396">
        <f>VLOOKUP(B110,Synthèse!$B$6:$O$314,14,FALSE)</f>
        <v>-3291013.5149045084</v>
      </c>
      <c r="H110" s="399">
        <f t="shared" si="4"/>
        <v>105543.38686605543</v>
      </c>
      <c r="I110" s="402">
        <v>311734.64471454226</v>
      </c>
      <c r="J110" s="396">
        <f>VLOOKUP(B110,Synthèse!$B$6:$O$314,12,FALSE)</f>
        <v>330296.47973827535</v>
      </c>
      <c r="K110" s="399">
        <f t="shared" si="5"/>
        <v>18561.835023733089</v>
      </c>
    </row>
    <row r="111" spans="1:11" ht="15" x14ac:dyDescent="0.25">
      <c r="A111" s="395">
        <v>5571</v>
      </c>
      <c r="B111" s="480" t="s">
        <v>429</v>
      </c>
      <c r="C111" s="402">
        <v>396640.46051905182</v>
      </c>
      <c r="D111" s="307">
        <f>VLOOKUP(B111,Synthèse!$B$6:$N$314,5,FALSE)</f>
        <v>434211.14091728063</v>
      </c>
      <c r="E111" s="399">
        <f t="shared" si="3"/>
        <v>37570.680398228811</v>
      </c>
      <c r="F111" s="397">
        <v>-221417.06628797832</v>
      </c>
      <c r="G111" s="396">
        <f>VLOOKUP(B111,Synthèse!$B$6:$O$314,14,FALSE)</f>
        <v>-105462.47633935731</v>
      </c>
      <c r="H111" s="399">
        <f t="shared" si="4"/>
        <v>115954.58994862101</v>
      </c>
      <c r="I111" s="402">
        <v>66144.971460313842</v>
      </c>
      <c r="J111" s="396">
        <f>VLOOKUP(B111,Synthèse!$B$6:$O$314,12,FALSE)</f>
        <v>74502.741431842427</v>
      </c>
      <c r="K111" s="399">
        <f t="shared" si="5"/>
        <v>8357.7699715285853</v>
      </c>
    </row>
    <row r="112" spans="1:11" ht="15" x14ac:dyDescent="0.25">
      <c r="A112" s="395">
        <v>5581</v>
      </c>
      <c r="B112" s="480" t="s">
        <v>389</v>
      </c>
      <c r="C112" s="402">
        <v>3902472.7494666805</v>
      </c>
      <c r="D112" s="307">
        <f>VLOOKUP(B112,Synthèse!$B$6:$N$314,5,FALSE)</f>
        <v>3272414.9370178939</v>
      </c>
      <c r="E112" s="399">
        <f t="shared" si="3"/>
        <v>-630057.81244878657</v>
      </c>
      <c r="F112" s="397">
        <v>2287008.830471816</v>
      </c>
      <c r="G112" s="396">
        <f>VLOOKUP(B112,Synthèse!$B$6:$O$314,14,FALSE)</f>
        <v>1515499.5360676437</v>
      </c>
      <c r="H112" s="399">
        <f t="shared" si="4"/>
        <v>-771509.29440417234</v>
      </c>
      <c r="I112" s="402">
        <v>249222.86252391036</v>
      </c>
      <c r="J112" s="396">
        <f>VLOOKUP(B112,Synthèse!$B$6:$O$314,12,FALSE)</f>
        <v>223869.78326273023</v>
      </c>
      <c r="K112" s="399">
        <f t="shared" si="5"/>
        <v>-25353.07926118013</v>
      </c>
    </row>
    <row r="113" spans="1:11" ht="15" x14ac:dyDescent="0.25">
      <c r="A113" s="395">
        <v>5582</v>
      </c>
      <c r="B113" s="480" t="s">
        <v>390</v>
      </c>
      <c r="C113" s="402">
        <v>3044018.9414713746</v>
      </c>
      <c r="D113" s="307">
        <f>VLOOKUP(B113,Synthèse!$B$6:$N$314,5,FALSE)</f>
        <v>3062948.4990868662</v>
      </c>
      <c r="E113" s="399">
        <f t="shared" si="3"/>
        <v>18929.557615491562</v>
      </c>
      <c r="F113" s="397">
        <v>1264898.5274564167</v>
      </c>
      <c r="G113" s="396">
        <f>VLOOKUP(B113,Synthèse!$B$6:$O$314,14,FALSE)</f>
        <v>667500.11729451292</v>
      </c>
      <c r="H113" s="399">
        <f t="shared" si="4"/>
        <v>-597398.41016190383</v>
      </c>
      <c r="I113" s="402">
        <v>567127.76581995015</v>
      </c>
      <c r="J113" s="396">
        <f>VLOOKUP(B113,Synthèse!$B$6:$O$314,12,FALSE)</f>
        <v>508573.44004053733</v>
      </c>
      <c r="K113" s="399">
        <f t="shared" si="5"/>
        <v>-58554.325779412815</v>
      </c>
    </row>
    <row r="114" spans="1:11" ht="15" x14ac:dyDescent="0.25">
      <c r="A114" s="395">
        <v>5583</v>
      </c>
      <c r="B114" s="480" t="s">
        <v>391</v>
      </c>
      <c r="C114" s="402">
        <v>5641368.3245898196</v>
      </c>
      <c r="D114" s="307">
        <f>VLOOKUP(B114,Synthèse!$B$6:$N$314,5,FALSE)</f>
        <v>6044271.6497843657</v>
      </c>
      <c r="E114" s="399">
        <f t="shared" si="3"/>
        <v>402903.32519454602</v>
      </c>
      <c r="F114" s="397">
        <v>-1212650.8277635705</v>
      </c>
      <c r="G114" s="396">
        <f>VLOOKUP(B114,Synthèse!$B$6:$O$314,14,FALSE)</f>
        <v>-753118.28647141997</v>
      </c>
      <c r="H114" s="399">
        <f t="shared" si="4"/>
        <v>459532.5412921505</v>
      </c>
      <c r="I114" s="402">
        <v>382227.05127678294</v>
      </c>
      <c r="J114" s="396">
        <f>VLOOKUP(B114,Synthèse!$B$6:$O$314,12,FALSE)</f>
        <v>373583.71138625452</v>
      </c>
      <c r="K114" s="399">
        <f t="shared" si="5"/>
        <v>-8643.3398905284121</v>
      </c>
    </row>
    <row r="115" spans="1:11" ht="15" x14ac:dyDescent="0.25">
      <c r="A115" s="395">
        <v>5584</v>
      </c>
      <c r="B115" s="480" t="s">
        <v>392</v>
      </c>
      <c r="C115" s="402">
        <v>7995209.7435515486</v>
      </c>
      <c r="D115" s="307">
        <f>VLOOKUP(B115,Synthèse!$B$6:$N$314,5,FALSE)</f>
        <v>8434738.2742269207</v>
      </c>
      <c r="E115" s="399">
        <f t="shared" si="3"/>
        <v>439528.53067537211</v>
      </c>
      <c r="F115" s="397">
        <v>125451.52459034976</v>
      </c>
      <c r="G115" s="396">
        <f>VLOOKUP(B115,Synthèse!$B$6:$O$314,14,FALSE)</f>
        <v>1036011.2123573385</v>
      </c>
      <c r="H115" s="399">
        <f t="shared" si="4"/>
        <v>910559.68776698876</v>
      </c>
      <c r="I115" s="402">
        <v>1297416.3595525192</v>
      </c>
      <c r="J115" s="396">
        <f>VLOOKUP(B115,Synthèse!$B$6:$O$314,12,FALSE)</f>
        <v>1414134.7992631786</v>
      </c>
      <c r="K115" s="399">
        <f t="shared" si="5"/>
        <v>116718.43971065944</v>
      </c>
    </row>
    <row r="116" spans="1:11" ht="15" x14ac:dyDescent="0.25">
      <c r="A116" s="395">
        <v>5585</v>
      </c>
      <c r="B116" s="480" t="s">
        <v>393</v>
      </c>
      <c r="C116" s="402">
        <v>5075664.6390066352</v>
      </c>
      <c r="D116" s="307">
        <f>VLOOKUP(B116,Synthèse!$B$6:$N$314,5,FALSE)</f>
        <v>7887589.3596754055</v>
      </c>
      <c r="E116" s="399">
        <f t="shared" si="3"/>
        <v>2811924.7206687704</v>
      </c>
      <c r="F116" s="397">
        <v>2645735.2732575159</v>
      </c>
      <c r="G116" s="396">
        <f>VLOOKUP(B116,Synthèse!$B$6:$O$314,14,FALSE)</f>
        <v>2448688.7750703595</v>
      </c>
      <c r="H116" s="399">
        <f t="shared" si="4"/>
        <v>-197046.49818715639</v>
      </c>
      <c r="I116" s="402">
        <v>346049.90161442105</v>
      </c>
      <c r="J116" s="396">
        <f>VLOOKUP(B116,Synthèse!$B$6:$O$314,12,FALSE)</f>
        <v>398196.72469143459</v>
      </c>
      <c r="K116" s="399">
        <f t="shared" si="5"/>
        <v>52146.823077013541</v>
      </c>
    </row>
    <row r="117" spans="1:11" ht="15" x14ac:dyDescent="0.25">
      <c r="A117" s="395">
        <v>5586</v>
      </c>
      <c r="B117" s="480" t="s">
        <v>120</v>
      </c>
      <c r="C117" s="402">
        <v>112839110.44550021</v>
      </c>
      <c r="D117" s="307">
        <f>VLOOKUP(B117,Synthèse!$B$6:$N$314,5,FALSE)</f>
        <v>108920136.56291933</v>
      </c>
      <c r="E117" s="399">
        <f t="shared" si="3"/>
        <v>-3918973.8825808764</v>
      </c>
      <c r="F117" s="397">
        <v>-80276940.637279212</v>
      </c>
      <c r="G117" s="396">
        <f>VLOOKUP(B117,Synthèse!$B$6:$O$314,14,FALSE)</f>
        <v>-91945237.968701601</v>
      </c>
      <c r="H117" s="399">
        <f t="shared" si="4"/>
        <v>-11668297.331422389</v>
      </c>
      <c r="I117" s="402">
        <v>7619757.9051797679</v>
      </c>
      <c r="J117" s="396">
        <f>VLOOKUP(B117,Synthèse!$B$6:$O$314,12,FALSE)</f>
        <v>7198985.8730596965</v>
      </c>
      <c r="K117" s="399">
        <f t="shared" si="5"/>
        <v>-420772.03212007135</v>
      </c>
    </row>
    <row r="118" spans="1:11" ht="15" x14ac:dyDescent="0.25">
      <c r="A118" s="395">
        <v>5587</v>
      </c>
      <c r="B118" s="480" t="s">
        <v>121</v>
      </c>
      <c r="C118" s="402">
        <v>8378194.3951671692</v>
      </c>
      <c r="D118" s="307">
        <f>VLOOKUP(B118,Synthèse!$B$6:$N$314,5,FALSE)</f>
        <v>7555978.8820711616</v>
      </c>
      <c r="E118" s="399">
        <f t="shared" si="3"/>
        <v>-822215.51309600752</v>
      </c>
      <c r="F118" s="397">
        <v>2339512.9324749368</v>
      </c>
      <c r="G118" s="396">
        <f>VLOOKUP(B118,Synthèse!$B$6:$O$314,14,FALSE)</f>
        <v>1938568.154538821</v>
      </c>
      <c r="H118" s="399">
        <f t="shared" si="4"/>
        <v>-400944.77793611586</v>
      </c>
      <c r="I118" s="402">
        <v>1219515.0329457072</v>
      </c>
      <c r="J118" s="396">
        <f>VLOOKUP(B118,Synthèse!$B$6:$O$314,12,FALSE)</f>
        <v>1307186.4303522343</v>
      </c>
      <c r="K118" s="399">
        <f t="shared" si="5"/>
        <v>87671.397406527074</v>
      </c>
    </row>
    <row r="119" spans="1:11" ht="15" x14ac:dyDescent="0.25">
      <c r="A119" s="395">
        <v>5588</v>
      </c>
      <c r="B119" s="480" t="s">
        <v>122</v>
      </c>
      <c r="C119" s="402">
        <v>4104374.0013926057</v>
      </c>
      <c r="D119" s="307">
        <f>VLOOKUP(B119,Synthèse!$B$6:$N$314,5,FALSE)</f>
        <v>3415240.8549245796</v>
      </c>
      <c r="E119" s="399">
        <f t="shared" si="3"/>
        <v>-689133.1464680261</v>
      </c>
      <c r="F119" s="397">
        <v>2520086.2707328312</v>
      </c>
      <c r="G119" s="396">
        <f>VLOOKUP(B119,Synthèse!$B$6:$O$314,14,FALSE)</f>
        <v>2379896.9766078112</v>
      </c>
      <c r="H119" s="399">
        <f t="shared" si="4"/>
        <v>-140189.29412502004</v>
      </c>
      <c r="I119" s="402">
        <v>191032.45513531368</v>
      </c>
      <c r="J119" s="396">
        <f>VLOOKUP(B119,Synthèse!$B$6:$O$314,12,FALSE)</f>
        <v>160459.36640536945</v>
      </c>
      <c r="K119" s="399">
        <f t="shared" si="5"/>
        <v>-30573.088729944226</v>
      </c>
    </row>
    <row r="120" spans="1:11" ht="15" x14ac:dyDescent="0.25">
      <c r="A120" s="395">
        <v>5589</v>
      </c>
      <c r="B120" s="480" t="s">
        <v>123</v>
      </c>
      <c r="C120" s="402">
        <v>7411998.2274422934</v>
      </c>
      <c r="D120" s="307">
        <f>VLOOKUP(B120,Synthèse!$B$6:$N$314,5,FALSE)</f>
        <v>7233589.5168114295</v>
      </c>
      <c r="E120" s="399">
        <f t="shared" si="3"/>
        <v>-178408.7106308639</v>
      </c>
      <c r="F120" s="397">
        <v>-4259141.7686549816</v>
      </c>
      <c r="G120" s="396">
        <f>VLOOKUP(B120,Synthèse!$B$6:$O$314,14,FALSE)</f>
        <v>-5275006.2771495543</v>
      </c>
      <c r="H120" s="399">
        <f t="shared" si="4"/>
        <v>-1015864.5084945727</v>
      </c>
      <c r="I120" s="402">
        <v>515520.05864590342</v>
      </c>
      <c r="J120" s="396">
        <f>VLOOKUP(B120,Synthèse!$B$6:$O$314,12,FALSE)</f>
        <v>498486.04225729604</v>
      </c>
      <c r="K120" s="399">
        <f t="shared" si="5"/>
        <v>-17034.016388607386</v>
      </c>
    </row>
    <row r="121" spans="1:11" ht="15" x14ac:dyDescent="0.25">
      <c r="A121" s="395">
        <v>5590</v>
      </c>
      <c r="B121" s="480" t="s">
        <v>124</v>
      </c>
      <c r="C121" s="402">
        <v>39326294.179557689</v>
      </c>
      <c r="D121" s="307">
        <f>VLOOKUP(B121,Synthèse!$B$6:$N$314,5,FALSE)</f>
        <v>39946403.184118681</v>
      </c>
      <c r="E121" s="399">
        <f t="shared" si="3"/>
        <v>620109.00456099212</v>
      </c>
      <c r="F121" s="397">
        <v>14038921.627689455</v>
      </c>
      <c r="G121" s="396">
        <f>VLOOKUP(B121,Synthèse!$B$6:$O$314,14,FALSE)</f>
        <v>15075700.48994226</v>
      </c>
      <c r="H121" s="399">
        <f t="shared" si="4"/>
        <v>1036778.8622528054</v>
      </c>
      <c r="I121" s="402">
        <v>1863609.6024665271</v>
      </c>
      <c r="J121" s="396">
        <f>VLOOKUP(B121,Synthèse!$B$6:$O$314,12,FALSE)</f>
        <v>1827794.7972250883</v>
      </c>
      <c r="K121" s="399">
        <f t="shared" si="5"/>
        <v>-35814.805241438793</v>
      </c>
    </row>
    <row r="122" spans="1:11" ht="15" x14ac:dyDescent="0.25">
      <c r="A122" s="395">
        <v>5591</v>
      </c>
      <c r="B122" s="480" t="s">
        <v>396</v>
      </c>
      <c r="C122" s="402">
        <v>10055638.501475381</v>
      </c>
      <c r="D122" s="307">
        <f>VLOOKUP(B122,Synthèse!$B$6:$N$314,5,FALSE)</f>
        <v>10244932.356363542</v>
      </c>
      <c r="E122" s="399">
        <f t="shared" si="3"/>
        <v>189293.85488816164</v>
      </c>
      <c r="F122" s="397">
        <v>-19999508.131975833</v>
      </c>
      <c r="G122" s="396">
        <f>VLOOKUP(B122,Synthèse!$B$6:$O$314,14,FALSE)</f>
        <v>-20959544.942193851</v>
      </c>
      <c r="H122" s="399">
        <f t="shared" si="4"/>
        <v>-960036.81021801755</v>
      </c>
      <c r="I122" s="402">
        <v>682853.75676019897</v>
      </c>
      <c r="J122" s="396">
        <f>VLOOKUP(B122,Synthèse!$B$6:$O$314,12,FALSE)</f>
        <v>671375.96613383945</v>
      </c>
      <c r="K122" s="399">
        <f t="shared" si="5"/>
        <v>-11477.790626359521</v>
      </c>
    </row>
    <row r="123" spans="1:11" ht="15" x14ac:dyDescent="0.25">
      <c r="A123" s="395">
        <v>5592</v>
      </c>
      <c r="B123" s="480" t="s">
        <v>216</v>
      </c>
      <c r="C123" s="402">
        <v>1982524.4040212485</v>
      </c>
      <c r="D123" s="307">
        <f>VLOOKUP(B123,Synthèse!$B$6:$N$314,5,FALSE)</f>
        <v>2028734.5267953984</v>
      </c>
      <c r="E123" s="399">
        <f t="shared" si="3"/>
        <v>46210.12277414999</v>
      </c>
      <c r="F123" s="397">
        <v>252852.84087487834</v>
      </c>
      <c r="G123" s="396">
        <f>VLOOKUP(B123,Synthèse!$B$6:$O$314,14,FALSE)</f>
        <v>169460.20170554414</v>
      </c>
      <c r="H123" s="399">
        <f t="shared" si="4"/>
        <v>-83392.639169334201</v>
      </c>
      <c r="I123" s="402">
        <v>344801.43361360719</v>
      </c>
      <c r="J123" s="396">
        <f>VLOOKUP(B123,Synthèse!$B$6:$O$314,12,FALSE)</f>
        <v>336294.57132087566</v>
      </c>
      <c r="K123" s="399">
        <f t="shared" si="5"/>
        <v>-8506.86229273153</v>
      </c>
    </row>
    <row r="124" spans="1:11" ht="15" x14ac:dyDescent="0.25">
      <c r="A124" s="395">
        <v>5601</v>
      </c>
      <c r="B124" s="480" t="s">
        <v>298</v>
      </c>
      <c r="C124" s="402">
        <v>2632012.6103847204</v>
      </c>
      <c r="D124" s="307">
        <f>VLOOKUP(B124,Synthèse!$B$6:$N$314,5,FALSE)</f>
        <v>1945355.1326032868</v>
      </c>
      <c r="E124" s="399">
        <f t="shared" si="3"/>
        <v>-686657.47778143361</v>
      </c>
      <c r="F124" s="397">
        <v>1647672.8297923151</v>
      </c>
      <c r="G124" s="396">
        <f>VLOOKUP(B124,Synthèse!$B$6:$O$314,14,FALSE)</f>
        <v>1172475.757160288</v>
      </c>
      <c r="H124" s="399">
        <f t="shared" si="4"/>
        <v>-475197.07263202709</v>
      </c>
      <c r="I124" s="402">
        <v>151612.2236795261</v>
      </c>
      <c r="J124" s="396">
        <f>VLOOKUP(B124,Synthèse!$B$6:$O$314,12,FALSE)</f>
        <v>123360.75522012207</v>
      </c>
      <c r="K124" s="399">
        <f t="shared" si="5"/>
        <v>-28251.46845940403</v>
      </c>
    </row>
    <row r="125" spans="1:11" ht="15" x14ac:dyDescent="0.25">
      <c r="A125" s="395">
        <v>5604</v>
      </c>
      <c r="B125" s="480" t="s">
        <v>143</v>
      </c>
      <c r="C125" s="402">
        <v>1264989.8846164136</v>
      </c>
      <c r="D125" s="307">
        <f>VLOOKUP(B125,Synthèse!$B$6:$N$314,5,FALSE)</f>
        <v>1284917.0365128051</v>
      </c>
      <c r="E125" s="399">
        <f t="shared" si="3"/>
        <v>19927.15189639153</v>
      </c>
      <c r="F125" s="397">
        <v>139477.75791648333</v>
      </c>
      <c r="G125" s="396">
        <f>VLOOKUP(B125,Synthèse!$B$6:$O$314,14,FALSE)</f>
        <v>178986.74892152328</v>
      </c>
      <c r="H125" s="399">
        <f t="shared" si="4"/>
        <v>39508.991005039949</v>
      </c>
      <c r="I125" s="402">
        <v>216918.13183295933</v>
      </c>
      <c r="J125" s="396">
        <f>VLOOKUP(B125,Synthèse!$B$6:$O$314,12,FALSE)</f>
        <v>223820.98365764727</v>
      </c>
      <c r="K125" s="399">
        <f t="shared" si="5"/>
        <v>6902.8518246879394</v>
      </c>
    </row>
    <row r="126" spans="1:11" ht="15" x14ac:dyDescent="0.25">
      <c r="A126" s="395">
        <v>5606</v>
      </c>
      <c r="B126" s="480" t="s">
        <v>144</v>
      </c>
      <c r="C126" s="402">
        <v>22484973.571327414</v>
      </c>
      <c r="D126" s="307">
        <f>VLOOKUP(B126,Synthèse!$B$6:$N$314,5,FALSE)</f>
        <v>20721620.896863993</v>
      </c>
      <c r="E126" s="399">
        <f t="shared" si="3"/>
        <v>-1763352.6744634211</v>
      </c>
      <c r="F126" s="397">
        <v>9824482.7096925415</v>
      </c>
      <c r="G126" s="396">
        <f>VLOOKUP(B126,Synthèse!$B$6:$O$314,14,FALSE)</f>
        <v>8175813.1262262622</v>
      </c>
      <c r="H126" s="399">
        <f t="shared" si="4"/>
        <v>-1648669.5834662793</v>
      </c>
      <c r="I126" s="402">
        <v>1063209.0999974487</v>
      </c>
      <c r="J126" s="396">
        <f>VLOOKUP(B126,Synthèse!$B$6:$O$314,12,FALSE)</f>
        <v>962124.07883464894</v>
      </c>
      <c r="K126" s="399">
        <f t="shared" si="5"/>
        <v>-101085.02116279979</v>
      </c>
    </row>
    <row r="127" spans="1:11" ht="15" x14ac:dyDescent="0.25">
      <c r="A127" s="395">
        <v>5607</v>
      </c>
      <c r="B127" s="480" t="s">
        <v>300</v>
      </c>
      <c r="C127" s="402">
        <v>2032892.0301772947</v>
      </c>
      <c r="D127" s="307">
        <f>VLOOKUP(B127,Synthèse!$B$6:$N$314,5,FALSE)</f>
        <v>1665842.003055369</v>
      </c>
      <c r="E127" s="399">
        <f t="shared" si="3"/>
        <v>-367050.02712192573</v>
      </c>
      <c r="F127" s="397">
        <v>-78332.123790955869</v>
      </c>
      <c r="G127" s="396">
        <f>VLOOKUP(B127,Synthèse!$B$6:$O$314,14,FALSE)</f>
        <v>-256632.48276792676</v>
      </c>
      <c r="H127" s="399">
        <f t="shared" si="4"/>
        <v>-178300.35897697089</v>
      </c>
      <c r="I127" s="402">
        <v>135955.80443168478</v>
      </c>
      <c r="J127" s="396">
        <f>VLOOKUP(B127,Synthèse!$B$6:$O$314,12,FALSE)</f>
        <v>120317.18762595236</v>
      </c>
      <c r="K127" s="399">
        <f t="shared" si="5"/>
        <v>-15638.616805732425</v>
      </c>
    </row>
    <row r="128" spans="1:11" ht="15" x14ac:dyDescent="0.25">
      <c r="A128" s="395">
        <v>5609</v>
      </c>
      <c r="B128" s="480" t="s">
        <v>128</v>
      </c>
      <c r="C128" s="402">
        <v>282231.83431867143</v>
      </c>
      <c r="D128" s="307">
        <f>VLOOKUP(B128,Synthèse!$B$6:$N$314,5,FALSE)</f>
        <v>219028.34569907488</v>
      </c>
      <c r="E128" s="399">
        <f t="shared" si="3"/>
        <v>-63203.488619596552</v>
      </c>
      <c r="F128" s="397">
        <v>200752.96571357793</v>
      </c>
      <c r="G128" s="396">
        <f>VLOOKUP(B128,Synthèse!$B$6:$O$314,14,FALSE)</f>
        <v>139119.7052235131</v>
      </c>
      <c r="H128" s="399">
        <f t="shared" si="4"/>
        <v>-61633.260490064829</v>
      </c>
      <c r="I128" s="402">
        <v>20179.30812382013</v>
      </c>
      <c r="J128" s="396">
        <f>VLOOKUP(B128,Synthèse!$B$6:$O$314,12,FALSE)</f>
        <v>16263.845091920113</v>
      </c>
      <c r="K128" s="399">
        <f t="shared" si="5"/>
        <v>-3915.4630319000171</v>
      </c>
    </row>
    <row r="129" spans="1:11" ht="15" x14ac:dyDescent="0.25">
      <c r="A129" s="395">
        <v>5610</v>
      </c>
      <c r="B129" s="480" t="s">
        <v>129</v>
      </c>
      <c r="C129" s="402">
        <v>359506.33993356157</v>
      </c>
      <c r="D129" s="307">
        <f>VLOOKUP(B129,Synthèse!$B$6:$N$314,5,FALSE)</f>
        <v>406706.50426759897</v>
      </c>
      <c r="E129" s="399">
        <f t="shared" si="3"/>
        <v>47200.164334037399</v>
      </c>
      <c r="F129" s="397">
        <v>116322.87554178746</v>
      </c>
      <c r="G129" s="396">
        <f>VLOOKUP(B129,Synthèse!$B$6:$O$314,14,FALSE)</f>
        <v>375120.39106098632</v>
      </c>
      <c r="H129" s="399">
        <f t="shared" si="4"/>
        <v>258797.51551919885</v>
      </c>
      <c r="I129" s="402">
        <v>19913.615507273684</v>
      </c>
      <c r="J129" s="396">
        <f>VLOOKUP(B129,Synthèse!$B$6:$O$314,12,FALSE)</f>
        <v>26561.251459901636</v>
      </c>
      <c r="K129" s="399">
        <f t="shared" si="5"/>
        <v>6647.6359526279521</v>
      </c>
    </row>
    <row r="130" spans="1:11" ht="15" x14ac:dyDescent="0.25">
      <c r="A130" s="395">
        <v>5611</v>
      </c>
      <c r="B130" s="480" t="s">
        <v>297</v>
      </c>
      <c r="C130" s="402">
        <v>2696071.3550427435</v>
      </c>
      <c r="D130" s="307">
        <f>VLOOKUP(B130,Synthèse!$B$6:$N$314,5,FALSE)</f>
        <v>2637448.846702815</v>
      </c>
      <c r="E130" s="399">
        <f t="shared" si="3"/>
        <v>-58622.508339928463</v>
      </c>
      <c r="F130" s="397">
        <v>748891.73817105172</v>
      </c>
      <c r="G130" s="396">
        <f>VLOOKUP(B130,Synthèse!$B$6:$O$314,14,FALSE)</f>
        <v>756847.13484807266</v>
      </c>
      <c r="H130" s="399">
        <f t="shared" si="4"/>
        <v>7955.3966770209372</v>
      </c>
      <c r="I130" s="402">
        <v>171272.02172712516</v>
      </c>
      <c r="J130" s="396">
        <f>VLOOKUP(B130,Synthèse!$B$6:$O$314,12,FALSE)</f>
        <v>160866.69135110447</v>
      </c>
      <c r="K130" s="399">
        <f t="shared" si="5"/>
        <v>-10405.330376020691</v>
      </c>
    </row>
    <row r="131" spans="1:11" ht="15" x14ac:dyDescent="0.25">
      <c r="A131" s="395">
        <v>5613</v>
      </c>
      <c r="B131" s="480" t="s">
        <v>428</v>
      </c>
      <c r="C131" s="402">
        <v>7377262.4163704133</v>
      </c>
      <c r="D131" s="307">
        <f>VLOOKUP(B131,Synthèse!$B$6:$N$314,5,FALSE)</f>
        <v>7124988.4752306249</v>
      </c>
      <c r="E131" s="399">
        <f t="shared" si="3"/>
        <v>-252273.94113978837</v>
      </c>
      <c r="F131" s="397">
        <v>4395302.5369434683</v>
      </c>
      <c r="G131" s="396">
        <f>VLOOKUP(B131,Synthèse!$B$6:$O$314,14,FALSE)</f>
        <v>4622545.0732493224</v>
      </c>
      <c r="H131" s="399">
        <f t="shared" si="4"/>
        <v>227242.5363058541</v>
      </c>
      <c r="I131" s="402">
        <v>428002.02288092137</v>
      </c>
      <c r="J131" s="396">
        <f>VLOOKUP(B131,Synthèse!$B$6:$O$314,12,FALSE)</f>
        <v>397162.3796233224</v>
      </c>
      <c r="K131" s="399">
        <f t="shared" si="5"/>
        <v>-30839.643257598975</v>
      </c>
    </row>
    <row r="132" spans="1:11" ht="15" x14ac:dyDescent="0.25">
      <c r="A132" s="395">
        <v>5621</v>
      </c>
      <c r="B132" s="480" t="s">
        <v>405</v>
      </c>
      <c r="C132" s="402">
        <v>875807.23775441002</v>
      </c>
      <c r="D132" s="307">
        <f>VLOOKUP(B132,Synthèse!$B$6:$N$314,5,FALSE)</f>
        <v>572991.88423543901</v>
      </c>
      <c r="E132" s="399">
        <f t="shared" si="3"/>
        <v>-302815.35351897101</v>
      </c>
      <c r="F132" s="397">
        <v>463035.22009016457</v>
      </c>
      <c r="G132" s="396">
        <f>VLOOKUP(B132,Synthèse!$B$6:$O$314,14,FALSE)</f>
        <v>479594.0690745</v>
      </c>
      <c r="H132" s="399">
        <f t="shared" si="4"/>
        <v>16558.848984335433</v>
      </c>
      <c r="I132" s="402">
        <v>84384.525378651451</v>
      </c>
      <c r="J132" s="396">
        <f>VLOOKUP(B132,Synthèse!$B$6:$O$314,12,FALSE)</f>
        <v>77758.261538398729</v>
      </c>
      <c r="K132" s="399">
        <f t="shared" si="5"/>
        <v>-6626.2638402527227</v>
      </c>
    </row>
    <row r="133" spans="1:11" ht="15" x14ac:dyDescent="0.25">
      <c r="A133" s="395">
        <v>5622</v>
      </c>
      <c r="B133" s="480" t="s">
        <v>147</v>
      </c>
      <c r="C133" s="402">
        <v>583491.52759781701</v>
      </c>
      <c r="D133" s="307">
        <f>VLOOKUP(B133,Synthèse!$B$6:$N$314,5,FALSE)</f>
        <v>529390.18377926096</v>
      </c>
      <c r="E133" s="399">
        <f t="shared" si="3"/>
        <v>-54101.343818556052</v>
      </c>
      <c r="F133" s="397">
        <v>534130.31742605241</v>
      </c>
      <c r="G133" s="396">
        <f>VLOOKUP(B133,Synthèse!$B$6:$O$314,14,FALSE)</f>
        <v>477799.26585449628</v>
      </c>
      <c r="H133" s="399">
        <f t="shared" si="4"/>
        <v>-56331.051571556134</v>
      </c>
      <c r="I133" s="402">
        <v>84959.347556699082</v>
      </c>
      <c r="J133" s="396">
        <f>VLOOKUP(B133,Synthèse!$B$6:$O$314,12,FALSE)</f>
        <v>83213.300851244407</v>
      </c>
      <c r="K133" s="399">
        <f t="shared" si="5"/>
        <v>-1746.0467054546752</v>
      </c>
    </row>
    <row r="134" spans="1:11" ht="15" x14ac:dyDescent="0.25">
      <c r="A134" s="395">
        <v>5623</v>
      </c>
      <c r="B134" s="480" t="s">
        <v>148</v>
      </c>
      <c r="C134" s="402">
        <v>2205886.4742597071</v>
      </c>
      <c r="D134" s="307">
        <f>VLOOKUP(B134,Synthèse!$B$6:$N$314,5,FALSE)</f>
        <v>2783607.0210639983</v>
      </c>
      <c r="E134" s="399">
        <f t="shared" si="3"/>
        <v>577720.5468042912</v>
      </c>
      <c r="F134" s="397">
        <v>1156538.1738534998</v>
      </c>
      <c r="G134" s="396">
        <f>VLOOKUP(B134,Synthèse!$B$6:$O$314,14,FALSE)</f>
        <v>1256488.3600680763</v>
      </c>
      <c r="H134" s="399">
        <f t="shared" si="4"/>
        <v>99950.186214576475</v>
      </c>
      <c r="I134" s="402">
        <v>96963.708641952326</v>
      </c>
      <c r="J134" s="396">
        <f>VLOOKUP(B134,Synthèse!$B$6:$O$314,12,FALSE)</f>
        <v>107037.88992582407</v>
      </c>
      <c r="K134" s="399">
        <f t="shared" si="5"/>
        <v>10074.181283871745</v>
      </c>
    </row>
    <row r="135" spans="1:11" ht="15" x14ac:dyDescent="0.25">
      <c r="A135" s="395">
        <v>5624</v>
      </c>
      <c r="B135" s="480" t="s">
        <v>439</v>
      </c>
      <c r="C135" s="402">
        <v>6268100.7559034899</v>
      </c>
      <c r="D135" s="307">
        <f>VLOOKUP(B135,Synthèse!$B$6:$N$314,5,FALSE)</f>
        <v>7778192.9398488672</v>
      </c>
      <c r="E135" s="399">
        <f t="shared" ref="E135:E198" si="6">D135-C135</f>
        <v>1510092.1839453774</v>
      </c>
      <c r="F135" s="397">
        <v>2644.8425717705395</v>
      </c>
      <c r="G135" s="396">
        <f>VLOOKUP(B135,Synthèse!$B$6:$O$314,14,FALSE)</f>
        <v>2294908.1892304849</v>
      </c>
      <c r="H135" s="399">
        <f t="shared" ref="H135:H198" si="7">G135-F135</f>
        <v>2292263.3466587141</v>
      </c>
      <c r="I135" s="402">
        <v>406632.77201646974</v>
      </c>
      <c r="J135" s="396">
        <f>VLOOKUP(B135,Synthèse!$B$6:$O$314,12,FALSE)</f>
        <v>474447.28456439718</v>
      </c>
      <c r="K135" s="399">
        <f t="shared" ref="K135:K198" si="8">J135-I135</f>
        <v>67814.512547927443</v>
      </c>
    </row>
    <row r="136" spans="1:11" ht="15" x14ac:dyDescent="0.25">
      <c r="A136" s="395">
        <v>5625</v>
      </c>
      <c r="B136" s="480" t="s">
        <v>301</v>
      </c>
      <c r="C136" s="402">
        <v>255807.22005359599</v>
      </c>
      <c r="D136" s="307">
        <f>VLOOKUP(B136,Synthèse!$B$6:$N$314,5,FALSE)</f>
        <v>290489.98598669027</v>
      </c>
      <c r="E136" s="399">
        <f t="shared" si="6"/>
        <v>34682.765933094284</v>
      </c>
      <c r="F136" s="397">
        <v>136292.74039258444</v>
      </c>
      <c r="G136" s="396">
        <f>VLOOKUP(B136,Synthèse!$B$6:$O$314,14,FALSE)</f>
        <v>223263.07198451427</v>
      </c>
      <c r="H136" s="399">
        <f t="shared" si="7"/>
        <v>86970.331591929833</v>
      </c>
      <c r="I136" s="402">
        <v>42520.697997963842</v>
      </c>
      <c r="J136" s="396">
        <f>VLOOKUP(B136,Synthèse!$B$6:$O$314,12,FALSE)</f>
        <v>51050.133393803626</v>
      </c>
      <c r="K136" s="399">
        <f t="shared" si="8"/>
        <v>8529.4353958397842</v>
      </c>
    </row>
    <row r="137" spans="1:11" ht="15" x14ac:dyDescent="0.25">
      <c r="A137" s="395">
        <v>5627</v>
      </c>
      <c r="B137" s="480" t="s">
        <v>255</v>
      </c>
      <c r="C137" s="402">
        <v>4030751.8733850941</v>
      </c>
      <c r="D137" s="307">
        <f>VLOOKUP(B137,Synthèse!$B$6:$N$314,5,FALSE)</f>
        <v>4532938.7334451936</v>
      </c>
      <c r="E137" s="399">
        <f t="shared" si="6"/>
        <v>502186.86006009951</v>
      </c>
      <c r="F137" s="397">
        <v>-5911595.2430502716</v>
      </c>
      <c r="G137" s="396">
        <f>VLOOKUP(B137,Synthèse!$B$6:$O$314,14,FALSE)</f>
        <v>-4593761.803141484</v>
      </c>
      <c r="H137" s="399">
        <f t="shared" si="7"/>
        <v>1317833.4399087876</v>
      </c>
      <c r="I137" s="402">
        <v>217673.81872124513</v>
      </c>
      <c r="J137" s="396">
        <f>VLOOKUP(B137,Synthèse!$B$6:$O$314,12,FALSE)</f>
        <v>252723.61435470087</v>
      </c>
      <c r="K137" s="399">
        <f t="shared" si="8"/>
        <v>35049.795633455738</v>
      </c>
    </row>
    <row r="138" spans="1:11" ht="15" x14ac:dyDescent="0.25">
      <c r="A138" s="395">
        <v>5628</v>
      </c>
      <c r="B138" s="480" t="s">
        <v>256</v>
      </c>
      <c r="C138" s="402">
        <v>424262.20257649315</v>
      </c>
      <c r="D138" s="307">
        <f>VLOOKUP(B138,Synthèse!$B$6:$N$314,5,FALSE)</f>
        <v>467814.25288006134</v>
      </c>
      <c r="E138" s="399">
        <f t="shared" si="6"/>
        <v>43552.05030356819</v>
      </c>
      <c r="F138" s="397">
        <v>348766.28927163989</v>
      </c>
      <c r="G138" s="396">
        <f>VLOOKUP(B138,Synthèse!$B$6:$O$314,14,FALSE)</f>
        <v>399978.84075358987</v>
      </c>
      <c r="H138" s="399">
        <f t="shared" si="7"/>
        <v>51212.55148194998</v>
      </c>
      <c r="I138" s="402">
        <v>53711.534752371546</v>
      </c>
      <c r="J138" s="396">
        <f>VLOOKUP(B138,Synthèse!$B$6:$O$314,12,FALSE)</f>
        <v>60076.020732424004</v>
      </c>
      <c r="K138" s="399">
        <f t="shared" si="8"/>
        <v>6364.4859800524573</v>
      </c>
    </row>
    <row r="139" spans="1:11" ht="15" x14ac:dyDescent="0.25">
      <c r="A139" s="395">
        <v>5629</v>
      </c>
      <c r="B139" s="480" t="s">
        <v>151</v>
      </c>
      <c r="C139" s="402">
        <v>129487.6290180525</v>
      </c>
      <c r="D139" s="307">
        <f>VLOOKUP(B139,Synthèse!$B$6:$N$314,5,FALSE)</f>
        <v>150763.45955791863</v>
      </c>
      <c r="E139" s="399">
        <f t="shared" si="6"/>
        <v>21275.830539866132</v>
      </c>
      <c r="F139" s="397">
        <v>59729.829477241081</v>
      </c>
      <c r="G139" s="396">
        <f>VLOOKUP(B139,Synthèse!$B$6:$O$314,14,FALSE)</f>
        <v>14774.7579603021</v>
      </c>
      <c r="H139" s="399">
        <f t="shared" si="7"/>
        <v>-44955.07151693898</v>
      </c>
      <c r="I139" s="402">
        <v>23540.642312038057</v>
      </c>
      <c r="J139" s="396">
        <f>VLOOKUP(B139,Synthèse!$B$6:$O$314,12,FALSE)</f>
        <v>20608.143592013523</v>
      </c>
      <c r="K139" s="399">
        <f t="shared" si="8"/>
        <v>-2932.4987200245341</v>
      </c>
    </row>
    <row r="140" spans="1:11" ht="15" x14ac:dyDescent="0.25">
      <c r="A140" s="395">
        <v>5631</v>
      </c>
      <c r="B140" s="480" t="s">
        <v>152</v>
      </c>
      <c r="C140" s="402">
        <v>990333.70163630974</v>
      </c>
      <c r="D140" s="307">
        <f>VLOOKUP(B140,Synthèse!$B$6:$N$314,5,FALSE)</f>
        <v>1105993.3915390924</v>
      </c>
      <c r="E140" s="399">
        <f t="shared" si="6"/>
        <v>115659.68990278267</v>
      </c>
      <c r="F140" s="397">
        <v>774704.76046451111</v>
      </c>
      <c r="G140" s="396">
        <f>VLOOKUP(B140,Synthèse!$B$6:$O$314,14,FALSE)</f>
        <v>936645.33940817311</v>
      </c>
      <c r="H140" s="399">
        <f t="shared" si="7"/>
        <v>161940.578943662</v>
      </c>
      <c r="I140" s="402">
        <v>123882.31583724867</v>
      </c>
      <c r="J140" s="396">
        <f>VLOOKUP(B140,Synthèse!$B$6:$O$314,12,FALSE)</f>
        <v>126210.27925419684</v>
      </c>
      <c r="K140" s="399">
        <f t="shared" si="8"/>
        <v>2327.9634169481724</v>
      </c>
    </row>
    <row r="141" spans="1:11" ht="15" x14ac:dyDescent="0.25">
      <c r="A141" s="395">
        <v>5632</v>
      </c>
      <c r="B141" s="480" t="s">
        <v>153</v>
      </c>
      <c r="C141" s="402">
        <v>1205000.460653869</v>
      </c>
      <c r="D141" s="307">
        <f>VLOOKUP(B141,Synthèse!$B$6:$N$314,5,FALSE)</f>
        <v>1244384.0841051333</v>
      </c>
      <c r="E141" s="399">
        <f t="shared" si="6"/>
        <v>39383.623451264342</v>
      </c>
      <c r="F141" s="397">
        <v>896320.48849990219</v>
      </c>
      <c r="G141" s="396">
        <f>VLOOKUP(B141,Synthèse!$B$6:$O$314,14,FALSE)</f>
        <v>918642.67673643678</v>
      </c>
      <c r="H141" s="399">
        <f t="shared" si="7"/>
        <v>22322.188236534595</v>
      </c>
      <c r="I141" s="402">
        <v>210325.54873621103</v>
      </c>
      <c r="J141" s="396">
        <f>VLOOKUP(B141,Synthèse!$B$6:$O$314,12,FALSE)</f>
        <v>221175.23607922631</v>
      </c>
      <c r="K141" s="399">
        <f t="shared" si="8"/>
        <v>10849.687343015277</v>
      </c>
    </row>
    <row r="142" spans="1:11" ht="15" x14ac:dyDescent="0.25">
      <c r="A142" s="395">
        <v>5633</v>
      </c>
      <c r="B142" s="480" t="s">
        <v>154</v>
      </c>
      <c r="C142" s="402">
        <v>2527472.642801879</v>
      </c>
      <c r="D142" s="307">
        <f>VLOOKUP(B142,Synthèse!$B$6:$N$314,5,FALSE)</f>
        <v>3100696.3006851585</v>
      </c>
      <c r="E142" s="399">
        <f t="shared" si="6"/>
        <v>573223.65788327949</v>
      </c>
      <c r="F142" s="397">
        <v>1513118.639836326</v>
      </c>
      <c r="G142" s="396">
        <f>VLOOKUP(B142,Synthèse!$B$6:$O$314,14,FALSE)</f>
        <v>1930195.4610298551</v>
      </c>
      <c r="H142" s="399">
        <f t="shared" si="7"/>
        <v>417076.82119352906</v>
      </c>
      <c r="I142" s="402">
        <v>403009.82910610188</v>
      </c>
      <c r="J142" s="396">
        <f>VLOOKUP(B142,Synthèse!$B$6:$O$314,12,FALSE)</f>
        <v>431178.45364897471</v>
      </c>
      <c r="K142" s="399">
        <f t="shared" si="8"/>
        <v>28168.624542872829</v>
      </c>
    </row>
    <row r="143" spans="1:11" ht="15" x14ac:dyDescent="0.25">
      <c r="A143" s="395">
        <v>5634</v>
      </c>
      <c r="B143" s="480" t="s">
        <v>155</v>
      </c>
      <c r="C143" s="402">
        <v>2580395.4397975197</v>
      </c>
      <c r="D143" s="307">
        <f>VLOOKUP(B143,Synthèse!$B$6:$N$314,5,FALSE)</f>
        <v>3585007.2110498417</v>
      </c>
      <c r="E143" s="399">
        <f t="shared" si="6"/>
        <v>1004611.771252322</v>
      </c>
      <c r="F143" s="397">
        <v>1820028.6861562585</v>
      </c>
      <c r="G143" s="396">
        <f>VLOOKUP(B143,Synthèse!$B$6:$O$314,14,FALSE)</f>
        <v>2598375.8137741447</v>
      </c>
      <c r="H143" s="399">
        <f t="shared" si="7"/>
        <v>778347.12761788629</v>
      </c>
      <c r="I143" s="402">
        <v>392199.08416292397</v>
      </c>
      <c r="J143" s="396">
        <f>VLOOKUP(B143,Synthèse!$B$6:$O$314,12,FALSE)</f>
        <v>475439.30181207671</v>
      </c>
      <c r="K143" s="399">
        <f t="shared" si="8"/>
        <v>83240.217649152735</v>
      </c>
    </row>
    <row r="144" spans="1:11" ht="15" x14ac:dyDescent="0.25">
      <c r="A144" s="395">
        <v>5635</v>
      </c>
      <c r="B144" s="480" t="s">
        <v>156</v>
      </c>
      <c r="C144" s="402">
        <v>8462386.3118968531</v>
      </c>
      <c r="D144" s="307">
        <f>VLOOKUP(B144,Synthèse!$B$6:$N$314,5,FALSE)</f>
        <v>9118647.4423422944</v>
      </c>
      <c r="E144" s="399">
        <f t="shared" si="6"/>
        <v>656261.13044544123</v>
      </c>
      <c r="F144" s="397">
        <v>-2843790.0042835609</v>
      </c>
      <c r="G144" s="396">
        <f>VLOOKUP(B144,Synthèse!$B$6:$O$314,14,FALSE)</f>
        <v>-3072827.9516734425</v>
      </c>
      <c r="H144" s="399">
        <f t="shared" si="7"/>
        <v>-229037.94738988159</v>
      </c>
      <c r="I144" s="402">
        <v>582087.19108311692</v>
      </c>
      <c r="J144" s="396">
        <f>VLOOKUP(B144,Synthèse!$B$6:$O$314,12,FALSE)</f>
        <v>583508.7531952085</v>
      </c>
      <c r="K144" s="399">
        <f t="shared" si="8"/>
        <v>1421.5621120915748</v>
      </c>
    </row>
    <row r="145" spans="1:11" ht="15" x14ac:dyDescent="0.25">
      <c r="A145" s="395">
        <v>5636</v>
      </c>
      <c r="B145" s="480" t="s">
        <v>157</v>
      </c>
      <c r="C145" s="402">
        <v>3340061.8030118416</v>
      </c>
      <c r="D145" s="307">
        <f>VLOOKUP(B145,Synthèse!$B$6:$N$314,5,FALSE)</f>
        <v>3759596.492169857</v>
      </c>
      <c r="E145" s="399">
        <f t="shared" si="6"/>
        <v>419534.68915801542</v>
      </c>
      <c r="F145" s="397">
        <v>2240735.9070105338</v>
      </c>
      <c r="G145" s="396">
        <f>VLOOKUP(B145,Synthèse!$B$6:$O$314,14,FALSE)</f>
        <v>2538333.2427498773</v>
      </c>
      <c r="H145" s="399">
        <f t="shared" si="7"/>
        <v>297597.33573934343</v>
      </c>
      <c r="I145" s="402">
        <v>440336.72626932687</v>
      </c>
      <c r="J145" s="396">
        <f>VLOOKUP(B145,Synthèse!$B$6:$O$314,12,FALSE)</f>
        <v>466431.50568119675</v>
      </c>
      <c r="K145" s="399">
        <f t="shared" si="8"/>
        <v>26094.77941186988</v>
      </c>
    </row>
    <row r="146" spans="1:11" ht="15" x14ac:dyDescent="0.25">
      <c r="A146" s="395">
        <v>5637</v>
      </c>
      <c r="B146" s="480" t="s">
        <v>158</v>
      </c>
      <c r="C146" s="402">
        <v>687242.99432830187</v>
      </c>
      <c r="D146" s="307">
        <f>VLOOKUP(B146,Synthèse!$B$6:$N$314,5,FALSE)</f>
        <v>666471.21109418862</v>
      </c>
      <c r="E146" s="399">
        <f t="shared" si="6"/>
        <v>-20771.783234113245</v>
      </c>
      <c r="F146" s="397">
        <v>295638.32336654223</v>
      </c>
      <c r="G146" s="396">
        <f>VLOOKUP(B146,Synthèse!$B$6:$O$314,14,FALSE)</f>
        <v>226457.61486081633</v>
      </c>
      <c r="H146" s="399">
        <f t="shared" si="7"/>
        <v>-69180.708505725896</v>
      </c>
      <c r="I146" s="402">
        <v>113885.51988492809</v>
      </c>
      <c r="J146" s="396">
        <f>VLOOKUP(B146,Synthèse!$B$6:$O$314,12,FALSE)</f>
        <v>113495.68612539148</v>
      </c>
      <c r="K146" s="399">
        <f t="shared" si="8"/>
        <v>-389.83375953660288</v>
      </c>
    </row>
    <row r="147" spans="1:11" ht="15" x14ac:dyDescent="0.25">
      <c r="A147" s="395">
        <v>5638</v>
      </c>
      <c r="B147" s="480" t="s">
        <v>159</v>
      </c>
      <c r="C147" s="402">
        <v>5786056.8268914055</v>
      </c>
      <c r="D147" s="307">
        <f>VLOOKUP(B147,Synthèse!$B$6:$N$314,5,FALSE)</f>
        <v>4319933.9244946996</v>
      </c>
      <c r="E147" s="399">
        <f t="shared" si="6"/>
        <v>-1466122.9023967059</v>
      </c>
      <c r="F147" s="397">
        <v>842769.67674495839</v>
      </c>
      <c r="G147" s="396">
        <f>VLOOKUP(B147,Synthèse!$B$6:$O$314,14,FALSE)</f>
        <v>2044008.3912403248</v>
      </c>
      <c r="H147" s="399">
        <f t="shared" si="7"/>
        <v>1201238.7144953664</v>
      </c>
      <c r="I147" s="402">
        <v>400466.88947225985</v>
      </c>
      <c r="J147" s="396">
        <f>VLOOKUP(B147,Synthèse!$B$6:$O$314,12,FALSE)</f>
        <v>421185.3055941537</v>
      </c>
      <c r="K147" s="399">
        <f t="shared" si="8"/>
        <v>20718.416121893853</v>
      </c>
    </row>
    <row r="148" spans="1:11" ht="15" x14ac:dyDescent="0.25">
      <c r="A148" s="395">
        <v>5639</v>
      </c>
      <c r="B148" s="480" t="s">
        <v>160</v>
      </c>
      <c r="C148" s="402">
        <v>1137117.2593089789</v>
      </c>
      <c r="D148" s="307">
        <f>VLOOKUP(B148,Synthèse!$B$6:$N$314,5,FALSE)</f>
        <v>869096.13799074583</v>
      </c>
      <c r="E148" s="399">
        <f t="shared" si="6"/>
        <v>-268021.12131823308</v>
      </c>
      <c r="F148" s="397">
        <v>926846.10748504195</v>
      </c>
      <c r="G148" s="396">
        <f>VLOOKUP(B148,Synthèse!$B$6:$O$314,14,FALSE)</f>
        <v>841079.95303040266</v>
      </c>
      <c r="H148" s="399">
        <f t="shared" si="7"/>
        <v>-85766.154454639298</v>
      </c>
      <c r="I148" s="402">
        <v>133240.77494769735</v>
      </c>
      <c r="J148" s="396">
        <f>VLOOKUP(B148,Synthèse!$B$6:$O$314,12,FALSE)</f>
        <v>127725.61002664996</v>
      </c>
      <c r="K148" s="399">
        <f t="shared" si="8"/>
        <v>-5515.1649210473988</v>
      </c>
    </row>
    <row r="149" spans="1:11" ht="15" x14ac:dyDescent="0.25">
      <c r="A149" s="395">
        <v>5640</v>
      </c>
      <c r="B149" s="480" t="s">
        <v>161</v>
      </c>
      <c r="C149" s="402">
        <v>2120198.3995693652</v>
      </c>
      <c r="D149" s="307">
        <f>VLOOKUP(B149,Synthèse!$B$6:$N$314,5,FALSE)</f>
        <v>1736633.7301760232</v>
      </c>
      <c r="E149" s="399">
        <f t="shared" si="6"/>
        <v>-383564.66939334199</v>
      </c>
      <c r="F149" s="397">
        <v>362605.2140669988</v>
      </c>
      <c r="G149" s="396">
        <f>VLOOKUP(B149,Synthèse!$B$6:$O$314,14,FALSE)</f>
        <v>1026386.8198239768</v>
      </c>
      <c r="H149" s="399">
        <f t="shared" si="7"/>
        <v>663781.60575697804</v>
      </c>
      <c r="I149" s="402">
        <v>71597.692558824419</v>
      </c>
      <c r="J149" s="396">
        <f>VLOOKUP(B149,Synthèse!$B$6:$O$314,12,FALSE)</f>
        <v>73203.194873784989</v>
      </c>
      <c r="K149" s="399">
        <f t="shared" si="8"/>
        <v>1605.5023149605695</v>
      </c>
    </row>
    <row r="150" spans="1:11" ht="15" x14ac:dyDescent="0.25">
      <c r="A150" s="395">
        <v>5642</v>
      </c>
      <c r="B150" s="480" t="s">
        <v>162</v>
      </c>
      <c r="C150" s="402">
        <v>15251847.786897438</v>
      </c>
      <c r="D150" s="307">
        <f>VLOOKUP(B150,Synthèse!$B$6:$N$314,5,FALSE)</f>
        <v>17047853.214152928</v>
      </c>
      <c r="E150" s="399">
        <f t="shared" si="6"/>
        <v>1796005.4272554908</v>
      </c>
      <c r="F150" s="397">
        <v>3405743.5709121283</v>
      </c>
      <c r="G150" s="396">
        <f>VLOOKUP(B150,Synthèse!$B$6:$O$314,14,FALSE)</f>
        <v>5141739.7595182434</v>
      </c>
      <c r="H150" s="399">
        <f t="shared" si="7"/>
        <v>1735996.1886061151</v>
      </c>
      <c r="I150" s="402">
        <v>957388.6982397259</v>
      </c>
      <c r="J150" s="396">
        <f>VLOOKUP(B150,Synthèse!$B$6:$O$314,12,FALSE)</f>
        <v>1003990.7971878962</v>
      </c>
      <c r="K150" s="399">
        <f t="shared" si="8"/>
        <v>46602.098948170315</v>
      </c>
    </row>
    <row r="151" spans="1:11" ht="15" x14ac:dyDescent="0.25">
      <c r="A151" s="395">
        <v>5643</v>
      </c>
      <c r="B151" s="480" t="s">
        <v>163</v>
      </c>
      <c r="C151" s="402">
        <v>4763248.3577636853</v>
      </c>
      <c r="D151" s="307">
        <f>VLOOKUP(B151,Synthèse!$B$6:$N$314,5,FALSE)</f>
        <v>4895220.5829126667</v>
      </c>
      <c r="E151" s="399">
        <f t="shared" si="6"/>
        <v>131972.22514898144</v>
      </c>
      <c r="F151" s="397">
        <v>3260131.9534986792</v>
      </c>
      <c r="G151" s="396">
        <f>VLOOKUP(B151,Synthèse!$B$6:$O$314,14,FALSE)</f>
        <v>3208317.1163546713</v>
      </c>
      <c r="H151" s="399">
        <f t="shared" si="7"/>
        <v>-51814.837144007906</v>
      </c>
      <c r="I151" s="402">
        <v>339499.27653800492</v>
      </c>
      <c r="J151" s="396">
        <f>VLOOKUP(B151,Synthèse!$B$6:$O$314,12,FALSE)</f>
        <v>309221.30137399852</v>
      </c>
      <c r="K151" s="399">
        <f t="shared" si="8"/>
        <v>-30277.975164006406</v>
      </c>
    </row>
    <row r="152" spans="1:11" ht="15" x14ac:dyDescent="0.25">
      <c r="A152" s="395">
        <v>5644</v>
      </c>
      <c r="B152" s="480" t="s">
        <v>312</v>
      </c>
      <c r="C152" s="402">
        <v>261530.91919086454</v>
      </c>
      <c r="D152" s="307">
        <f>VLOOKUP(B152,Synthèse!$B$6:$N$314,5,FALSE)</f>
        <v>288479.23813299288</v>
      </c>
      <c r="E152" s="399">
        <f t="shared" si="6"/>
        <v>26948.318942128331</v>
      </c>
      <c r="F152" s="397">
        <v>162070.8885606176</v>
      </c>
      <c r="G152" s="396">
        <f>VLOOKUP(B152,Synthèse!$B$6:$O$314,14,FALSE)</f>
        <v>175842.40772629212</v>
      </c>
      <c r="H152" s="399">
        <f t="shared" si="7"/>
        <v>13771.519165674516</v>
      </c>
      <c r="I152" s="402">
        <v>47421.543905383442</v>
      </c>
      <c r="J152" s="396">
        <f>VLOOKUP(B152,Synthèse!$B$6:$O$314,12,FALSE)</f>
        <v>51730.656847500592</v>
      </c>
      <c r="K152" s="399">
        <f t="shared" si="8"/>
        <v>4309.1129421171499</v>
      </c>
    </row>
    <row r="153" spans="1:11" ht="15" x14ac:dyDescent="0.25">
      <c r="A153" s="395">
        <v>5645</v>
      </c>
      <c r="B153" s="480" t="s">
        <v>313</v>
      </c>
      <c r="C153" s="402">
        <v>498026.01519581629</v>
      </c>
      <c r="D153" s="307">
        <f>VLOOKUP(B153,Synthèse!$B$6:$N$314,5,FALSE)</f>
        <v>629782.76944932796</v>
      </c>
      <c r="E153" s="399">
        <f t="shared" si="6"/>
        <v>131756.75425351167</v>
      </c>
      <c r="F153" s="397">
        <v>462677.87314749364</v>
      </c>
      <c r="G153" s="396">
        <f>VLOOKUP(B153,Synthèse!$B$6:$O$314,14,FALSE)</f>
        <v>536024.53097325924</v>
      </c>
      <c r="H153" s="399">
        <f t="shared" si="7"/>
        <v>73346.657825765607</v>
      </c>
      <c r="I153" s="402">
        <v>73242.058752683661</v>
      </c>
      <c r="J153" s="396">
        <f>VLOOKUP(B153,Synthèse!$B$6:$O$314,12,FALSE)</f>
        <v>76531.819284847035</v>
      </c>
      <c r="K153" s="399">
        <f t="shared" si="8"/>
        <v>3289.7605321633746</v>
      </c>
    </row>
    <row r="154" spans="1:11" ht="15" x14ac:dyDescent="0.25">
      <c r="A154" s="395">
        <v>5646</v>
      </c>
      <c r="B154" s="480" t="s">
        <v>314</v>
      </c>
      <c r="C154" s="402">
        <v>16024939.729282174</v>
      </c>
      <c r="D154" s="307">
        <f>VLOOKUP(B154,Synthèse!$B$6:$N$314,5,FALSE)</f>
        <v>9279074.7527597435</v>
      </c>
      <c r="E154" s="399">
        <f t="shared" si="6"/>
        <v>-6745864.9765224308</v>
      </c>
      <c r="F154" s="397">
        <v>9087660.4126662612</v>
      </c>
      <c r="G154" s="396">
        <f>VLOOKUP(B154,Synthèse!$B$6:$O$314,14,FALSE)</f>
        <v>6083556.692325728</v>
      </c>
      <c r="H154" s="399">
        <f t="shared" si="7"/>
        <v>-3004103.7203405332</v>
      </c>
      <c r="I154" s="402">
        <v>732910.92094727443</v>
      </c>
      <c r="J154" s="396">
        <f>VLOOKUP(B154,Synthèse!$B$6:$O$314,12,FALSE)</f>
        <v>499641.9925716311</v>
      </c>
      <c r="K154" s="399">
        <f t="shared" si="8"/>
        <v>-233268.92837564333</v>
      </c>
    </row>
    <row r="155" spans="1:11" ht="15" x14ac:dyDescent="0.25">
      <c r="A155" s="395">
        <v>5648</v>
      </c>
      <c r="B155" s="480" t="s">
        <v>315</v>
      </c>
      <c r="C155" s="402">
        <v>9559318.9098500349</v>
      </c>
      <c r="D155" s="307">
        <f>VLOOKUP(B155,Synthèse!$B$6:$N$314,5,FALSE)</f>
        <v>9512323.221918229</v>
      </c>
      <c r="E155" s="399">
        <f t="shared" si="6"/>
        <v>-46995.687931805849</v>
      </c>
      <c r="F155" s="397">
        <v>5655282.0772174411</v>
      </c>
      <c r="G155" s="396">
        <f>VLOOKUP(B155,Synthèse!$B$6:$O$314,14,FALSE)</f>
        <v>5980030.9496113956</v>
      </c>
      <c r="H155" s="399">
        <f t="shared" si="7"/>
        <v>324748.87239395455</v>
      </c>
      <c r="I155" s="402">
        <v>468379.72007751506</v>
      </c>
      <c r="J155" s="396">
        <f>VLOOKUP(B155,Synthèse!$B$6:$O$314,12,FALSE)</f>
        <v>457184.73820826464</v>
      </c>
      <c r="K155" s="399">
        <f t="shared" si="8"/>
        <v>-11194.98186925042</v>
      </c>
    </row>
    <row r="156" spans="1:11" ht="15" x14ac:dyDescent="0.25">
      <c r="A156" s="395">
        <v>5649</v>
      </c>
      <c r="B156" s="480" t="s">
        <v>316</v>
      </c>
      <c r="C156" s="402">
        <v>5171857.3584557846</v>
      </c>
      <c r="D156" s="307">
        <f>VLOOKUP(B156,Synthèse!$B$6:$N$314,5,FALSE)</f>
        <v>2068987.3541509476</v>
      </c>
      <c r="E156" s="399">
        <f t="shared" si="6"/>
        <v>-3102870.004304837</v>
      </c>
      <c r="F156" s="397">
        <v>2752902.0215442134</v>
      </c>
      <c r="G156" s="396">
        <f>VLOOKUP(B156,Synthèse!$B$6:$O$314,14,FALSE)</f>
        <v>1275435.9509480684</v>
      </c>
      <c r="H156" s="399">
        <f t="shared" si="7"/>
        <v>-1477466.070596145</v>
      </c>
      <c r="I156" s="402">
        <v>228529.74861788709</v>
      </c>
      <c r="J156" s="396">
        <f>VLOOKUP(B156,Synthèse!$B$6:$O$314,12,FALSE)</f>
        <v>130899.49012350972</v>
      </c>
      <c r="K156" s="399">
        <f t="shared" si="8"/>
        <v>-97630.258494377369</v>
      </c>
    </row>
    <row r="157" spans="1:11" ht="15" x14ac:dyDescent="0.25">
      <c r="A157" s="395">
        <v>5650</v>
      </c>
      <c r="B157" s="480" t="s">
        <v>317</v>
      </c>
      <c r="C157" s="402">
        <v>7896230.0214027809</v>
      </c>
      <c r="D157" s="307">
        <f>VLOOKUP(B157,Synthèse!$B$6:$N$314,5,FALSE)</f>
        <v>7368678.8639374375</v>
      </c>
      <c r="E157" s="399">
        <f t="shared" si="6"/>
        <v>-527551.15746534336</v>
      </c>
      <c r="F157" s="397">
        <v>-264433.53390277922</v>
      </c>
      <c r="G157" s="396">
        <f>VLOOKUP(B157,Synthèse!$B$6:$O$314,14,FALSE)</f>
        <v>-41117.637151722331</v>
      </c>
      <c r="H157" s="399">
        <f t="shared" si="7"/>
        <v>223315.89675105689</v>
      </c>
      <c r="I157" s="402">
        <v>236795.89437607967</v>
      </c>
      <c r="J157" s="396">
        <f>VLOOKUP(B157,Synthèse!$B$6:$O$314,12,FALSE)</f>
        <v>211263.08255637059</v>
      </c>
      <c r="K157" s="399">
        <f t="shared" si="8"/>
        <v>-25532.811819709081</v>
      </c>
    </row>
    <row r="158" spans="1:11" ht="15" x14ac:dyDescent="0.25">
      <c r="A158" s="395">
        <v>5651</v>
      </c>
      <c r="B158" s="480" t="s">
        <v>318</v>
      </c>
      <c r="C158" s="402">
        <v>1004062.9663129074</v>
      </c>
      <c r="D158" s="307">
        <f>VLOOKUP(B158,Synthèse!$B$6:$N$314,5,FALSE)</f>
        <v>1184718.7729052808</v>
      </c>
      <c r="E158" s="399">
        <f t="shared" si="6"/>
        <v>180655.80659237341</v>
      </c>
      <c r="F158" s="397">
        <v>839326.38284710073</v>
      </c>
      <c r="G158" s="396">
        <f>VLOOKUP(B158,Synthèse!$B$6:$O$314,14,FALSE)</f>
        <v>1051811.9936491475</v>
      </c>
      <c r="H158" s="399">
        <f t="shared" si="7"/>
        <v>212485.61080204672</v>
      </c>
      <c r="I158" s="402">
        <v>61912.895658252746</v>
      </c>
      <c r="J158" s="396">
        <f>VLOOKUP(B158,Synthèse!$B$6:$O$314,12,FALSE)</f>
        <v>69963.143931988569</v>
      </c>
      <c r="K158" s="399">
        <f t="shared" si="8"/>
        <v>8050.2482737358223</v>
      </c>
    </row>
    <row r="159" spans="1:11" ht="15" x14ac:dyDescent="0.25">
      <c r="A159" s="395">
        <v>5652</v>
      </c>
      <c r="B159" s="480" t="s">
        <v>198</v>
      </c>
      <c r="C159" s="402">
        <v>435794.48862149531</v>
      </c>
      <c r="D159" s="307">
        <f>VLOOKUP(B159,Synthèse!$B$6:$N$314,5,FALSE)</f>
        <v>586267.14705282368</v>
      </c>
      <c r="E159" s="399">
        <f t="shared" si="6"/>
        <v>150472.65843132837</v>
      </c>
      <c r="F159" s="397">
        <v>391926.90536291472</v>
      </c>
      <c r="G159" s="396">
        <f>VLOOKUP(B159,Synthèse!$B$6:$O$314,14,FALSE)</f>
        <v>583170.22206894436</v>
      </c>
      <c r="H159" s="399">
        <f t="shared" si="7"/>
        <v>191243.31670602964</v>
      </c>
      <c r="I159" s="402">
        <v>82251.986217245547</v>
      </c>
      <c r="J159" s="396">
        <f>VLOOKUP(B159,Synthèse!$B$6:$O$314,12,FALSE)</f>
        <v>91959.145160808708</v>
      </c>
      <c r="K159" s="399">
        <f t="shared" si="8"/>
        <v>9707.1589435631613</v>
      </c>
    </row>
    <row r="160" spans="1:11" ht="15" x14ac:dyDescent="0.25">
      <c r="A160" s="395">
        <v>5653</v>
      </c>
      <c r="B160" s="480" t="s">
        <v>199</v>
      </c>
      <c r="C160" s="402">
        <v>1210005.6898723582</v>
      </c>
      <c r="D160" s="307">
        <f>VLOOKUP(B160,Synthèse!$B$6:$N$314,5,FALSE)</f>
        <v>2520648.8416742105</v>
      </c>
      <c r="E160" s="399">
        <f t="shared" si="6"/>
        <v>1310643.1518018523</v>
      </c>
      <c r="F160" s="397">
        <v>1053640.5008653677</v>
      </c>
      <c r="G160" s="396">
        <f>VLOOKUP(B160,Synthèse!$B$6:$O$314,14,FALSE)</f>
        <v>713358.41832578974</v>
      </c>
      <c r="H160" s="399">
        <f t="shared" si="7"/>
        <v>-340282.08253957797</v>
      </c>
      <c r="I160" s="402">
        <v>149650.68279920192</v>
      </c>
      <c r="J160" s="396">
        <f>VLOOKUP(B160,Synthèse!$B$6:$O$314,12,FALSE)</f>
        <v>162842.13553379878</v>
      </c>
      <c r="K160" s="399">
        <f t="shared" si="8"/>
        <v>13191.452734596853</v>
      </c>
    </row>
    <row r="161" spans="1:11" ht="15" x14ac:dyDescent="0.25">
      <c r="A161" s="395">
        <v>5654</v>
      </c>
      <c r="B161" s="480" t="s">
        <v>200</v>
      </c>
      <c r="C161" s="402">
        <v>311213.4862789886</v>
      </c>
      <c r="D161" s="307">
        <f>VLOOKUP(B161,Synthèse!$B$6:$N$314,5,FALSE)</f>
        <v>292261.14718037349</v>
      </c>
      <c r="E161" s="399">
        <f t="shared" si="6"/>
        <v>-18952.339098615106</v>
      </c>
      <c r="F161" s="397">
        <v>211231.42655675928</v>
      </c>
      <c r="G161" s="396">
        <f>VLOOKUP(B161,Synthèse!$B$6:$O$314,14,FALSE)</f>
        <v>137328.11964118498</v>
      </c>
      <c r="H161" s="399">
        <f t="shared" si="7"/>
        <v>-73903.3069155743</v>
      </c>
      <c r="I161" s="402">
        <v>58782.829289109017</v>
      </c>
      <c r="J161" s="396">
        <f>VLOOKUP(B161,Synthèse!$B$6:$O$314,12,FALSE)</f>
        <v>54953.815158840094</v>
      </c>
      <c r="K161" s="399">
        <f t="shared" si="8"/>
        <v>-3829.0141302689226</v>
      </c>
    </row>
    <row r="162" spans="1:11" ht="15" x14ac:dyDescent="0.25">
      <c r="A162" s="395">
        <v>5655</v>
      </c>
      <c r="B162" s="480" t="s">
        <v>201</v>
      </c>
      <c r="C162" s="402">
        <v>1659557.6832873514</v>
      </c>
      <c r="D162" s="307">
        <f>VLOOKUP(B162,Synthèse!$B$6:$N$314,5,FALSE)</f>
        <v>1510281.1106004845</v>
      </c>
      <c r="E162" s="399">
        <f t="shared" si="6"/>
        <v>-149276.57268686686</v>
      </c>
      <c r="F162" s="397">
        <v>1169400.978503189</v>
      </c>
      <c r="G162" s="396">
        <f>VLOOKUP(B162,Synthèse!$B$6:$O$314,14,FALSE)</f>
        <v>1251729.7630611965</v>
      </c>
      <c r="H162" s="399">
        <f t="shared" si="7"/>
        <v>82328.784558007494</v>
      </c>
      <c r="I162" s="402">
        <v>210041.5353956703</v>
      </c>
      <c r="J162" s="396">
        <f>VLOOKUP(B162,Synthèse!$B$6:$O$314,12,FALSE)</f>
        <v>221144.62356679668</v>
      </c>
      <c r="K162" s="399">
        <f t="shared" si="8"/>
        <v>11103.088171126379</v>
      </c>
    </row>
    <row r="163" spans="1:11" ht="15" x14ac:dyDescent="0.25">
      <c r="A163" s="395">
        <v>5661</v>
      </c>
      <c r="B163" s="480" t="s">
        <v>202</v>
      </c>
      <c r="C163" s="402">
        <v>154769.29371582973</v>
      </c>
      <c r="D163" s="307">
        <f>VLOOKUP(B163,Synthèse!$B$6:$N$314,5,FALSE)</f>
        <v>154082.96105970879</v>
      </c>
      <c r="E163" s="399">
        <f t="shared" si="6"/>
        <v>-686.33265612093965</v>
      </c>
      <c r="F163" s="397">
        <v>-80200.361325305013</v>
      </c>
      <c r="G163" s="396">
        <f>VLOOKUP(B163,Synthèse!$B$6:$O$314,14,FALSE)</f>
        <v>-66730.183144662733</v>
      </c>
      <c r="H163" s="399">
        <f t="shared" si="7"/>
        <v>13470.17818064228</v>
      </c>
      <c r="I163" s="402">
        <v>28693.443061608501</v>
      </c>
      <c r="J163" s="396">
        <f>VLOOKUP(B163,Synthèse!$B$6:$O$314,12,FALSE)</f>
        <v>30612.975869822785</v>
      </c>
      <c r="K163" s="399">
        <f t="shared" si="8"/>
        <v>1919.5328082142842</v>
      </c>
    </row>
    <row r="164" spans="1:11" ht="15" x14ac:dyDescent="0.25">
      <c r="A164" s="395">
        <v>5663</v>
      </c>
      <c r="B164" s="480" t="s">
        <v>203</v>
      </c>
      <c r="C164" s="402">
        <v>103462.77290090687</v>
      </c>
      <c r="D164" s="307">
        <f>VLOOKUP(B164,Synthèse!$B$6:$N$314,5,FALSE)</f>
        <v>116096.59945191049</v>
      </c>
      <c r="E164" s="399">
        <f t="shared" si="6"/>
        <v>12633.826551003614</v>
      </c>
      <c r="F164" s="397">
        <v>-81682.033761868021</v>
      </c>
      <c r="G164" s="396">
        <f>VLOOKUP(B164,Synthèse!$B$6:$O$314,14,FALSE)</f>
        <v>-29219.849873639509</v>
      </c>
      <c r="H164" s="399">
        <f t="shared" si="7"/>
        <v>52462.183888228508</v>
      </c>
      <c r="I164" s="402">
        <v>17847.580099189097</v>
      </c>
      <c r="J164" s="396">
        <f>VLOOKUP(B164,Synthèse!$B$6:$O$314,12,FALSE)</f>
        <v>19498.902742570066</v>
      </c>
      <c r="K164" s="399">
        <f t="shared" si="8"/>
        <v>1651.3226433809687</v>
      </c>
    </row>
    <row r="165" spans="1:11" ht="15" x14ac:dyDescent="0.25">
      <c r="A165" s="395">
        <v>5665</v>
      </c>
      <c r="B165" s="480" t="s">
        <v>97</v>
      </c>
      <c r="C165" s="402">
        <v>80876.683026723462</v>
      </c>
      <c r="D165" s="307">
        <f>VLOOKUP(B165,Synthèse!$B$6:$N$314,5,FALSE)</f>
        <v>84311.882415610526</v>
      </c>
      <c r="E165" s="399">
        <f t="shared" si="6"/>
        <v>3435.1993888870638</v>
      </c>
      <c r="F165" s="397">
        <v>-36444.803503099094</v>
      </c>
      <c r="G165" s="396">
        <f>VLOOKUP(B165,Synthèse!$B$6:$O$314,14,FALSE)</f>
        <v>-61335.804312575608</v>
      </c>
      <c r="H165" s="399">
        <f t="shared" si="7"/>
        <v>-24891.000809476514</v>
      </c>
      <c r="I165" s="402">
        <v>15927.855401193137</v>
      </c>
      <c r="J165" s="396">
        <f>VLOOKUP(B165,Synthèse!$B$6:$O$314,12,FALSE)</f>
        <v>14443.023415450189</v>
      </c>
      <c r="K165" s="399">
        <f t="shared" si="8"/>
        <v>-1484.8319857429487</v>
      </c>
    </row>
    <row r="166" spans="1:11" ht="15" x14ac:dyDescent="0.25">
      <c r="A166" s="395">
        <v>5669</v>
      </c>
      <c r="B166" s="480" t="s">
        <v>98</v>
      </c>
      <c r="C166" s="402">
        <v>175283.90052678157</v>
      </c>
      <c r="D166" s="307">
        <f>VLOOKUP(B166,Synthèse!$B$6:$N$314,5,FALSE)</f>
        <v>154560.57103144846</v>
      </c>
      <c r="E166" s="399">
        <f t="shared" si="6"/>
        <v>-20723.329495333106</v>
      </c>
      <c r="F166" s="397">
        <v>14859.99601149519</v>
      </c>
      <c r="G166" s="396">
        <f>VLOOKUP(B166,Synthèse!$B$6:$O$314,14,FALSE)</f>
        <v>58572.118354149134</v>
      </c>
      <c r="H166" s="399">
        <f t="shared" si="7"/>
        <v>43712.122342653944</v>
      </c>
      <c r="I166" s="402">
        <v>28570.366234747351</v>
      </c>
      <c r="J166" s="396">
        <f>VLOOKUP(B166,Synthèse!$B$6:$O$314,12,FALSE)</f>
        <v>30676.571686256913</v>
      </c>
      <c r="K166" s="399">
        <f t="shared" si="8"/>
        <v>2106.2054515095624</v>
      </c>
    </row>
    <row r="167" spans="1:11" ht="15" x14ac:dyDescent="0.25">
      <c r="A167" s="395">
        <v>5671</v>
      </c>
      <c r="B167" s="480" t="s">
        <v>99</v>
      </c>
      <c r="C167" s="402">
        <v>99948.679395112209</v>
      </c>
      <c r="D167" s="307">
        <f>VLOOKUP(B167,Synthèse!$B$6:$N$314,5,FALSE)</f>
        <v>120548.36113394867</v>
      </c>
      <c r="E167" s="399">
        <f t="shared" si="6"/>
        <v>20599.681738836458</v>
      </c>
      <c r="F167" s="397">
        <v>-101319.61217407364</v>
      </c>
      <c r="G167" s="396">
        <f>VLOOKUP(B167,Synthèse!$B$6:$O$314,14,FALSE)</f>
        <v>-47934.410333493717</v>
      </c>
      <c r="H167" s="399">
        <f t="shared" si="7"/>
        <v>53385.201840579924</v>
      </c>
      <c r="I167" s="402">
        <v>20022.781935767271</v>
      </c>
      <c r="J167" s="396">
        <f>VLOOKUP(B167,Synthèse!$B$6:$O$314,12,FALSE)</f>
        <v>20156.524176805877</v>
      </c>
      <c r="K167" s="399">
        <f t="shared" si="8"/>
        <v>133.74224103860615</v>
      </c>
    </row>
    <row r="168" spans="1:11" ht="15" x14ac:dyDescent="0.25">
      <c r="A168" s="395">
        <v>5673</v>
      </c>
      <c r="B168" s="480" t="s">
        <v>100</v>
      </c>
      <c r="C168" s="402">
        <v>145953.75454982824</v>
      </c>
      <c r="D168" s="307">
        <f>VLOOKUP(B168,Synthèse!$B$6:$N$314,5,FALSE)</f>
        <v>168896.91571658928</v>
      </c>
      <c r="E168" s="399">
        <f t="shared" si="6"/>
        <v>22943.161166761041</v>
      </c>
      <c r="F168" s="397">
        <v>-108402.58613728418</v>
      </c>
      <c r="G168" s="396">
        <f>VLOOKUP(B168,Synthèse!$B$6:$O$314,14,FALSE)</f>
        <v>-104437.76152629749</v>
      </c>
      <c r="H168" s="399">
        <f t="shared" si="7"/>
        <v>3964.8246109866886</v>
      </c>
      <c r="I168" s="402">
        <v>28164.539356308436</v>
      </c>
      <c r="J168" s="396">
        <f>VLOOKUP(B168,Synthèse!$B$6:$O$314,12,FALSE)</f>
        <v>30333.447728093233</v>
      </c>
      <c r="K168" s="399">
        <f t="shared" si="8"/>
        <v>2168.9083717847971</v>
      </c>
    </row>
    <row r="169" spans="1:11" ht="15" x14ac:dyDescent="0.25">
      <c r="A169" s="395">
        <v>5674</v>
      </c>
      <c r="B169" s="480" t="s">
        <v>101</v>
      </c>
      <c r="C169" s="402">
        <v>59522.239152229005</v>
      </c>
      <c r="D169" s="307">
        <f>VLOOKUP(B169,Synthèse!$B$6:$N$314,5,FALSE)</f>
        <v>47327.537415906518</v>
      </c>
      <c r="E169" s="399">
        <f t="shared" si="6"/>
        <v>-12194.701736322488</v>
      </c>
      <c r="F169" s="397">
        <v>-24692.939560929757</v>
      </c>
      <c r="G169" s="396">
        <f>VLOOKUP(B169,Synthèse!$B$6:$O$314,14,FALSE)</f>
        <v>-36324.773575018356</v>
      </c>
      <c r="H169" s="399">
        <f t="shared" si="7"/>
        <v>-11631.834014088599</v>
      </c>
      <c r="I169" s="402">
        <v>11397.726293339929</v>
      </c>
      <c r="J169" s="396">
        <f>VLOOKUP(B169,Synthèse!$B$6:$O$314,12,FALSE)</f>
        <v>9779.6447282541558</v>
      </c>
      <c r="K169" s="399">
        <f t="shared" si="8"/>
        <v>-1618.081565085773</v>
      </c>
    </row>
    <row r="170" spans="1:11" ht="15" x14ac:dyDescent="0.25">
      <c r="A170" s="395">
        <v>5675</v>
      </c>
      <c r="B170" s="480" t="s">
        <v>102</v>
      </c>
      <c r="C170" s="402">
        <v>1652408.8094725099</v>
      </c>
      <c r="D170" s="307">
        <f>VLOOKUP(B170,Synthèse!$B$6:$N$314,5,FALSE)</f>
        <v>1895615.4201690583</v>
      </c>
      <c r="E170" s="399">
        <f t="shared" si="6"/>
        <v>243206.61069654836</v>
      </c>
      <c r="F170" s="397">
        <v>-1961125.8022109005</v>
      </c>
      <c r="G170" s="396">
        <f>VLOOKUP(B170,Synthèse!$B$6:$O$314,14,FALSE)</f>
        <v>-1869448.2193466679</v>
      </c>
      <c r="H170" s="399">
        <f t="shared" si="7"/>
        <v>91677.582864232594</v>
      </c>
      <c r="I170" s="402">
        <v>259341.54489474406</v>
      </c>
      <c r="J170" s="396">
        <f>VLOOKUP(B170,Synthèse!$B$6:$O$314,12,FALSE)</f>
        <v>291639.96853325062</v>
      </c>
      <c r="K170" s="399">
        <f t="shared" si="8"/>
        <v>32298.42363850656</v>
      </c>
    </row>
    <row r="171" spans="1:11" ht="15" x14ac:dyDescent="0.25">
      <c r="A171" s="395">
        <v>5678</v>
      </c>
      <c r="B171" s="480" t="s">
        <v>103</v>
      </c>
      <c r="C171" s="402">
        <v>2538035.8215474035</v>
      </c>
      <c r="D171" s="307">
        <f>VLOOKUP(B171,Synthèse!$B$6:$N$314,5,FALSE)</f>
        <v>2606363.9719164721</v>
      </c>
      <c r="E171" s="399">
        <f t="shared" si="6"/>
        <v>68328.150369068608</v>
      </c>
      <c r="F171" s="397">
        <v>-4692950.8273807364</v>
      </c>
      <c r="G171" s="396">
        <f>VLOOKUP(B171,Synthèse!$B$6:$O$314,14,FALSE)</f>
        <v>-4645044.3325633947</v>
      </c>
      <c r="H171" s="399">
        <f t="shared" si="7"/>
        <v>47906.494817341678</v>
      </c>
      <c r="I171" s="402">
        <v>360209.17835079995</v>
      </c>
      <c r="J171" s="396">
        <f>VLOOKUP(B171,Synthèse!$B$6:$O$314,12,FALSE)</f>
        <v>378583.52667200641</v>
      </c>
      <c r="K171" s="399">
        <f t="shared" si="8"/>
        <v>18374.34832120646</v>
      </c>
    </row>
    <row r="172" spans="1:11" ht="15" x14ac:dyDescent="0.25">
      <c r="A172" s="395">
        <v>5680</v>
      </c>
      <c r="B172" s="480" t="s">
        <v>104</v>
      </c>
      <c r="C172" s="402">
        <v>134852.43056421509</v>
      </c>
      <c r="D172" s="307">
        <f>VLOOKUP(B172,Synthèse!$B$6:$N$314,5,FALSE)</f>
        <v>129427.79098761189</v>
      </c>
      <c r="E172" s="399">
        <f t="shared" si="6"/>
        <v>-5424.6395766031928</v>
      </c>
      <c r="F172" s="397">
        <v>-60258.576525657954</v>
      </c>
      <c r="G172" s="396">
        <f>VLOOKUP(B172,Synthèse!$B$6:$O$314,14,FALSE)</f>
        <v>-123115.99898581913</v>
      </c>
      <c r="H172" s="399">
        <f t="shared" si="7"/>
        <v>-62857.422460161171</v>
      </c>
      <c r="I172" s="402">
        <v>23321.033754060016</v>
      </c>
      <c r="J172" s="396">
        <f>VLOOKUP(B172,Synthèse!$B$6:$O$314,12,FALSE)</f>
        <v>18896.763227695468</v>
      </c>
      <c r="K172" s="399">
        <f t="shared" si="8"/>
        <v>-4424.2705263645475</v>
      </c>
    </row>
    <row r="173" spans="1:11" ht="15" x14ac:dyDescent="0.25">
      <c r="A173" s="395">
        <v>5683</v>
      </c>
      <c r="B173" s="480" t="s">
        <v>105</v>
      </c>
      <c r="C173" s="402">
        <v>73604.10475332239</v>
      </c>
      <c r="D173" s="307">
        <f>VLOOKUP(B173,Synthèse!$B$6:$N$314,5,FALSE)</f>
        <v>71550.125481803349</v>
      </c>
      <c r="E173" s="399">
        <f t="shared" si="6"/>
        <v>-2053.9792715190415</v>
      </c>
      <c r="F173" s="397">
        <v>-115737.54850966744</v>
      </c>
      <c r="G173" s="396">
        <f>VLOOKUP(B173,Synthèse!$B$6:$O$314,14,FALSE)</f>
        <v>-53140.493368959033</v>
      </c>
      <c r="H173" s="399">
        <f t="shared" si="7"/>
        <v>62597.055140708406</v>
      </c>
      <c r="I173" s="402">
        <v>12170.195825490413</v>
      </c>
      <c r="J173" s="396">
        <f>VLOOKUP(B173,Synthèse!$B$6:$O$314,12,FALSE)</f>
        <v>13818.487891293513</v>
      </c>
      <c r="K173" s="399">
        <f t="shared" si="8"/>
        <v>1648.2920658030998</v>
      </c>
    </row>
    <row r="174" spans="1:11" ht="15" x14ac:dyDescent="0.25">
      <c r="A174" s="395">
        <v>5684</v>
      </c>
      <c r="B174" s="480" t="s">
        <v>106</v>
      </c>
      <c r="C174" s="402">
        <v>47329.904197883814</v>
      </c>
      <c r="D174" s="307">
        <f>VLOOKUP(B174,Synthèse!$B$6:$N$314,5,FALSE)</f>
        <v>45523.841383246661</v>
      </c>
      <c r="E174" s="399">
        <f t="shared" si="6"/>
        <v>-1806.0628146371528</v>
      </c>
      <c r="F174" s="397">
        <v>50951.610021888278</v>
      </c>
      <c r="G174" s="396">
        <f>VLOOKUP(B174,Synthèse!$B$6:$O$314,14,FALSE)</f>
        <v>20555.883324065569</v>
      </c>
      <c r="H174" s="399">
        <f t="shared" si="7"/>
        <v>-30395.726697822709</v>
      </c>
      <c r="I174" s="402">
        <v>9099.9242240066833</v>
      </c>
      <c r="J174" s="396">
        <f>VLOOKUP(B174,Synthèse!$B$6:$O$314,12,FALSE)</f>
        <v>9676.4197653338651</v>
      </c>
      <c r="K174" s="399">
        <f t="shared" si="8"/>
        <v>576.49554132718185</v>
      </c>
    </row>
    <row r="175" spans="1:11" ht="15" x14ac:dyDescent="0.25">
      <c r="A175" s="395">
        <v>5688</v>
      </c>
      <c r="B175" s="480" t="s">
        <v>107</v>
      </c>
      <c r="C175" s="402">
        <v>111355.59648678682</v>
      </c>
      <c r="D175" s="307">
        <f>VLOOKUP(B175,Synthèse!$B$6:$N$314,5,FALSE)</f>
        <v>40409.612180245524</v>
      </c>
      <c r="E175" s="399">
        <f t="shared" si="6"/>
        <v>-70945.984306541301</v>
      </c>
      <c r="F175" s="397">
        <v>69481.075197199141</v>
      </c>
      <c r="G175" s="396">
        <f>VLOOKUP(B175,Synthèse!$B$6:$O$314,14,FALSE)</f>
        <v>-104264.02348680541</v>
      </c>
      <c r="H175" s="399">
        <f t="shared" si="7"/>
        <v>-173745.09868400457</v>
      </c>
      <c r="I175" s="402">
        <v>19447.576685388376</v>
      </c>
      <c r="J175" s="396">
        <f>VLOOKUP(B175,Synthèse!$B$6:$O$314,12,FALSE)</f>
        <v>8125.5066452107221</v>
      </c>
      <c r="K175" s="399">
        <f t="shared" si="8"/>
        <v>-11322.070040177654</v>
      </c>
    </row>
    <row r="176" spans="1:11" ht="15" x14ac:dyDescent="0.25">
      <c r="A176" s="395">
        <v>5690</v>
      </c>
      <c r="B176" s="480" t="s">
        <v>108</v>
      </c>
      <c r="C176" s="402">
        <v>68401.185007563065</v>
      </c>
      <c r="D176" s="307">
        <f>VLOOKUP(B176,Synthèse!$B$6:$N$314,5,FALSE)</f>
        <v>123206.37203302459</v>
      </c>
      <c r="E176" s="399">
        <f t="shared" si="6"/>
        <v>54805.187025461521</v>
      </c>
      <c r="F176" s="397">
        <v>-4417.0631924880963</v>
      </c>
      <c r="G176" s="396">
        <f>VLOOKUP(B176,Synthèse!$B$6:$O$314,14,FALSE)</f>
        <v>-7928.7305519157162</v>
      </c>
      <c r="H176" s="399">
        <f t="shared" si="7"/>
        <v>-3511.6673594276199</v>
      </c>
      <c r="I176" s="402">
        <v>11229.794534906909</v>
      </c>
      <c r="J176" s="396">
        <f>VLOOKUP(B176,Synthèse!$B$6:$O$314,12,FALSE)</f>
        <v>9019.8269123117789</v>
      </c>
      <c r="K176" s="399">
        <f t="shared" si="8"/>
        <v>-2209.9676225951298</v>
      </c>
    </row>
    <row r="177" spans="1:11" ht="15" x14ac:dyDescent="0.25">
      <c r="A177" s="395">
        <v>5692</v>
      </c>
      <c r="B177" s="480" t="s">
        <v>109</v>
      </c>
      <c r="C177" s="402">
        <v>316082.31014141761</v>
      </c>
      <c r="D177" s="307">
        <f>VLOOKUP(B177,Synthèse!$B$6:$N$314,5,FALSE)</f>
        <v>285682.93876971729</v>
      </c>
      <c r="E177" s="399">
        <f t="shared" si="6"/>
        <v>-30399.371371700312</v>
      </c>
      <c r="F177" s="397">
        <v>-2408.5144884355177</v>
      </c>
      <c r="G177" s="396">
        <f>VLOOKUP(B177,Synthèse!$B$6:$O$314,14,FALSE)</f>
        <v>-100302.040058525</v>
      </c>
      <c r="H177" s="399">
        <f t="shared" si="7"/>
        <v>-97893.525570089492</v>
      </c>
      <c r="I177" s="402">
        <v>54739.809326330243</v>
      </c>
      <c r="J177" s="396">
        <f>VLOOKUP(B177,Synthèse!$B$6:$O$314,12,FALSE)</f>
        <v>48670.66637832937</v>
      </c>
      <c r="K177" s="399">
        <f t="shared" si="8"/>
        <v>-6069.1429480008737</v>
      </c>
    </row>
    <row r="178" spans="1:11" ht="15" x14ac:dyDescent="0.25">
      <c r="A178" s="395">
        <v>5693</v>
      </c>
      <c r="B178" s="480" t="s">
        <v>441</v>
      </c>
      <c r="C178" s="402">
        <v>1335379.0851546582</v>
      </c>
      <c r="D178" s="307">
        <f>VLOOKUP(B178,Synthèse!$B$6:$N$314,5,FALSE)</f>
        <v>1208818.6463697727</v>
      </c>
      <c r="E178" s="399">
        <f t="shared" si="6"/>
        <v>-126560.43878488545</v>
      </c>
      <c r="F178" s="397">
        <v>-691659.99862318183</v>
      </c>
      <c r="G178" s="396">
        <f>VLOOKUP(B178,Synthèse!$B$6:$O$314,14,FALSE)</f>
        <v>-1062052.3518191664</v>
      </c>
      <c r="H178" s="399">
        <f t="shared" si="7"/>
        <v>-370392.35319598462</v>
      </c>
      <c r="I178" s="402">
        <v>221831.52624976711</v>
      </c>
      <c r="J178" s="396">
        <f>VLOOKUP(B178,Synthèse!$B$6:$O$314,12,FALSE)</f>
        <v>215473.59199653496</v>
      </c>
      <c r="K178" s="399">
        <f t="shared" si="8"/>
        <v>-6357.9342532321461</v>
      </c>
    </row>
    <row r="179" spans="1:11" ht="15" x14ac:dyDescent="0.25">
      <c r="A179" s="395">
        <v>5701</v>
      </c>
      <c r="B179" s="480" t="s">
        <v>110</v>
      </c>
      <c r="C179" s="402">
        <v>322018.50784026872</v>
      </c>
      <c r="D179" s="307">
        <f>VLOOKUP(B179,Synthèse!$B$6:$N$314,5,FALSE)</f>
        <v>216223.94082308756</v>
      </c>
      <c r="E179" s="399">
        <f t="shared" si="6"/>
        <v>-105794.56701718117</v>
      </c>
      <c r="F179" s="397">
        <v>262233.92805007455</v>
      </c>
      <c r="G179" s="396">
        <f>VLOOKUP(B179,Synthèse!$B$6:$O$314,14,FALSE)</f>
        <v>40311.962490359496</v>
      </c>
      <c r="H179" s="399">
        <f t="shared" si="7"/>
        <v>-221921.96555971506</v>
      </c>
      <c r="I179" s="402">
        <v>37612.4004713346</v>
      </c>
      <c r="J179" s="396">
        <f>VLOOKUP(B179,Synthèse!$B$6:$O$314,12,FALSE)</f>
        <v>34399.028167074022</v>
      </c>
      <c r="K179" s="399">
        <f t="shared" si="8"/>
        <v>-3213.3723042605779</v>
      </c>
    </row>
    <row r="180" spans="1:11" ht="15" x14ac:dyDescent="0.25">
      <c r="A180" s="395">
        <v>5702</v>
      </c>
      <c r="B180" s="480" t="s">
        <v>440</v>
      </c>
      <c r="C180" s="402">
        <v>3569551.6136183292</v>
      </c>
      <c r="D180" s="307">
        <f>VLOOKUP(B180,Synthèse!$B$6:$N$314,5,FALSE)</f>
        <v>3864330.6578436852</v>
      </c>
      <c r="E180" s="399">
        <f t="shared" si="6"/>
        <v>294779.04422535608</v>
      </c>
      <c r="F180" s="397">
        <v>2116453.5548953433</v>
      </c>
      <c r="G180" s="396">
        <f>VLOOKUP(B180,Synthèse!$B$6:$O$314,14,FALSE)</f>
        <v>2445398.3842100687</v>
      </c>
      <c r="H180" s="399">
        <f t="shared" si="7"/>
        <v>328944.82931472547</v>
      </c>
      <c r="I180" s="402">
        <v>424692.09356435214</v>
      </c>
      <c r="J180" s="396">
        <f>VLOOKUP(B180,Synthèse!$B$6:$O$314,12,FALSE)</f>
        <v>452155.40565908886</v>
      </c>
      <c r="K180" s="399">
        <f t="shared" si="8"/>
        <v>27463.312094736728</v>
      </c>
    </row>
    <row r="181" spans="1:11" ht="15" x14ac:dyDescent="0.25">
      <c r="A181" s="395">
        <v>5703</v>
      </c>
      <c r="B181" s="480" t="s">
        <v>111</v>
      </c>
      <c r="C181" s="402">
        <v>1106411.9611407816</v>
      </c>
      <c r="D181" s="307">
        <f>VLOOKUP(B181,Synthèse!$B$6:$N$314,5,FALSE)</f>
        <v>1041922.7659929006</v>
      </c>
      <c r="E181" s="399">
        <f t="shared" si="6"/>
        <v>-64489.195147881052</v>
      </c>
      <c r="F181" s="397">
        <v>554277.79365052015</v>
      </c>
      <c r="G181" s="396">
        <f>VLOOKUP(B181,Synthèse!$B$6:$O$314,14,FALSE)</f>
        <v>418343.09374552884</v>
      </c>
      <c r="H181" s="399">
        <f t="shared" si="7"/>
        <v>-135934.69990499131</v>
      </c>
      <c r="I181" s="402">
        <v>178855.21549443467</v>
      </c>
      <c r="J181" s="396">
        <f>VLOOKUP(B181,Synthèse!$B$6:$O$314,12,FALSE)</f>
        <v>179871.23343178869</v>
      </c>
      <c r="K181" s="399">
        <f t="shared" si="8"/>
        <v>1016.0179373540159</v>
      </c>
    </row>
    <row r="182" spans="1:11" ht="15" x14ac:dyDescent="0.25">
      <c r="A182" s="395">
        <v>5704</v>
      </c>
      <c r="B182" s="480" t="s">
        <v>221</v>
      </c>
      <c r="C182" s="402">
        <v>3166682.1526277023</v>
      </c>
      <c r="D182" s="307">
        <f>VLOOKUP(B182,Synthèse!$B$6:$N$314,5,FALSE)</f>
        <v>2842775.7944342764</v>
      </c>
      <c r="E182" s="399">
        <f t="shared" si="6"/>
        <v>-323906.35819342593</v>
      </c>
      <c r="F182" s="397">
        <v>2107048.6009247256</v>
      </c>
      <c r="G182" s="396">
        <f>VLOOKUP(B182,Synthèse!$B$6:$O$314,14,FALSE)</f>
        <v>2139046.1030278727</v>
      </c>
      <c r="H182" s="399">
        <f t="shared" si="7"/>
        <v>31997.502103147097</v>
      </c>
      <c r="I182" s="402">
        <v>325466.9045642782</v>
      </c>
      <c r="J182" s="396">
        <f>VLOOKUP(B182,Synthèse!$B$6:$O$314,12,FALSE)</f>
        <v>323210.33220934507</v>
      </c>
      <c r="K182" s="399">
        <f t="shared" si="8"/>
        <v>-2256.5723549331306</v>
      </c>
    </row>
    <row r="183" spans="1:11" ht="15" x14ac:dyDescent="0.25">
      <c r="A183" s="395">
        <v>5705</v>
      </c>
      <c r="B183" s="480" t="s">
        <v>222</v>
      </c>
      <c r="C183" s="402">
        <v>1218249.1672369326</v>
      </c>
      <c r="D183" s="307">
        <f>VLOOKUP(B183,Synthèse!$B$6:$N$314,5,FALSE)</f>
        <v>995166.48959438351</v>
      </c>
      <c r="E183" s="399">
        <f t="shared" si="6"/>
        <v>-223082.67764254904</v>
      </c>
      <c r="F183" s="397">
        <v>989715.45103937585</v>
      </c>
      <c r="G183" s="396">
        <f>VLOOKUP(B183,Synthèse!$B$6:$O$314,14,FALSE)</f>
        <v>845405.97747687006</v>
      </c>
      <c r="H183" s="399">
        <f t="shared" si="7"/>
        <v>-144309.47356250579</v>
      </c>
      <c r="I183" s="402">
        <v>146333.4947018027</v>
      </c>
      <c r="J183" s="396">
        <f>VLOOKUP(B183,Synthèse!$B$6:$O$314,12,FALSE)</f>
        <v>128647.50104492967</v>
      </c>
      <c r="K183" s="399">
        <f t="shared" si="8"/>
        <v>-17685.993656873034</v>
      </c>
    </row>
    <row r="184" spans="1:11" ht="15" x14ac:dyDescent="0.25">
      <c r="A184" s="395">
        <v>5706</v>
      </c>
      <c r="B184" s="480" t="s">
        <v>223</v>
      </c>
      <c r="C184" s="402">
        <v>1619081.8615500154</v>
      </c>
      <c r="D184" s="307">
        <f>VLOOKUP(B184,Synthèse!$B$6:$N$314,5,FALSE)</f>
        <v>1591318.1194359257</v>
      </c>
      <c r="E184" s="399">
        <f t="shared" si="6"/>
        <v>-27763.742114089662</v>
      </c>
      <c r="F184" s="397">
        <v>1270963.5902688452</v>
      </c>
      <c r="G184" s="396">
        <f>VLOOKUP(B184,Synthèse!$B$6:$O$314,14,FALSE)</f>
        <v>1362119.4899935434</v>
      </c>
      <c r="H184" s="399">
        <f t="shared" si="7"/>
        <v>91155.89972469816</v>
      </c>
      <c r="I184" s="402">
        <v>187823.00896156428</v>
      </c>
      <c r="J184" s="396">
        <f>VLOOKUP(B184,Synthèse!$B$6:$O$314,12,FALSE)</f>
        <v>190343.33382047989</v>
      </c>
      <c r="K184" s="399">
        <f t="shared" si="8"/>
        <v>2520.3248589156137</v>
      </c>
    </row>
    <row r="185" spans="1:11" ht="15" x14ac:dyDescent="0.25">
      <c r="A185" s="395">
        <v>5707</v>
      </c>
      <c r="B185" s="480" t="s">
        <v>224</v>
      </c>
      <c r="C185" s="402">
        <v>2017191.8883174914</v>
      </c>
      <c r="D185" s="307">
        <f>VLOOKUP(B185,Synthèse!$B$6:$N$314,5,FALSE)</f>
        <v>1808981.2649503581</v>
      </c>
      <c r="E185" s="399">
        <f t="shared" si="6"/>
        <v>-208210.62336713332</v>
      </c>
      <c r="F185" s="397">
        <v>1459019.0126794968</v>
      </c>
      <c r="G185" s="396">
        <f>VLOOKUP(B185,Synthèse!$B$6:$O$314,14,FALSE)</f>
        <v>1375489.5075133874</v>
      </c>
      <c r="H185" s="399">
        <f t="shared" si="7"/>
        <v>-83529.505166109418</v>
      </c>
      <c r="I185" s="402">
        <v>217469.22387722757</v>
      </c>
      <c r="J185" s="396">
        <f>VLOOKUP(B185,Synthèse!$B$6:$O$314,12,FALSE)</f>
        <v>215518.04621249839</v>
      </c>
      <c r="K185" s="399">
        <f t="shared" si="8"/>
        <v>-1951.1776647291845</v>
      </c>
    </row>
    <row r="186" spans="1:11" ht="15" x14ac:dyDescent="0.25">
      <c r="A186" s="395">
        <v>5708</v>
      </c>
      <c r="B186" s="480" t="s">
        <v>225</v>
      </c>
      <c r="C186" s="402">
        <v>1170449.8030250445</v>
      </c>
      <c r="D186" s="307">
        <f>VLOOKUP(B186,Synthèse!$B$6:$N$314,5,FALSE)</f>
        <v>1525222.8267562927</v>
      </c>
      <c r="E186" s="399">
        <f t="shared" si="6"/>
        <v>354773.02373124822</v>
      </c>
      <c r="F186" s="397">
        <v>1035485.7899921178</v>
      </c>
      <c r="G186" s="396">
        <f>VLOOKUP(B186,Synthèse!$B$6:$O$314,14,FALSE)</f>
        <v>1173919.0921540153</v>
      </c>
      <c r="H186" s="399">
        <f t="shared" si="7"/>
        <v>138433.30216189753</v>
      </c>
      <c r="I186" s="402">
        <v>153809.44357575057</v>
      </c>
      <c r="J186" s="396">
        <f>VLOOKUP(B186,Synthèse!$B$6:$O$314,12,FALSE)</f>
        <v>161031.63164387451</v>
      </c>
      <c r="K186" s="399">
        <f t="shared" si="8"/>
        <v>7222.1880681239418</v>
      </c>
    </row>
    <row r="187" spans="1:11" ht="15" x14ac:dyDescent="0.25">
      <c r="A187" s="395">
        <v>5709</v>
      </c>
      <c r="B187" s="480" t="s">
        <v>226</v>
      </c>
      <c r="C187" s="402">
        <v>2354807.8413120038</v>
      </c>
      <c r="D187" s="307">
        <f>VLOOKUP(B187,Synthèse!$B$6:$N$314,5,FALSE)</f>
        <v>2479999.2615934224</v>
      </c>
      <c r="E187" s="399">
        <f t="shared" si="6"/>
        <v>125191.4202814186</v>
      </c>
      <c r="F187" s="397">
        <v>1093415.921845891</v>
      </c>
      <c r="G187" s="396">
        <f>VLOOKUP(B187,Synthèse!$B$6:$O$314,14,FALSE)</f>
        <v>1779851.464284305</v>
      </c>
      <c r="H187" s="399">
        <f t="shared" si="7"/>
        <v>686435.54243841395</v>
      </c>
      <c r="I187" s="402">
        <v>201824.40793671116</v>
      </c>
      <c r="J187" s="396">
        <f>VLOOKUP(B187,Synthèse!$B$6:$O$314,12,FALSE)</f>
        <v>226721.27805264265</v>
      </c>
      <c r="K187" s="399">
        <f t="shared" si="8"/>
        <v>24896.870115931495</v>
      </c>
    </row>
    <row r="188" spans="1:11" ht="15" x14ac:dyDescent="0.25">
      <c r="A188" s="395">
        <v>5710</v>
      </c>
      <c r="B188" s="480" t="s">
        <v>227</v>
      </c>
      <c r="C188" s="402">
        <v>3329147.290668848</v>
      </c>
      <c r="D188" s="307">
        <f>VLOOKUP(B188,Synthèse!$B$6:$N$314,5,FALSE)</f>
        <v>4001536.115234836</v>
      </c>
      <c r="E188" s="399">
        <f t="shared" si="6"/>
        <v>672388.82456598803</v>
      </c>
      <c r="F188" s="397">
        <v>867340.6005076234</v>
      </c>
      <c r="G188" s="396">
        <f>VLOOKUP(B188,Synthèse!$B$6:$O$314,14,FALSE)</f>
        <v>1043455.6465298706</v>
      </c>
      <c r="H188" s="399">
        <f t="shared" si="7"/>
        <v>176115.04602224717</v>
      </c>
      <c r="I188" s="402">
        <v>161668.17201714613</v>
      </c>
      <c r="J188" s="396">
        <f>VLOOKUP(B188,Synthèse!$B$6:$O$314,12,FALSE)</f>
        <v>176829.54365327678</v>
      </c>
      <c r="K188" s="399">
        <f t="shared" si="8"/>
        <v>15161.371636130643</v>
      </c>
    </row>
    <row r="189" spans="1:11" ht="15" x14ac:dyDescent="0.25">
      <c r="A189" s="395">
        <v>5711</v>
      </c>
      <c r="B189" s="480" t="s">
        <v>228</v>
      </c>
      <c r="C189" s="402">
        <v>6828547.9548181035</v>
      </c>
      <c r="D189" s="307">
        <f>VLOOKUP(B189,Synthèse!$B$6:$N$314,5,FALSE)</f>
        <v>6641777.1852600537</v>
      </c>
      <c r="E189" s="399">
        <f t="shared" si="6"/>
        <v>-186770.76955804974</v>
      </c>
      <c r="F189" s="397">
        <v>4291659.6924467748</v>
      </c>
      <c r="G189" s="396">
        <f>VLOOKUP(B189,Synthèse!$B$6:$O$314,14,FALSE)</f>
        <v>4345182.8845916782</v>
      </c>
      <c r="H189" s="399">
        <f t="shared" si="7"/>
        <v>53523.192144903354</v>
      </c>
      <c r="I189" s="402">
        <v>568007.14066857472</v>
      </c>
      <c r="J189" s="396">
        <f>VLOOKUP(B189,Synthèse!$B$6:$O$314,12,FALSE)</f>
        <v>563456.92772892653</v>
      </c>
      <c r="K189" s="399">
        <f t="shared" si="8"/>
        <v>-4550.2129396481905</v>
      </c>
    </row>
    <row r="190" spans="1:11" ht="15" x14ac:dyDescent="0.25">
      <c r="A190" s="395">
        <v>5712</v>
      </c>
      <c r="B190" s="480" t="s">
        <v>229</v>
      </c>
      <c r="C190" s="402">
        <v>9853905.2615679409</v>
      </c>
      <c r="D190" s="307">
        <f>VLOOKUP(B190,Synthèse!$B$6:$N$314,5,FALSE)</f>
        <v>11800015.109192647</v>
      </c>
      <c r="E190" s="399">
        <f t="shared" si="6"/>
        <v>1946109.8476247061</v>
      </c>
      <c r="F190" s="397">
        <v>4773733.804469794</v>
      </c>
      <c r="G190" s="396">
        <f>VLOOKUP(B190,Synthèse!$B$6:$O$314,14,FALSE)</f>
        <v>5706957.6992979217</v>
      </c>
      <c r="H190" s="399">
        <f t="shared" si="7"/>
        <v>933223.8948281277</v>
      </c>
      <c r="I190" s="402">
        <v>684131.2103929962</v>
      </c>
      <c r="J190" s="396">
        <f>VLOOKUP(B190,Synthèse!$B$6:$O$314,12,FALSE)</f>
        <v>744420.19746184908</v>
      </c>
      <c r="K190" s="399">
        <f t="shared" si="8"/>
        <v>60288.987068852875</v>
      </c>
    </row>
    <row r="191" spans="1:11" ht="15" x14ac:dyDescent="0.25">
      <c r="A191" s="395">
        <v>5713</v>
      </c>
      <c r="B191" s="480" t="s">
        <v>230</v>
      </c>
      <c r="C191" s="402">
        <v>7104578.1102118753</v>
      </c>
      <c r="D191" s="307">
        <f>VLOOKUP(B191,Synthèse!$B$6:$N$314,5,FALSE)</f>
        <v>8691804.7284708247</v>
      </c>
      <c r="E191" s="399">
        <f t="shared" si="6"/>
        <v>1587226.6182589494</v>
      </c>
      <c r="F191" s="397">
        <v>3649630.832240955</v>
      </c>
      <c r="G191" s="396">
        <f>VLOOKUP(B191,Synthèse!$B$6:$O$314,14,FALSE)</f>
        <v>4164203.4376006029</v>
      </c>
      <c r="H191" s="399">
        <f t="shared" si="7"/>
        <v>514572.60535964789</v>
      </c>
      <c r="I191" s="402">
        <v>310123.82185451023</v>
      </c>
      <c r="J191" s="396">
        <f>VLOOKUP(B191,Synthèse!$B$6:$O$314,12,FALSE)</f>
        <v>340605.81673194497</v>
      </c>
      <c r="K191" s="399">
        <f t="shared" si="8"/>
        <v>30481.994877434743</v>
      </c>
    </row>
    <row r="192" spans="1:11" ht="15" x14ac:dyDescent="0.25">
      <c r="A192" s="395">
        <v>5714</v>
      </c>
      <c r="B192" s="480" t="s">
        <v>231</v>
      </c>
      <c r="C192" s="402">
        <v>2032385.431599539</v>
      </c>
      <c r="D192" s="307">
        <f>VLOOKUP(B192,Synthèse!$B$6:$N$314,5,FALSE)</f>
        <v>1425891.9622207661</v>
      </c>
      <c r="E192" s="399">
        <f t="shared" si="6"/>
        <v>-606493.46937877289</v>
      </c>
      <c r="F192" s="397">
        <v>1449423.019701031</v>
      </c>
      <c r="G192" s="396">
        <f>VLOOKUP(B192,Synthèse!$B$6:$O$314,14,FALSE)</f>
        <v>1210537.5760578243</v>
      </c>
      <c r="H192" s="399">
        <f t="shared" si="7"/>
        <v>-238885.44364320673</v>
      </c>
      <c r="I192" s="402">
        <v>203119.60102794057</v>
      </c>
      <c r="J192" s="396">
        <f>VLOOKUP(B192,Synthèse!$B$6:$O$314,12,FALSE)</f>
        <v>185319.1865884604</v>
      </c>
      <c r="K192" s="399">
        <f t="shared" si="8"/>
        <v>-17800.41443948017</v>
      </c>
    </row>
    <row r="193" spans="1:11" ht="15" x14ac:dyDescent="0.25">
      <c r="A193" s="395">
        <v>5715</v>
      </c>
      <c r="B193" s="480" t="s">
        <v>232</v>
      </c>
      <c r="C193" s="402">
        <v>1150923.2818279192</v>
      </c>
      <c r="D193" s="307">
        <f>VLOOKUP(B193,Synthèse!$B$6:$N$314,5,FALSE)</f>
        <v>1501101.4297484469</v>
      </c>
      <c r="E193" s="399">
        <f t="shared" si="6"/>
        <v>350178.14792052773</v>
      </c>
      <c r="F193" s="397">
        <v>1034681.6024535872</v>
      </c>
      <c r="G193" s="396">
        <f>VLOOKUP(B193,Synthèse!$B$6:$O$314,14,FALSE)</f>
        <v>1245780.5971707872</v>
      </c>
      <c r="H193" s="399">
        <f t="shared" si="7"/>
        <v>211098.99471719994</v>
      </c>
      <c r="I193" s="402">
        <v>167393.56377071177</v>
      </c>
      <c r="J193" s="396">
        <f>VLOOKUP(B193,Synthèse!$B$6:$O$314,12,FALSE)</f>
        <v>178859.98762070975</v>
      </c>
      <c r="K193" s="399">
        <f t="shared" si="8"/>
        <v>11466.423849997984</v>
      </c>
    </row>
    <row r="194" spans="1:11" ht="15" x14ac:dyDescent="0.25">
      <c r="A194" s="395">
        <v>5716</v>
      </c>
      <c r="B194" s="480" t="s">
        <v>233</v>
      </c>
      <c r="C194" s="402">
        <v>3391323.9790300475</v>
      </c>
      <c r="D194" s="307">
        <f>VLOOKUP(B194,Synthèse!$B$6:$N$314,5,FALSE)</f>
        <v>6377633.2673162641</v>
      </c>
      <c r="E194" s="399">
        <f t="shared" si="6"/>
        <v>2986309.2882862166</v>
      </c>
      <c r="F194" s="397">
        <v>2152567.2373319301</v>
      </c>
      <c r="G194" s="396">
        <f>VLOOKUP(B194,Synthèse!$B$6:$O$314,14,FALSE)</f>
        <v>2898964.536782098</v>
      </c>
      <c r="H194" s="399">
        <f t="shared" si="7"/>
        <v>746397.29945016792</v>
      </c>
      <c r="I194" s="402">
        <v>295749.51158328191</v>
      </c>
      <c r="J194" s="396">
        <f>VLOOKUP(B194,Synthèse!$B$6:$O$314,12,FALSE)</f>
        <v>397560.44506263523</v>
      </c>
      <c r="K194" s="399">
        <f t="shared" si="8"/>
        <v>101810.93347935332</v>
      </c>
    </row>
    <row r="195" spans="1:11" ht="15" x14ac:dyDescent="0.25">
      <c r="A195" s="395">
        <v>5717</v>
      </c>
      <c r="B195" s="480" t="s">
        <v>234</v>
      </c>
      <c r="C195" s="402">
        <v>9631199.7575776074</v>
      </c>
      <c r="D195" s="307">
        <f>VLOOKUP(B195,Synthèse!$B$6:$N$314,5,FALSE)</f>
        <v>9407615.2036280688</v>
      </c>
      <c r="E195" s="399">
        <f t="shared" si="6"/>
        <v>-223584.55394953862</v>
      </c>
      <c r="F195" s="397">
        <v>5586732.4807686768</v>
      </c>
      <c r="G195" s="396">
        <f>VLOOKUP(B195,Synthèse!$B$6:$O$314,14,FALSE)</f>
        <v>5680719.1645953385</v>
      </c>
      <c r="H195" s="399">
        <f t="shared" si="7"/>
        <v>93986.683826661669</v>
      </c>
      <c r="I195" s="402">
        <v>758522.36113074049</v>
      </c>
      <c r="J195" s="396">
        <f>VLOOKUP(B195,Synthèse!$B$6:$O$314,12,FALSE)</f>
        <v>740664.78458728781</v>
      </c>
      <c r="K195" s="399">
        <f t="shared" si="8"/>
        <v>-17857.576543452684</v>
      </c>
    </row>
    <row r="196" spans="1:11" ht="15" x14ac:dyDescent="0.25">
      <c r="A196" s="395">
        <v>5718</v>
      </c>
      <c r="B196" s="480" t="s">
        <v>235</v>
      </c>
      <c r="C196" s="402">
        <v>4915090.4186433237</v>
      </c>
      <c r="D196" s="307">
        <f>VLOOKUP(B196,Synthèse!$B$6:$N$314,5,FALSE)</f>
        <v>4653862.9081177805</v>
      </c>
      <c r="E196" s="399">
        <f t="shared" si="6"/>
        <v>-261227.51052554324</v>
      </c>
      <c r="F196" s="397">
        <v>3035169.9295384963</v>
      </c>
      <c r="G196" s="396">
        <f>VLOOKUP(B196,Synthèse!$B$6:$O$314,14,FALSE)</f>
        <v>2953233.5567758828</v>
      </c>
      <c r="H196" s="399">
        <f t="shared" si="7"/>
        <v>-81936.372762613464</v>
      </c>
      <c r="I196" s="402">
        <v>392629.9297482387</v>
      </c>
      <c r="J196" s="396">
        <f>VLOOKUP(B196,Synthèse!$B$6:$O$314,12,FALSE)</f>
        <v>379204.76827117411</v>
      </c>
      <c r="K196" s="399">
        <f t="shared" si="8"/>
        <v>-13425.161477064597</v>
      </c>
    </row>
    <row r="197" spans="1:11" ht="15" x14ac:dyDescent="0.25">
      <c r="A197" s="395">
        <v>5719</v>
      </c>
      <c r="B197" s="480" t="s">
        <v>236</v>
      </c>
      <c r="C197" s="402">
        <v>4084777.6574327904</v>
      </c>
      <c r="D197" s="307">
        <f>VLOOKUP(B197,Synthèse!$B$6:$N$314,5,FALSE)</f>
        <v>4110896.608271278</v>
      </c>
      <c r="E197" s="399">
        <f t="shared" si="6"/>
        <v>26118.950838487595</v>
      </c>
      <c r="F197" s="397">
        <v>1802364.0215145773</v>
      </c>
      <c r="G197" s="396">
        <f>VLOOKUP(B197,Synthèse!$B$6:$O$314,14,FALSE)</f>
        <v>2293398.9022550369</v>
      </c>
      <c r="H197" s="399">
        <f t="shared" si="7"/>
        <v>491034.88074045954</v>
      </c>
      <c r="I197" s="402">
        <v>271568.6041623085</v>
      </c>
      <c r="J197" s="396">
        <f>VLOOKUP(B197,Synthèse!$B$6:$O$314,12,FALSE)</f>
        <v>277944.38393895287</v>
      </c>
      <c r="K197" s="399">
        <f t="shared" si="8"/>
        <v>6375.7797766443691</v>
      </c>
    </row>
    <row r="198" spans="1:11" ht="15" x14ac:dyDescent="0.25">
      <c r="A198" s="395">
        <v>5720</v>
      </c>
      <c r="B198" s="480" t="s">
        <v>237</v>
      </c>
      <c r="C198" s="402">
        <v>1706637.1026934036</v>
      </c>
      <c r="D198" s="307">
        <f>VLOOKUP(B198,Synthèse!$B$6:$N$314,5,FALSE)</f>
        <v>2187813.2407735381</v>
      </c>
      <c r="E198" s="399">
        <f t="shared" si="6"/>
        <v>481176.13808013452</v>
      </c>
      <c r="F198" s="397">
        <v>1287505.524429728</v>
      </c>
      <c r="G198" s="396">
        <f>VLOOKUP(B198,Synthèse!$B$6:$O$314,14,FALSE)</f>
        <v>1474949.0493377268</v>
      </c>
      <c r="H198" s="399">
        <f t="shared" si="7"/>
        <v>187443.52490799874</v>
      </c>
      <c r="I198" s="402">
        <v>177839.89987189812</v>
      </c>
      <c r="J198" s="396">
        <f>VLOOKUP(B198,Synthèse!$B$6:$O$314,12,FALSE)</f>
        <v>188616.33172644541</v>
      </c>
      <c r="K198" s="399">
        <f t="shared" si="8"/>
        <v>10776.431854547292</v>
      </c>
    </row>
    <row r="199" spans="1:11" ht="15" x14ac:dyDescent="0.25">
      <c r="A199" s="395">
        <v>5721</v>
      </c>
      <c r="B199" s="480" t="s">
        <v>238</v>
      </c>
      <c r="C199" s="402">
        <v>13456280.382098524</v>
      </c>
      <c r="D199" s="307">
        <f>VLOOKUP(B199,Synthèse!$B$6:$N$314,5,FALSE)</f>
        <v>17563431.432870831</v>
      </c>
      <c r="E199" s="399">
        <f t="shared" ref="E199:E262" si="9">D199-C199</f>
        <v>4107151.0507723074</v>
      </c>
      <c r="F199" s="397">
        <v>4230537.6630202103</v>
      </c>
      <c r="G199" s="396">
        <f>VLOOKUP(B199,Synthèse!$B$6:$O$314,14,FALSE)</f>
        <v>5096056.3646534383</v>
      </c>
      <c r="H199" s="399">
        <f t="shared" ref="H199:H262" si="10">G199-F199</f>
        <v>865518.70163322799</v>
      </c>
      <c r="I199" s="402">
        <v>1876297.1898641801</v>
      </c>
      <c r="J199" s="396">
        <f>VLOOKUP(B199,Synthèse!$B$6:$O$314,12,FALSE)</f>
        <v>1933906.360346796</v>
      </c>
      <c r="K199" s="399">
        <f t="shared" ref="K199:K262" si="11">J199-I199</f>
        <v>57609.17048261594</v>
      </c>
    </row>
    <row r="200" spans="1:11" ht="15" x14ac:dyDescent="0.25">
      <c r="A200" s="395">
        <v>5722</v>
      </c>
      <c r="B200" s="480" t="s">
        <v>239</v>
      </c>
      <c r="C200" s="402">
        <v>551665.42936111661</v>
      </c>
      <c r="D200" s="307">
        <f>VLOOKUP(B200,Synthèse!$B$6:$N$314,5,FALSE)</f>
        <v>395265.79968694906</v>
      </c>
      <c r="E200" s="399">
        <f t="shared" si="9"/>
        <v>-156399.62967416755</v>
      </c>
      <c r="F200" s="397">
        <v>458780.94148764148</v>
      </c>
      <c r="G200" s="396">
        <f>VLOOKUP(B200,Synthèse!$B$6:$O$314,14,FALSE)</f>
        <v>150772.67755850081</v>
      </c>
      <c r="H200" s="399">
        <f t="shared" si="10"/>
        <v>-308008.26392914064</v>
      </c>
      <c r="I200" s="402">
        <v>64893.373763772033</v>
      </c>
      <c r="J200" s="396">
        <f>VLOOKUP(B200,Synthèse!$B$6:$O$314,12,FALSE)</f>
        <v>57678.769804304706</v>
      </c>
      <c r="K200" s="399">
        <f t="shared" si="11"/>
        <v>-7214.6039594673275</v>
      </c>
    </row>
    <row r="201" spans="1:11" ht="15" x14ac:dyDescent="0.25">
      <c r="A201" s="395">
        <v>5723</v>
      </c>
      <c r="B201" s="480" t="s">
        <v>240</v>
      </c>
      <c r="C201" s="402">
        <v>16605664.982727528</v>
      </c>
      <c r="D201" s="307">
        <f>VLOOKUP(B201,Synthèse!$B$6:$N$314,5,FALSE)</f>
        <v>22008010.394518293</v>
      </c>
      <c r="E201" s="399">
        <f t="shared" si="9"/>
        <v>5402345.4117907658</v>
      </c>
      <c r="F201" s="397">
        <v>3300424.5468643066</v>
      </c>
      <c r="G201" s="396">
        <f>VLOOKUP(B201,Synthèse!$B$6:$O$314,14,FALSE)</f>
        <v>3720945.5526515264</v>
      </c>
      <c r="H201" s="399">
        <f t="shared" si="10"/>
        <v>420521.00578721985</v>
      </c>
      <c r="I201" s="402">
        <v>745132.68038954563</v>
      </c>
      <c r="J201" s="396">
        <f>VLOOKUP(B201,Synthèse!$B$6:$O$314,12,FALSE)</f>
        <v>866566.39515095961</v>
      </c>
      <c r="K201" s="399">
        <f t="shared" si="11"/>
        <v>121433.71476141398</v>
      </c>
    </row>
    <row r="202" spans="1:11" ht="15" x14ac:dyDescent="0.25">
      <c r="A202" s="395">
        <v>5724</v>
      </c>
      <c r="B202" s="480" t="s">
        <v>69</v>
      </c>
      <c r="C202" s="402">
        <v>31816174.711764991</v>
      </c>
      <c r="D202" s="307">
        <f>VLOOKUP(B202,Synthèse!$B$6:$N$314,5,FALSE)</f>
        <v>32170875.128055278</v>
      </c>
      <c r="E202" s="399">
        <f t="shared" si="9"/>
        <v>354700.41629028693</v>
      </c>
      <c r="F202" s="397">
        <v>10072773.483076138</v>
      </c>
      <c r="G202" s="396">
        <f>VLOOKUP(B202,Synthèse!$B$6:$O$314,14,FALSE)</f>
        <v>10880690.973474778</v>
      </c>
      <c r="H202" s="399">
        <f t="shared" si="10"/>
        <v>807917.49039863981</v>
      </c>
      <c r="I202" s="402">
        <v>1681600.0950771882</v>
      </c>
      <c r="J202" s="396">
        <f>VLOOKUP(B202,Synthèse!$B$6:$O$314,12,FALSE)</f>
        <v>1672747.8547700569</v>
      </c>
      <c r="K202" s="399">
        <f t="shared" si="11"/>
        <v>-8852.2403071313165</v>
      </c>
    </row>
    <row r="203" spans="1:11" ht="15" x14ac:dyDescent="0.25">
      <c r="A203" s="395">
        <v>5725</v>
      </c>
      <c r="B203" s="480" t="s">
        <v>70</v>
      </c>
      <c r="C203" s="402">
        <v>7353389.3655196549</v>
      </c>
      <c r="D203" s="307">
        <f>VLOOKUP(B203,Synthèse!$B$6:$N$314,5,FALSE)</f>
        <v>9151696.6750882342</v>
      </c>
      <c r="E203" s="399">
        <f t="shared" si="9"/>
        <v>1798307.3095685793</v>
      </c>
      <c r="F203" s="397">
        <v>4615695.2935856143</v>
      </c>
      <c r="G203" s="396">
        <f>VLOOKUP(B203,Synthèse!$B$6:$O$314,14,FALSE)</f>
        <v>5408706.6878037658</v>
      </c>
      <c r="H203" s="399">
        <f t="shared" si="10"/>
        <v>793011.39421815146</v>
      </c>
      <c r="I203" s="402">
        <v>386394.22046734102</v>
      </c>
      <c r="J203" s="396">
        <f>VLOOKUP(B203,Synthèse!$B$6:$O$314,12,FALSE)</f>
        <v>404303.00789415889</v>
      </c>
      <c r="K203" s="399">
        <f t="shared" si="11"/>
        <v>17908.787426817871</v>
      </c>
    </row>
    <row r="204" spans="1:11" ht="15" x14ac:dyDescent="0.25">
      <c r="A204" s="395">
        <v>5726</v>
      </c>
      <c r="B204" s="480" t="s">
        <v>319</v>
      </c>
      <c r="C204" s="402">
        <v>1123486.8895642955</v>
      </c>
      <c r="D204" s="307">
        <f>VLOOKUP(B204,Synthèse!$B$6:$N$314,5,FALSE)</f>
        <v>1135514.1320744064</v>
      </c>
      <c r="E204" s="399">
        <f t="shared" si="9"/>
        <v>12027.242510110838</v>
      </c>
      <c r="F204" s="397">
        <v>956934.44760766439</v>
      </c>
      <c r="G204" s="396">
        <f>VLOOKUP(B204,Synthèse!$B$6:$O$314,14,FALSE)</f>
        <v>1052788.8295491422</v>
      </c>
      <c r="H204" s="399">
        <f t="shared" si="10"/>
        <v>95854.381941477768</v>
      </c>
      <c r="I204" s="402">
        <v>171503.67306040053</v>
      </c>
      <c r="J204" s="396">
        <f>VLOOKUP(B204,Synthèse!$B$6:$O$314,12,FALSE)</f>
        <v>172384.05138122186</v>
      </c>
      <c r="K204" s="399">
        <f t="shared" si="11"/>
        <v>880.37832082132809</v>
      </c>
    </row>
    <row r="205" spans="1:11" ht="15" x14ac:dyDescent="0.25">
      <c r="A205" s="395">
        <v>5727</v>
      </c>
      <c r="B205" s="480" t="s">
        <v>320</v>
      </c>
      <c r="C205" s="402">
        <v>1924115.2382637546</v>
      </c>
      <c r="D205" s="307">
        <f>VLOOKUP(B205,Synthèse!$B$6:$N$314,5,FALSE)</f>
        <v>1784026.97135776</v>
      </c>
      <c r="E205" s="399">
        <f t="shared" si="9"/>
        <v>-140088.26690599462</v>
      </c>
      <c r="F205" s="397">
        <v>798732.25142574217</v>
      </c>
      <c r="G205" s="396">
        <f>VLOOKUP(B205,Synthèse!$B$6:$O$314,14,FALSE)</f>
        <v>422886.67534518108</v>
      </c>
      <c r="H205" s="399">
        <f t="shared" si="10"/>
        <v>-375845.57608056109</v>
      </c>
      <c r="I205" s="402">
        <v>316437.00979372824</v>
      </c>
      <c r="J205" s="396">
        <f>VLOOKUP(B205,Synthèse!$B$6:$O$314,12,FALSE)</f>
        <v>291055.57112982764</v>
      </c>
      <c r="K205" s="399">
        <f t="shared" si="11"/>
        <v>-25381.438663900597</v>
      </c>
    </row>
    <row r="206" spans="1:11" ht="15" x14ac:dyDescent="0.25">
      <c r="A206" s="395">
        <v>5728</v>
      </c>
      <c r="B206" s="480" t="s">
        <v>321</v>
      </c>
      <c r="C206" s="402">
        <v>881852.96838348557</v>
      </c>
      <c r="D206" s="307">
        <f>VLOOKUP(B206,Synthèse!$B$6:$N$314,5,FALSE)</f>
        <v>988563.30745556601</v>
      </c>
      <c r="E206" s="399">
        <f t="shared" si="9"/>
        <v>106710.33907208045</v>
      </c>
      <c r="F206" s="397">
        <v>661439.81306875614</v>
      </c>
      <c r="G206" s="396">
        <f>VLOOKUP(B206,Synthèse!$B$6:$O$314,14,FALSE)</f>
        <v>789177.68701722228</v>
      </c>
      <c r="H206" s="399">
        <f t="shared" si="10"/>
        <v>127737.87394846615</v>
      </c>
      <c r="I206" s="402">
        <v>95054.664437918153</v>
      </c>
      <c r="J206" s="396">
        <f>VLOOKUP(B206,Synthèse!$B$6:$O$314,12,FALSE)</f>
        <v>102622.59863264998</v>
      </c>
      <c r="K206" s="399">
        <f t="shared" si="11"/>
        <v>7567.9341947318317</v>
      </c>
    </row>
    <row r="207" spans="1:11" ht="15" x14ac:dyDescent="0.25">
      <c r="A207" s="395">
        <v>5729</v>
      </c>
      <c r="B207" s="480" t="s">
        <v>322</v>
      </c>
      <c r="C207" s="402">
        <v>5631479.6083539054</v>
      </c>
      <c r="D207" s="307">
        <f>VLOOKUP(B207,Synthèse!$B$6:$N$314,5,FALSE)</f>
        <v>5390006.77563449</v>
      </c>
      <c r="E207" s="399">
        <f t="shared" si="9"/>
        <v>-241472.83271941543</v>
      </c>
      <c r="F207" s="397">
        <v>2145566.2113182261</v>
      </c>
      <c r="G207" s="396">
        <f>VLOOKUP(B207,Synthèse!$B$6:$O$314,14,FALSE)</f>
        <v>2570142.3104310841</v>
      </c>
      <c r="H207" s="399">
        <f t="shared" si="10"/>
        <v>424576.09911285806</v>
      </c>
      <c r="I207" s="402">
        <v>357397.68034350267</v>
      </c>
      <c r="J207" s="396">
        <f>VLOOKUP(B207,Synthèse!$B$6:$O$314,12,FALSE)</f>
        <v>350710.88210635248</v>
      </c>
      <c r="K207" s="399">
        <f t="shared" si="11"/>
        <v>-6686.7982371501857</v>
      </c>
    </row>
    <row r="208" spans="1:11" ht="15" x14ac:dyDescent="0.25">
      <c r="A208" s="395">
        <v>5730</v>
      </c>
      <c r="B208" s="480" t="s">
        <v>323</v>
      </c>
      <c r="C208" s="402">
        <v>2546513.1575819366</v>
      </c>
      <c r="D208" s="307">
        <f>VLOOKUP(B208,Synthèse!$B$6:$N$314,5,FALSE)</f>
        <v>3494413.993921712</v>
      </c>
      <c r="E208" s="399">
        <f t="shared" si="9"/>
        <v>947900.83633977547</v>
      </c>
      <c r="F208" s="397">
        <v>1784798.6655939668</v>
      </c>
      <c r="G208" s="396">
        <f>VLOOKUP(B208,Synthèse!$B$6:$O$314,14,FALSE)</f>
        <v>2412252.1417919486</v>
      </c>
      <c r="H208" s="399">
        <f t="shared" si="10"/>
        <v>627453.47619798174</v>
      </c>
      <c r="I208" s="402">
        <v>251911.26327618468</v>
      </c>
      <c r="J208" s="396">
        <f>VLOOKUP(B208,Synthèse!$B$6:$O$314,12,FALSE)</f>
        <v>285642.80861478817</v>
      </c>
      <c r="K208" s="399">
        <f t="shared" si="11"/>
        <v>33731.545338603493</v>
      </c>
    </row>
    <row r="209" spans="1:11" ht="15" x14ac:dyDescent="0.25">
      <c r="A209" s="395">
        <v>5731</v>
      </c>
      <c r="B209" s="480" t="s">
        <v>324</v>
      </c>
      <c r="C209" s="402">
        <v>984534.79538022692</v>
      </c>
      <c r="D209" s="307">
        <f>VLOOKUP(B209,Synthèse!$B$6:$N$314,5,FALSE)</f>
        <v>1281018.5246417532</v>
      </c>
      <c r="E209" s="399">
        <f t="shared" si="9"/>
        <v>296483.72926152626</v>
      </c>
      <c r="F209" s="397">
        <v>525595.30506636691</v>
      </c>
      <c r="G209" s="396">
        <f>VLOOKUP(B209,Synthèse!$B$6:$O$314,14,FALSE)</f>
        <v>829723.03541572636</v>
      </c>
      <c r="H209" s="399">
        <f t="shared" si="10"/>
        <v>304127.73034935945</v>
      </c>
      <c r="I209" s="402">
        <v>161049.09585288572</v>
      </c>
      <c r="J209" s="396">
        <f>VLOOKUP(B209,Synthèse!$B$6:$O$314,12,FALSE)</f>
        <v>190593.70097677829</v>
      </c>
      <c r="K209" s="399">
        <f t="shared" si="11"/>
        <v>29544.605123892572</v>
      </c>
    </row>
    <row r="210" spans="1:11" ht="15" x14ac:dyDescent="0.25">
      <c r="A210" s="395">
        <v>5732</v>
      </c>
      <c r="B210" s="480" t="s">
        <v>325</v>
      </c>
      <c r="C210" s="402">
        <v>1499571.687181856</v>
      </c>
      <c r="D210" s="307">
        <f>VLOOKUP(B210,Synthèse!$B$6:$N$314,5,FALSE)</f>
        <v>1336258.4581317299</v>
      </c>
      <c r="E210" s="399">
        <f t="shared" si="9"/>
        <v>-163313.22905012616</v>
      </c>
      <c r="F210" s="397">
        <v>310171.39407118899</v>
      </c>
      <c r="G210" s="396">
        <f>VLOOKUP(B210,Synthèse!$B$6:$O$314,14,FALSE)</f>
        <v>1125451.4343375061</v>
      </c>
      <c r="H210" s="399">
        <f t="shared" si="10"/>
        <v>815280.04026631708</v>
      </c>
      <c r="I210" s="402">
        <v>165383.37103536329</v>
      </c>
      <c r="J210" s="396">
        <f>VLOOKUP(B210,Synthèse!$B$6:$O$314,12,FALSE)</f>
        <v>170930.9853317641</v>
      </c>
      <c r="K210" s="399">
        <f t="shared" si="11"/>
        <v>5547.6142964008031</v>
      </c>
    </row>
    <row r="211" spans="1:11" ht="15" x14ac:dyDescent="0.25">
      <c r="A211" s="395">
        <v>5741</v>
      </c>
      <c r="B211" s="480" t="s">
        <v>326</v>
      </c>
      <c r="C211" s="402">
        <v>136269.30453372482</v>
      </c>
      <c r="D211" s="307">
        <f>VLOOKUP(B211,Synthèse!$B$6:$N$314,5,FALSE)</f>
        <v>128829.49801022008</v>
      </c>
      <c r="E211" s="399">
        <f t="shared" si="9"/>
        <v>-7439.8065235047397</v>
      </c>
      <c r="F211" s="397">
        <v>-93252.362323601847</v>
      </c>
      <c r="G211" s="396">
        <f>VLOOKUP(B211,Synthèse!$B$6:$O$314,14,FALSE)</f>
        <v>-119856.61158629967</v>
      </c>
      <c r="H211" s="399">
        <f t="shared" si="10"/>
        <v>-26604.24926269782</v>
      </c>
      <c r="I211" s="402">
        <v>20924.616164385687</v>
      </c>
      <c r="J211" s="396">
        <f>VLOOKUP(B211,Synthèse!$B$6:$O$314,12,FALSE)</f>
        <v>21817.014183758685</v>
      </c>
      <c r="K211" s="399">
        <f t="shared" si="11"/>
        <v>892.39801937299853</v>
      </c>
    </row>
    <row r="212" spans="1:11" ht="15" x14ac:dyDescent="0.25">
      <c r="A212" s="395">
        <v>5742</v>
      </c>
      <c r="B212" s="480" t="s">
        <v>327</v>
      </c>
      <c r="C212" s="402">
        <v>184354.17384121992</v>
      </c>
      <c r="D212" s="307">
        <f>VLOOKUP(B212,Synthèse!$B$6:$N$314,5,FALSE)</f>
        <v>166023.15167257306</v>
      </c>
      <c r="E212" s="399">
        <f t="shared" si="9"/>
        <v>-18331.022168646858</v>
      </c>
      <c r="F212" s="397">
        <v>24881.441733090651</v>
      </c>
      <c r="G212" s="396">
        <f>VLOOKUP(B212,Synthèse!$B$6:$O$314,14,FALSE)</f>
        <v>-55857.755689956612</v>
      </c>
      <c r="H212" s="399">
        <f t="shared" si="10"/>
        <v>-80739.19742304727</v>
      </c>
      <c r="I212" s="402">
        <v>29599.393229868536</v>
      </c>
      <c r="J212" s="396">
        <f>VLOOKUP(B212,Synthèse!$B$6:$O$314,12,FALSE)</f>
        <v>27407.017837444873</v>
      </c>
      <c r="K212" s="399">
        <f t="shared" si="11"/>
        <v>-2192.3753924236626</v>
      </c>
    </row>
    <row r="213" spans="1:11" ht="15" x14ac:dyDescent="0.25">
      <c r="A213" s="395">
        <v>5743</v>
      </c>
      <c r="B213" s="480" t="s">
        <v>265</v>
      </c>
      <c r="C213" s="402">
        <v>361919.08560947113</v>
      </c>
      <c r="D213" s="307">
        <f>VLOOKUP(B213,Synthèse!$B$6:$N$314,5,FALSE)</f>
        <v>388144.42471080861</v>
      </c>
      <c r="E213" s="399">
        <f t="shared" si="9"/>
        <v>26225.339101337478</v>
      </c>
      <c r="F213" s="397">
        <v>-82022.005998080276</v>
      </c>
      <c r="G213" s="396">
        <f>VLOOKUP(B213,Synthèse!$B$6:$O$314,14,FALSE)</f>
        <v>-1935.5192081330169</v>
      </c>
      <c r="H213" s="399">
        <f t="shared" si="10"/>
        <v>80086.486789947259</v>
      </c>
      <c r="I213" s="402">
        <v>55877.589809998695</v>
      </c>
      <c r="J213" s="396">
        <f>VLOOKUP(B213,Synthèse!$B$6:$O$314,12,FALSE)</f>
        <v>58335.948119058645</v>
      </c>
      <c r="K213" s="399">
        <f t="shared" si="11"/>
        <v>2458.3583090599495</v>
      </c>
    </row>
    <row r="214" spans="1:11" ht="15" x14ac:dyDescent="0.25">
      <c r="A214" s="395">
        <v>5744</v>
      </c>
      <c r="B214" s="480" t="s">
        <v>266</v>
      </c>
      <c r="C214" s="402">
        <v>1248414.0925247436</v>
      </c>
      <c r="D214" s="307">
        <f>VLOOKUP(B214,Synthèse!$B$6:$N$314,5,FALSE)</f>
        <v>1645790.0207955574</v>
      </c>
      <c r="E214" s="399">
        <f t="shared" si="9"/>
        <v>397375.92827081378</v>
      </c>
      <c r="F214" s="397">
        <v>460935.23267402989</v>
      </c>
      <c r="G214" s="396">
        <f>VLOOKUP(B214,Synthèse!$B$6:$O$314,14,FALSE)</f>
        <v>837064.52498756279</v>
      </c>
      <c r="H214" s="399">
        <f t="shared" si="10"/>
        <v>376129.2923135329</v>
      </c>
      <c r="I214" s="402">
        <v>156585.02763147821</v>
      </c>
      <c r="J214" s="396">
        <f>VLOOKUP(B214,Synthèse!$B$6:$O$314,12,FALSE)</f>
        <v>172477.43700924757</v>
      </c>
      <c r="K214" s="399">
        <f t="shared" si="11"/>
        <v>15892.409377769363</v>
      </c>
    </row>
    <row r="215" spans="1:11" ht="15" x14ac:dyDescent="0.25">
      <c r="A215" s="395">
        <v>5745</v>
      </c>
      <c r="B215" s="480" t="s">
        <v>267</v>
      </c>
      <c r="C215" s="402">
        <v>493979.60794915608</v>
      </c>
      <c r="D215" s="307">
        <f>VLOOKUP(B215,Synthèse!$B$6:$N$314,5,FALSE)</f>
        <v>523058.70162877341</v>
      </c>
      <c r="E215" s="399">
        <f t="shared" si="9"/>
        <v>29079.093679617334</v>
      </c>
      <c r="F215" s="397">
        <v>-369842.92898450705</v>
      </c>
      <c r="G215" s="396">
        <f>VLOOKUP(B215,Synthèse!$B$6:$O$314,14,FALSE)</f>
        <v>-385508.85293682106</v>
      </c>
      <c r="H215" s="399">
        <f t="shared" si="10"/>
        <v>-15665.923952314013</v>
      </c>
      <c r="I215" s="402">
        <v>80497.311215030961</v>
      </c>
      <c r="J215" s="396">
        <f>VLOOKUP(B215,Synthèse!$B$6:$O$314,12,FALSE)</f>
        <v>85240.58091964433</v>
      </c>
      <c r="K215" s="399">
        <f t="shared" si="11"/>
        <v>4743.269704613369</v>
      </c>
    </row>
    <row r="216" spans="1:11" ht="15" x14ac:dyDescent="0.25">
      <c r="A216" s="395">
        <v>5746</v>
      </c>
      <c r="B216" s="480" t="s">
        <v>268</v>
      </c>
      <c r="C216" s="402">
        <v>484579.36935321346</v>
      </c>
      <c r="D216" s="307">
        <f>VLOOKUP(B216,Synthèse!$B$6:$N$314,5,FALSE)</f>
        <v>491285.32843917364</v>
      </c>
      <c r="E216" s="399">
        <f t="shared" si="9"/>
        <v>6705.959085960174</v>
      </c>
      <c r="F216" s="397">
        <v>-155602.58134939955</v>
      </c>
      <c r="G216" s="396">
        <f>VLOOKUP(B216,Synthèse!$B$6:$O$314,14,FALSE)</f>
        <v>-182317.9215931746</v>
      </c>
      <c r="H216" s="399">
        <f t="shared" si="10"/>
        <v>-26715.340243775048</v>
      </c>
      <c r="I216" s="402">
        <v>79568.561922702313</v>
      </c>
      <c r="J216" s="396">
        <f>VLOOKUP(B216,Synthèse!$B$6:$O$314,12,FALSE)</f>
        <v>79140.382094986373</v>
      </c>
      <c r="K216" s="399">
        <f t="shared" si="11"/>
        <v>-428.17982771593961</v>
      </c>
    </row>
    <row r="217" spans="1:11" ht="15" x14ac:dyDescent="0.25">
      <c r="A217" s="395">
        <v>5747</v>
      </c>
      <c r="B217" s="480" t="s">
        <v>269</v>
      </c>
      <c r="C217" s="402">
        <v>85731.946844072532</v>
      </c>
      <c r="D217" s="307">
        <f>VLOOKUP(B217,Synthèse!$B$6:$N$314,5,FALSE)</f>
        <v>94332.197466748679</v>
      </c>
      <c r="E217" s="399">
        <f t="shared" si="9"/>
        <v>8600.250622676147</v>
      </c>
      <c r="F217" s="397">
        <v>17031.202856559328</v>
      </c>
      <c r="G217" s="396">
        <f>VLOOKUP(B217,Synthèse!$B$6:$O$314,14,FALSE)</f>
        <v>-199690.42816389742</v>
      </c>
      <c r="H217" s="399">
        <f t="shared" si="10"/>
        <v>-216721.63102045676</v>
      </c>
      <c r="I217" s="402">
        <v>17029.945533396396</v>
      </c>
      <c r="J217" s="396">
        <f>VLOOKUP(B217,Synthèse!$B$6:$O$314,12,FALSE)</f>
        <v>18040.322084983145</v>
      </c>
      <c r="K217" s="399">
        <f t="shared" si="11"/>
        <v>1010.376551586749</v>
      </c>
    </row>
    <row r="218" spans="1:11" ht="15" x14ac:dyDescent="0.25">
      <c r="A218" s="395">
        <v>5748</v>
      </c>
      <c r="B218" s="480" t="s">
        <v>270</v>
      </c>
      <c r="C218" s="402">
        <v>229779.38873690442</v>
      </c>
      <c r="D218" s="307">
        <f>VLOOKUP(B218,Synthèse!$B$6:$N$314,5,FALSE)</f>
        <v>123795.88284568535</v>
      </c>
      <c r="E218" s="399">
        <f t="shared" si="9"/>
        <v>-105983.50589121907</v>
      </c>
      <c r="F218" s="397">
        <v>-8736.4753928893551</v>
      </c>
      <c r="G218" s="396">
        <f>VLOOKUP(B218,Synthèse!$B$6:$O$314,14,FALSE)</f>
        <v>-49770.033819971926</v>
      </c>
      <c r="H218" s="399">
        <f t="shared" si="10"/>
        <v>-41033.558427082571</v>
      </c>
      <c r="I218" s="402">
        <v>24220.711093709851</v>
      </c>
      <c r="J218" s="396">
        <f>VLOOKUP(B218,Synthèse!$B$6:$O$314,12,FALSE)</f>
        <v>22291.005008915039</v>
      </c>
      <c r="K218" s="399">
        <f t="shared" si="11"/>
        <v>-1929.7060847948123</v>
      </c>
    </row>
    <row r="219" spans="1:11" ht="15" x14ac:dyDescent="0.25">
      <c r="A219" s="395">
        <v>5749</v>
      </c>
      <c r="B219" s="480" t="s">
        <v>271</v>
      </c>
      <c r="C219" s="402">
        <v>2560278.8663164536</v>
      </c>
      <c r="D219" s="307">
        <f>VLOOKUP(B219,Synthèse!$B$6:$N$314,5,FALSE)</f>
        <v>2571598.1346419598</v>
      </c>
      <c r="E219" s="399">
        <f t="shared" si="9"/>
        <v>11319.268325506244</v>
      </c>
      <c r="F219" s="397">
        <v>-1439713.9486627425</v>
      </c>
      <c r="G219" s="396">
        <f>VLOOKUP(B219,Synthèse!$B$6:$O$314,14,FALSE)</f>
        <v>-2096934.3561079931</v>
      </c>
      <c r="H219" s="399">
        <f t="shared" si="10"/>
        <v>-657220.40744525054</v>
      </c>
      <c r="I219" s="402">
        <v>422524.7650667571</v>
      </c>
      <c r="J219" s="396">
        <f>VLOOKUP(B219,Synthèse!$B$6:$O$314,12,FALSE)</f>
        <v>400510.11469128611</v>
      </c>
      <c r="K219" s="399">
        <f t="shared" si="11"/>
        <v>-22014.650375470985</v>
      </c>
    </row>
    <row r="220" spans="1:11" ht="15" x14ac:dyDescent="0.25">
      <c r="A220" s="395">
        <v>5750</v>
      </c>
      <c r="B220" s="480" t="s">
        <v>272</v>
      </c>
      <c r="C220" s="402">
        <v>89580.313435661956</v>
      </c>
      <c r="D220" s="307">
        <f>VLOOKUP(B220,Synthèse!$B$6:$N$314,5,FALSE)</f>
        <v>77966.649104431359</v>
      </c>
      <c r="E220" s="399">
        <f t="shared" si="9"/>
        <v>-11613.664331230597</v>
      </c>
      <c r="F220" s="397">
        <v>-11070.484944300313</v>
      </c>
      <c r="G220" s="396">
        <f>VLOOKUP(B220,Synthèse!$B$6:$O$314,14,FALSE)</f>
        <v>-72899.459212090791</v>
      </c>
      <c r="H220" s="399">
        <f t="shared" si="10"/>
        <v>-61828.97426779048</v>
      </c>
      <c r="I220" s="402">
        <v>16043.785009741274</v>
      </c>
      <c r="J220" s="396">
        <f>VLOOKUP(B220,Synthèse!$B$6:$O$314,12,FALSE)</f>
        <v>15542.930329896173</v>
      </c>
      <c r="K220" s="399">
        <f t="shared" si="11"/>
        <v>-500.85467984510069</v>
      </c>
    </row>
    <row r="221" spans="1:11" ht="15" x14ac:dyDescent="0.25">
      <c r="A221" s="395">
        <v>5752</v>
      </c>
      <c r="B221" s="480" t="s">
        <v>332</v>
      </c>
      <c r="C221" s="402">
        <v>198367.19548325497</v>
      </c>
      <c r="D221" s="307">
        <f>VLOOKUP(B221,Synthèse!$B$6:$N$314,5,FALSE)</f>
        <v>167561.08822422492</v>
      </c>
      <c r="E221" s="399">
        <f t="shared" si="9"/>
        <v>-30806.107259030046</v>
      </c>
      <c r="F221" s="397">
        <v>-54015.45163005931</v>
      </c>
      <c r="G221" s="396">
        <f>VLOOKUP(B221,Synthèse!$B$6:$O$314,14,FALSE)</f>
        <v>-142491.80474496647</v>
      </c>
      <c r="H221" s="399">
        <f t="shared" si="10"/>
        <v>-88476.353114907164</v>
      </c>
      <c r="I221" s="402">
        <v>35451.412099482062</v>
      </c>
      <c r="J221" s="396">
        <f>VLOOKUP(B221,Synthèse!$B$6:$O$314,12,FALSE)</f>
        <v>29384.895543615035</v>
      </c>
      <c r="K221" s="399">
        <f t="shared" si="11"/>
        <v>-6066.5165558670269</v>
      </c>
    </row>
    <row r="222" spans="1:11" ht="15" x14ac:dyDescent="0.25">
      <c r="A222" s="395">
        <v>5754</v>
      </c>
      <c r="B222" s="480" t="s">
        <v>333</v>
      </c>
      <c r="C222" s="402">
        <v>132948.00919361884</v>
      </c>
      <c r="D222" s="307">
        <f>VLOOKUP(B222,Synthèse!$B$6:$N$314,5,FALSE)</f>
        <v>138621.41611477477</v>
      </c>
      <c r="E222" s="399">
        <f t="shared" si="9"/>
        <v>5673.4069211559254</v>
      </c>
      <c r="F222" s="397">
        <v>-78484.0303250617</v>
      </c>
      <c r="G222" s="396">
        <f>VLOOKUP(B222,Synthèse!$B$6:$O$314,14,FALSE)</f>
        <v>-44083.807534863146</v>
      </c>
      <c r="H222" s="399">
        <f t="shared" si="10"/>
        <v>34400.222790198553</v>
      </c>
      <c r="I222" s="402">
        <v>25906.193604358283</v>
      </c>
      <c r="J222" s="396">
        <f>VLOOKUP(B222,Synthèse!$B$6:$O$314,12,FALSE)</f>
        <v>28439.256201344127</v>
      </c>
      <c r="K222" s="399">
        <f t="shared" si="11"/>
        <v>2533.0625969858447</v>
      </c>
    </row>
    <row r="223" spans="1:11" ht="15" x14ac:dyDescent="0.25">
      <c r="A223" s="395">
        <v>5755</v>
      </c>
      <c r="B223" s="480" t="s">
        <v>334</v>
      </c>
      <c r="C223" s="402">
        <v>170423.16520237137</v>
      </c>
      <c r="D223" s="307">
        <f>VLOOKUP(B223,Synthèse!$B$6:$N$314,5,FALSE)</f>
        <v>201685.79863653483</v>
      </c>
      <c r="E223" s="399">
        <f t="shared" si="9"/>
        <v>31262.633434163465</v>
      </c>
      <c r="F223" s="397">
        <v>-287280.49225558835</v>
      </c>
      <c r="G223" s="396">
        <f>VLOOKUP(B223,Synthèse!$B$6:$O$314,14,FALSE)</f>
        <v>-265432.48318277142</v>
      </c>
      <c r="H223" s="399">
        <f t="shared" si="10"/>
        <v>21848.009072816931</v>
      </c>
      <c r="I223" s="402">
        <v>29250.780046498643</v>
      </c>
      <c r="J223" s="396">
        <f>VLOOKUP(B223,Synthèse!$B$6:$O$314,12,FALSE)</f>
        <v>29829.507842079031</v>
      </c>
      <c r="K223" s="399">
        <f t="shared" si="11"/>
        <v>578.72779558038746</v>
      </c>
    </row>
    <row r="224" spans="1:11" ht="15" x14ac:dyDescent="0.25">
      <c r="A224" s="395">
        <v>5756</v>
      </c>
      <c r="B224" s="480" t="s">
        <v>335</v>
      </c>
      <c r="C224" s="402">
        <v>314846.12390704616</v>
      </c>
      <c r="D224" s="307">
        <f>VLOOKUP(B224,Synthèse!$B$6:$N$314,5,FALSE)</f>
        <v>269757.22788697167</v>
      </c>
      <c r="E224" s="399">
        <f t="shared" si="9"/>
        <v>-45088.896020074491</v>
      </c>
      <c r="F224" s="397">
        <v>198842.00899259505</v>
      </c>
      <c r="G224" s="396">
        <f>VLOOKUP(B224,Synthèse!$B$6:$O$314,14,FALSE)</f>
        <v>51703.185137698369</v>
      </c>
      <c r="H224" s="399">
        <f t="shared" si="10"/>
        <v>-147138.82385489668</v>
      </c>
      <c r="I224" s="402">
        <v>23924.934580159614</v>
      </c>
      <c r="J224" s="396">
        <f>VLOOKUP(B224,Synthèse!$B$6:$O$314,12,FALSE)</f>
        <v>19587.150504685462</v>
      </c>
      <c r="K224" s="399">
        <f t="shared" si="11"/>
        <v>-4337.7840754741519</v>
      </c>
    </row>
    <row r="225" spans="1:11" ht="15" x14ac:dyDescent="0.25">
      <c r="A225" s="395">
        <v>5757</v>
      </c>
      <c r="B225" s="480" t="s">
        <v>336</v>
      </c>
      <c r="C225" s="402">
        <v>4310704.1591748865</v>
      </c>
      <c r="D225" s="307">
        <f>VLOOKUP(B225,Synthèse!$B$6:$N$314,5,FALSE)</f>
        <v>4213510.0680503491</v>
      </c>
      <c r="E225" s="399">
        <f t="shared" si="9"/>
        <v>-97194.091124537401</v>
      </c>
      <c r="F225" s="397">
        <v>-3584533.1535895974</v>
      </c>
      <c r="G225" s="396">
        <f>VLOOKUP(B225,Synthèse!$B$6:$O$314,14,FALSE)</f>
        <v>-3540100.9641163223</v>
      </c>
      <c r="H225" s="399">
        <f t="shared" si="10"/>
        <v>44432.189473275095</v>
      </c>
      <c r="I225" s="402">
        <v>253503.50113283825</v>
      </c>
      <c r="J225" s="396">
        <f>VLOOKUP(B225,Synthèse!$B$6:$O$314,12,FALSE)</f>
        <v>242764.43144350738</v>
      </c>
      <c r="K225" s="399">
        <f t="shared" si="11"/>
        <v>-10739.069689330878</v>
      </c>
    </row>
    <row r="226" spans="1:11" ht="15" x14ac:dyDescent="0.25">
      <c r="A226" s="395">
        <v>5758</v>
      </c>
      <c r="B226" s="480" t="s">
        <v>217</v>
      </c>
      <c r="C226" s="402">
        <v>77137.152092210687</v>
      </c>
      <c r="D226" s="307">
        <f>VLOOKUP(B226,Synthèse!$B$6:$N$314,5,FALSE)</f>
        <v>96198.371629264817</v>
      </c>
      <c r="E226" s="399">
        <f t="shared" si="9"/>
        <v>19061.21953705413</v>
      </c>
      <c r="F226" s="397">
        <v>-85744.986727701413</v>
      </c>
      <c r="G226" s="396">
        <f>VLOOKUP(B226,Synthèse!$B$6:$O$314,14,FALSE)</f>
        <v>-51088.729980201722</v>
      </c>
      <c r="H226" s="399">
        <f t="shared" si="10"/>
        <v>34656.25674749969</v>
      </c>
      <c r="I226" s="402">
        <v>10045.72624081546</v>
      </c>
      <c r="J226" s="396">
        <f>VLOOKUP(B226,Synthèse!$B$6:$O$314,12,FALSE)</f>
        <v>13752.317783423443</v>
      </c>
      <c r="K226" s="399">
        <f t="shared" si="11"/>
        <v>3706.5915426079828</v>
      </c>
    </row>
    <row r="227" spans="1:11" ht="15" x14ac:dyDescent="0.25">
      <c r="A227" s="395">
        <v>5759</v>
      </c>
      <c r="B227" s="480" t="s">
        <v>218</v>
      </c>
      <c r="C227" s="402">
        <v>94133.263274328579</v>
      </c>
      <c r="D227" s="307">
        <f>VLOOKUP(B227,Synthèse!$B$6:$N$314,5,FALSE)</f>
        <v>89865.879315744372</v>
      </c>
      <c r="E227" s="399">
        <f t="shared" si="9"/>
        <v>-4267.383958584207</v>
      </c>
      <c r="F227" s="397">
        <v>-86832.31274145862</v>
      </c>
      <c r="G227" s="396">
        <f>VLOOKUP(B227,Synthèse!$B$6:$O$314,14,FALSE)</f>
        <v>-99765.26788834222</v>
      </c>
      <c r="H227" s="399">
        <f t="shared" si="10"/>
        <v>-12932.9551468836</v>
      </c>
      <c r="I227" s="402">
        <v>14955.169357602193</v>
      </c>
      <c r="J227" s="396">
        <f>VLOOKUP(B227,Synthèse!$B$6:$O$314,12,FALSE)</f>
        <v>16099.195995936196</v>
      </c>
      <c r="K227" s="399">
        <f t="shared" si="11"/>
        <v>1144.0266383340022</v>
      </c>
    </row>
    <row r="228" spans="1:11" ht="15" x14ac:dyDescent="0.25">
      <c r="A228" s="395">
        <v>5760</v>
      </c>
      <c r="B228" s="480" t="s">
        <v>219</v>
      </c>
      <c r="C228" s="402">
        <v>187757.81825780973</v>
      </c>
      <c r="D228" s="307">
        <f>VLOOKUP(B228,Synthèse!$B$6:$N$314,5,FALSE)</f>
        <v>198380.46947498462</v>
      </c>
      <c r="E228" s="399">
        <f t="shared" si="9"/>
        <v>10622.651217174891</v>
      </c>
      <c r="F228" s="397">
        <v>-386475.63567655196</v>
      </c>
      <c r="G228" s="396">
        <f>VLOOKUP(B228,Synthèse!$B$6:$O$314,14,FALSE)</f>
        <v>-208843.91148257611</v>
      </c>
      <c r="H228" s="399">
        <f t="shared" si="10"/>
        <v>177631.72419397585</v>
      </c>
      <c r="I228" s="402">
        <v>32683.860847015843</v>
      </c>
      <c r="J228" s="396">
        <f>VLOOKUP(B228,Synthèse!$B$6:$O$314,12,FALSE)</f>
        <v>37760.744423919568</v>
      </c>
      <c r="K228" s="399">
        <f t="shared" si="11"/>
        <v>5076.883576903725</v>
      </c>
    </row>
    <row r="229" spans="1:11" ht="15" x14ac:dyDescent="0.25">
      <c r="A229" s="395">
        <v>5761</v>
      </c>
      <c r="B229" s="480" t="s">
        <v>135</v>
      </c>
      <c r="C229" s="402">
        <v>260522.60109633056</v>
      </c>
      <c r="D229" s="307">
        <f>VLOOKUP(B229,Synthèse!$B$6:$N$314,5,FALSE)</f>
        <v>252542.98191184737</v>
      </c>
      <c r="E229" s="399">
        <f t="shared" si="9"/>
        <v>-7979.6191844831919</v>
      </c>
      <c r="F229" s="397">
        <v>-206929.37637982966</v>
      </c>
      <c r="G229" s="396">
        <f>VLOOKUP(B229,Synthèse!$B$6:$O$314,14,FALSE)</f>
        <v>-291841.78419240564</v>
      </c>
      <c r="H229" s="399">
        <f t="shared" si="10"/>
        <v>-84912.407812575984</v>
      </c>
      <c r="I229" s="402">
        <v>40335.877103319915</v>
      </c>
      <c r="J229" s="396">
        <f>VLOOKUP(B229,Synthèse!$B$6:$O$314,12,FALSE)</f>
        <v>37033.835935007686</v>
      </c>
      <c r="K229" s="399">
        <f t="shared" si="11"/>
        <v>-3302.0411683122293</v>
      </c>
    </row>
    <row r="230" spans="1:11" ht="15" x14ac:dyDescent="0.25">
      <c r="A230" s="395">
        <v>5762</v>
      </c>
      <c r="B230" s="480" t="s">
        <v>136</v>
      </c>
      <c r="C230" s="402">
        <v>66077.673805066632</v>
      </c>
      <c r="D230" s="307">
        <f>VLOOKUP(B230,Synthèse!$B$6:$N$314,5,FALSE)</f>
        <v>62495.94970040935</v>
      </c>
      <c r="E230" s="399">
        <f t="shared" si="9"/>
        <v>-3581.7241046572817</v>
      </c>
      <c r="F230" s="397">
        <v>7627.619005917305</v>
      </c>
      <c r="G230" s="396">
        <f>VLOOKUP(B230,Synthèse!$B$6:$O$314,14,FALSE)</f>
        <v>-7568.5995099916727</v>
      </c>
      <c r="H230" s="399">
        <f t="shared" si="10"/>
        <v>-15196.218515908979</v>
      </c>
      <c r="I230" s="402">
        <v>12665.350088652012</v>
      </c>
      <c r="J230" s="396">
        <f>VLOOKUP(B230,Synthèse!$B$6:$O$314,12,FALSE)</f>
        <v>12285.371113230547</v>
      </c>
      <c r="K230" s="399">
        <f t="shared" si="11"/>
        <v>-379.97897542146529</v>
      </c>
    </row>
    <row r="231" spans="1:11" ht="15" x14ac:dyDescent="0.25">
      <c r="A231" s="395">
        <v>5763</v>
      </c>
      <c r="B231" s="480" t="s">
        <v>137</v>
      </c>
      <c r="C231" s="402">
        <v>355721.38961096347</v>
      </c>
      <c r="D231" s="307">
        <f>VLOOKUP(B231,Synthèse!$B$6:$N$314,5,FALSE)</f>
        <v>351134.31905957498</v>
      </c>
      <c r="E231" s="399">
        <f t="shared" si="9"/>
        <v>-4587.0705513884895</v>
      </c>
      <c r="F231" s="397">
        <v>62164.275469227941</v>
      </c>
      <c r="G231" s="396">
        <f>VLOOKUP(B231,Synthèse!$B$6:$O$314,14,FALSE)</f>
        <v>127326.42534061143</v>
      </c>
      <c r="H231" s="399">
        <f t="shared" si="10"/>
        <v>65162.149871383488</v>
      </c>
      <c r="I231" s="402">
        <v>63581.910060234877</v>
      </c>
      <c r="J231" s="396">
        <f>VLOOKUP(B231,Synthèse!$B$6:$O$314,12,FALSE)</f>
        <v>67157.506025641851</v>
      </c>
      <c r="K231" s="399">
        <f t="shared" si="11"/>
        <v>3575.5959654069738</v>
      </c>
    </row>
    <row r="232" spans="1:11" ht="15" x14ac:dyDescent="0.25">
      <c r="A232" s="395">
        <v>5764</v>
      </c>
      <c r="B232" s="480" t="s">
        <v>337</v>
      </c>
      <c r="C232" s="402">
        <v>2062750.9270199342</v>
      </c>
      <c r="D232" s="307">
        <f>VLOOKUP(B232,Synthèse!$B$6:$N$314,5,FALSE)</f>
        <v>2288638.4919502418</v>
      </c>
      <c r="E232" s="399">
        <f t="shared" si="9"/>
        <v>225887.56493030768</v>
      </c>
      <c r="F232" s="397">
        <v>-3690002.4444289459</v>
      </c>
      <c r="G232" s="396">
        <f>VLOOKUP(B232,Synthèse!$B$6:$O$314,14,FALSE)</f>
        <v>-3709013.0715369629</v>
      </c>
      <c r="H232" s="399">
        <f t="shared" si="10"/>
        <v>-19010.627108016983</v>
      </c>
      <c r="I232" s="402">
        <v>256133.56119384133</v>
      </c>
      <c r="J232" s="396">
        <f>VLOOKUP(B232,Synthèse!$B$6:$O$314,12,FALSE)</f>
        <v>267613.98240193789</v>
      </c>
      <c r="K232" s="399">
        <f t="shared" si="11"/>
        <v>11480.421208096552</v>
      </c>
    </row>
    <row r="233" spans="1:11" ht="15" x14ac:dyDescent="0.25">
      <c r="A233" s="395">
        <v>5765</v>
      </c>
      <c r="B233" s="480" t="s">
        <v>338</v>
      </c>
      <c r="C233" s="402">
        <v>175008.82158023451</v>
      </c>
      <c r="D233" s="307">
        <f>VLOOKUP(B233,Synthèse!$B$6:$N$314,5,FALSE)</f>
        <v>225929.08548712567</v>
      </c>
      <c r="E233" s="399">
        <f t="shared" si="9"/>
        <v>50920.263906891167</v>
      </c>
      <c r="F233" s="397">
        <v>-361863.71306950838</v>
      </c>
      <c r="G233" s="396">
        <f>VLOOKUP(B233,Synthèse!$B$6:$O$314,14,FALSE)</f>
        <v>-251074.5374816808</v>
      </c>
      <c r="H233" s="399">
        <f t="shared" si="10"/>
        <v>110789.17558782757</v>
      </c>
      <c r="I233" s="402">
        <v>30148.754507767451</v>
      </c>
      <c r="J233" s="396">
        <f>VLOOKUP(B233,Synthèse!$B$6:$O$314,12,FALSE)</f>
        <v>36639.946831161353</v>
      </c>
      <c r="K233" s="399">
        <f t="shared" si="11"/>
        <v>6491.1923233939015</v>
      </c>
    </row>
    <row r="234" spans="1:11" ht="15" x14ac:dyDescent="0.25">
      <c r="A234" s="395">
        <v>5766</v>
      </c>
      <c r="B234" s="480" t="s">
        <v>339</v>
      </c>
      <c r="C234" s="402">
        <v>249121.48614509392</v>
      </c>
      <c r="D234" s="307">
        <f>VLOOKUP(B234,Synthèse!$B$6:$N$314,5,FALSE)</f>
        <v>252685.96149867956</v>
      </c>
      <c r="E234" s="399">
        <f t="shared" si="9"/>
        <v>3564.4753535856435</v>
      </c>
      <c r="F234" s="397">
        <v>-211833.72509987082</v>
      </c>
      <c r="G234" s="396">
        <f>VLOOKUP(B234,Synthèse!$B$6:$O$314,14,FALSE)</f>
        <v>-198773.10125319834</v>
      </c>
      <c r="H234" s="399">
        <f t="shared" si="10"/>
        <v>13060.623846672475</v>
      </c>
      <c r="I234" s="402">
        <v>40580.3110653888</v>
      </c>
      <c r="J234" s="396">
        <f>VLOOKUP(B234,Synthèse!$B$6:$O$314,12,FALSE)</f>
        <v>42375.000944595078</v>
      </c>
      <c r="K234" s="399">
        <f t="shared" si="11"/>
        <v>1794.6898792062784</v>
      </c>
    </row>
    <row r="235" spans="1:11" ht="15" x14ac:dyDescent="0.25">
      <c r="A235" s="395">
        <v>5785</v>
      </c>
      <c r="B235" s="480" t="s">
        <v>279</v>
      </c>
      <c r="C235" s="402">
        <v>279746.82579684327</v>
      </c>
      <c r="D235" s="307">
        <f>VLOOKUP(B235,Synthèse!$B$6:$N$314,5,FALSE)</f>
        <v>294991.75356166507</v>
      </c>
      <c r="E235" s="399">
        <f t="shared" si="9"/>
        <v>15244.927764821798</v>
      </c>
      <c r="F235" s="397">
        <v>122653.51454506371</v>
      </c>
      <c r="G235" s="396">
        <f>VLOOKUP(B235,Synthèse!$B$6:$O$314,14,FALSE)</f>
        <v>98574.736429620782</v>
      </c>
      <c r="H235" s="399">
        <f t="shared" si="10"/>
        <v>-24078.778115442925</v>
      </c>
      <c r="I235" s="402">
        <v>49269.512760635203</v>
      </c>
      <c r="J235" s="396">
        <f>VLOOKUP(B235,Synthèse!$B$6:$O$314,12,FALSE)</f>
        <v>52374.986067987811</v>
      </c>
      <c r="K235" s="399">
        <f t="shared" si="11"/>
        <v>3105.4733073526077</v>
      </c>
    </row>
    <row r="236" spans="1:11" ht="15" x14ac:dyDescent="0.25">
      <c r="A236" s="395">
        <v>5788</v>
      </c>
      <c r="B236" s="480" t="s">
        <v>280</v>
      </c>
      <c r="C236" s="402">
        <v>243849.04858709103</v>
      </c>
      <c r="D236" s="307">
        <f>VLOOKUP(B236,Synthèse!$B$6:$N$314,5,FALSE)</f>
        <v>231442.62027811864</v>
      </c>
      <c r="E236" s="399">
        <f t="shared" si="9"/>
        <v>-12406.42830897239</v>
      </c>
      <c r="F236" s="397">
        <v>87480.519249155128</v>
      </c>
      <c r="G236" s="396">
        <f>VLOOKUP(B236,Synthèse!$B$6:$O$314,14,FALSE)</f>
        <v>54373.460928093264</v>
      </c>
      <c r="H236" s="399">
        <f t="shared" si="10"/>
        <v>-33107.058321061864</v>
      </c>
      <c r="I236" s="402">
        <v>36467.353930521895</v>
      </c>
      <c r="J236" s="396">
        <f>VLOOKUP(B236,Synthèse!$B$6:$O$314,12,FALSE)</f>
        <v>37385.164758143976</v>
      </c>
      <c r="K236" s="399">
        <f t="shared" si="11"/>
        <v>917.81082762208098</v>
      </c>
    </row>
    <row r="237" spans="1:11" ht="15" x14ac:dyDescent="0.25">
      <c r="A237" s="395">
        <v>5790</v>
      </c>
      <c r="B237" s="480" t="s">
        <v>281</v>
      </c>
      <c r="C237" s="402">
        <v>246653.96995774203</v>
      </c>
      <c r="D237" s="307">
        <f>VLOOKUP(B237,Synthèse!$B$6:$N$314,5,FALSE)</f>
        <v>333771.81783047819</v>
      </c>
      <c r="E237" s="399">
        <f t="shared" si="9"/>
        <v>87117.847872736165</v>
      </c>
      <c r="F237" s="397">
        <v>-151724.992799898</v>
      </c>
      <c r="G237" s="396">
        <f>VLOOKUP(B237,Synthèse!$B$6:$O$314,14,FALSE)</f>
        <v>-125437.44610944515</v>
      </c>
      <c r="H237" s="399">
        <f t="shared" si="10"/>
        <v>26287.546690452844</v>
      </c>
      <c r="I237" s="402">
        <v>37949.028747730576</v>
      </c>
      <c r="J237" s="396">
        <f>VLOOKUP(B237,Synthèse!$B$6:$O$314,12,FALSE)</f>
        <v>43921.226356276442</v>
      </c>
      <c r="K237" s="399">
        <f t="shared" si="11"/>
        <v>5972.1976085458664</v>
      </c>
    </row>
    <row r="238" spans="1:11" ht="15" x14ac:dyDescent="0.25">
      <c r="A238" s="395">
        <v>5792</v>
      </c>
      <c r="B238" s="480" t="s">
        <v>282</v>
      </c>
      <c r="C238" s="402">
        <v>335479.55598205299</v>
      </c>
      <c r="D238" s="307">
        <f>VLOOKUP(B238,Synthèse!$B$6:$N$314,5,FALSE)</f>
        <v>356510.59103289084</v>
      </c>
      <c r="E238" s="399">
        <f t="shared" si="9"/>
        <v>21031.035050837847</v>
      </c>
      <c r="F238" s="397">
        <v>-109258.86321562002</v>
      </c>
      <c r="G238" s="396">
        <f>VLOOKUP(B238,Synthèse!$B$6:$O$314,14,FALSE)</f>
        <v>-60902.19102420639</v>
      </c>
      <c r="H238" s="399">
        <f t="shared" si="10"/>
        <v>48356.672191413629</v>
      </c>
      <c r="I238" s="402">
        <v>54671.146081082974</v>
      </c>
      <c r="J238" s="396">
        <f>VLOOKUP(B238,Synthèse!$B$6:$O$314,12,FALSE)</f>
        <v>61249.028982515607</v>
      </c>
      <c r="K238" s="399">
        <f t="shared" si="11"/>
        <v>6577.8829014326329</v>
      </c>
    </row>
    <row r="239" spans="1:11" ht="15" x14ac:dyDescent="0.25">
      <c r="A239" s="395">
        <v>5798</v>
      </c>
      <c r="B239" s="480" t="s">
        <v>283</v>
      </c>
      <c r="C239" s="402">
        <v>273840.0214546771</v>
      </c>
      <c r="D239" s="307">
        <f>VLOOKUP(B239,Synthèse!$B$6:$N$314,5,FALSE)</f>
        <v>219484.49404045855</v>
      </c>
      <c r="E239" s="399">
        <f t="shared" si="9"/>
        <v>-54355.527414218552</v>
      </c>
      <c r="F239" s="397">
        <v>-11826.137059414832</v>
      </c>
      <c r="G239" s="396">
        <f>VLOOKUP(B239,Synthèse!$B$6:$O$314,14,FALSE)</f>
        <v>-34197.663567511823</v>
      </c>
      <c r="H239" s="399">
        <f t="shared" si="10"/>
        <v>-22371.526508096991</v>
      </c>
      <c r="I239" s="402">
        <v>44366.506896078063</v>
      </c>
      <c r="J239" s="396">
        <f>VLOOKUP(B239,Synthèse!$B$6:$O$314,12,FALSE)</f>
        <v>43791.812492742603</v>
      </c>
      <c r="K239" s="399">
        <f t="shared" si="11"/>
        <v>-574.69440333545936</v>
      </c>
    </row>
    <row r="240" spans="1:11" ht="15" x14ac:dyDescent="0.25">
      <c r="A240" s="395">
        <v>5799</v>
      </c>
      <c r="B240" s="480" t="s">
        <v>284</v>
      </c>
      <c r="C240" s="402">
        <v>1153169.4165797925</v>
      </c>
      <c r="D240" s="307">
        <f>VLOOKUP(B240,Synthèse!$B$6:$N$314,5,FALSE)</f>
        <v>1267341.143629571</v>
      </c>
      <c r="E240" s="399">
        <f t="shared" si="9"/>
        <v>114171.72704977845</v>
      </c>
      <c r="F240" s="397">
        <v>274889.27052580751</v>
      </c>
      <c r="G240" s="396">
        <f>VLOOKUP(B240,Synthèse!$B$6:$O$314,14,FALSE)</f>
        <v>266879.49112091993</v>
      </c>
      <c r="H240" s="399">
        <f t="shared" si="10"/>
        <v>-8009.7794048875803</v>
      </c>
      <c r="I240" s="402">
        <v>205051.10327803867</v>
      </c>
      <c r="J240" s="396">
        <f>VLOOKUP(B240,Synthèse!$B$6:$O$314,12,FALSE)</f>
        <v>214849.60440021771</v>
      </c>
      <c r="K240" s="399">
        <f t="shared" si="11"/>
        <v>9798.5011221790337</v>
      </c>
    </row>
    <row r="241" spans="1:11" ht="15" x14ac:dyDescent="0.25">
      <c r="A241" s="395">
        <v>5803</v>
      </c>
      <c r="B241" s="480" t="s">
        <v>386</v>
      </c>
      <c r="C241" s="402">
        <v>289109.62168631988</v>
      </c>
      <c r="D241" s="307">
        <f>VLOOKUP(B241,Synthèse!$B$6:$N$314,5,FALSE)</f>
        <v>266904.68023783161</v>
      </c>
      <c r="E241" s="399">
        <f t="shared" si="9"/>
        <v>-22204.941448488273</v>
      </c>
      <c r="F241" s="397">
        <v>40696.30010054796</v>
      </c>
      <c r="G241" s="396">
        <f>VLOOKUP(B241,Synthèse!$B$6:$O$314,14,FALSE)</f>
        <v>-107705.558102015</v>
      </c>
      <c r="H241" s="399">
        <f t="shared" si="10"/>
        <v>-148401.85820256296</v>
      </c>
      <c r="I241" s="402">
        <v>49087.320519223431</v>
      </c>
      <c r="J241" s="396">
        <f>VLOOKUP(B241,Synthèse!$B$6:$O$314,12,FALSE)</f>
        <v>53087.962710054802</v>
      </c>
      <c r="K241" s="399">
        <f t="shared" si="11"/>
        <v>4000.6421908313714</v>
      </c>
    </row>
    <row r="242" spans="1:11" ht="15" x14ac:dyDescent="0.25">
      <c r="A242" s="395">
        <v>5804</v>
      </c>
      <c r="B242" s="480" t="s">
        <v>433</v>
      </c>
      <c r="C242" s="402">
        <v>863490.73932384793</v>
      </c>
      <c r="D242" s="307">
        <f>VLOOKUP(B242,Synthèse!$B$6:$N$314,5,FALSE)</f>
        <v>740529.7434254376</v>
      </c>
      <c r="E242" s="399">
        <f t="shared" si="9"/>
        <v>-122960.99589841033</v>
      </c>
      <c r="F242" s="397">
        <v>-426988.10731763777</v>
      </c>
      <c r="G242" s="396">
        <f>VLOOKUP(B242,Synthèse!$B$6:$O$314,14,FALSE)</f>
        <v>-1269626.5990428152</v>
      </c>
      <c r="H242" s="399">
        <f t="shared" si="10"/>
        <v>-842638.49172517739</v>
      </c>
      <c r="I242" s="402">
        <v>147941.11003057103</v>
      </c>
      <c r="J242" s="396">
        <f>VLOOKUP(B242,Synthèse!$B$6:$O$314,12,FALSE)</f>
        <v>133697.87492522877</v>
      </c>
      <c r="K242" s="399">
        <f t="shared" si="11"/>
        <v>-14243.235105342261</v>
      </c>
    </row>
    <row r="243" spans="1:11" ht="15" x14ac:dyDescent="0.25">
      <c r="A243" s="395">
        <v>5805</v>
      </c>
      <c r="B243" s="480" t="s">
        <v>435</v>
      </c>
      <c r="C243" s="402">
        <v>2740463.4785061846</v>
      </c>
      <c r="D243" s="307">
        <f>VLOOKUP(B243,Synthèse!$B$6:$N$314,5,FALSE)</f>
        <v>3014928.6689878069</v>
      </c>
      <c r="E243" s="399">
        <f t="shared" si="9"/>
        <v>274465.19048162224</v>
      </c>
      <c r="F243" s="397">
        <v>-2142174.6469535264</v>
      </c>
      <c r="G243" s="396">
        <f>VLOOKUP(B243,Synthèse!$B$6:$O$314,14,FALSE)</f>
        <v>-1899508.3833973573</v>
      </c>
      <c r="H243" s="399">
        <f t="shared" si="10"/>
        <v>242666.26355616911</v>
      </c>
      <c r="I243" s="402">
        <v>453127.9950218274</v>
      </c>
      <c r="J243" s="396">
        <f>VLOOKUP(B243,Synthèse!$B$6:$O$314,12,FALSE)</f>
        <v>478573.52288795513</v>
      </c>
      <c r="K243" s="399">
        <f t="shared" si="11"/>
        <v>25445.527866127726</v>
      </c>
    </row>
    <row r="244" spans="1:11" ht="15" x14ac:dyDescent="0.25">
      <c r="A244" s="395">
        <v>5806</v>
      </c>
      <c r="B244" s="480" t="s">
        <v>528</v>
      </c>
      <c r="C244" s="402">
        <v>1590908.2835035722</v>
      </c>
      <c r="D244" s="307">
        <f>VLOOKUP(B244,Synthèse!$B$6:$N$314,5,FALSE)</f>
        <v>1533111.8792992453</v>
      </c>
      <c r="E244" s="399">
        <f t="shared" si="9"/>
        <v>-57796.404204326915</v>
      </c>
      <c r="F244" s="397">
        <v>-428353.55694453273</v>
      </c>
      <c r="G244" s="396">
        <f>VLOOKUP(B244,Synthèse!$B$6:$O$314,14,FALSE)</f>
        <v>-385673.9666826374</v>
      </c>
      <c r="H244" s="399">
        <f t="shared" si="10"/>
        <v>42679.590261895326</v>
      </c>
      <c r="I244" s="402">
        <v>267168.81811706908</v>
      </c>
      <c r="J244" s="396">
        <f>VLOOKUP(B244,Synthèse!$B$6:$O$314,12,FALSE)</f>
        <v>280270.01681892498</v>
      </c>
      <c r="K244" s="399">
        <f t="shared" si="11"/>
        <v>13101.198701855901</v>
      </c>
    </row>
    <row r="245" spans="1:11" ht="15" x14ac:dyDescent="0.25">
      <c r="A245" s="395">
        <v>5812</v>
      </c>
      <c r="B245" s="480" t="s">
        <v>387</v>
      </c>
      <c r="C245" s="402">
        <v>51775.593210830346</v>
      </c>
      <c r="D245" s="307">
        <f>VLOOKUP(B245,Synthèse!$B$6:$N$314,5,FALSE)</f>
        <v>85540.196112842095</v>
      </c>
      <c r="E245" s="399">
        <f t="shared" si="9"/>
        <v>33764.602902011749</v>
      </c>
      <c r="F245" s="397">
        <v>-85820.438254716937</v>
      </c>
      <c r="G245" s="396">
        <f>VLOOKUP(B245,Synthèse!$B$6:$O$314,14,FALSE)</f>
        <v>-13501.83731662967</v>
      </c>
      <c r="H245" s="399">
        <f t="shared" si="10"/>
        <v>72318.600938087271</v>
      </c>
      <c r="I245" s="402">
        <v>7537.6660137524377</v>
      </c>
      <c r="J245" s="396">
        <f>VLOOKUP(B245,Synthèse!$B$6:$O$314,12,FALSE)</f>
        <v>11305.210554226414</v>
      </c>
      <c r="K245" s="399">
        <f t="shared" si="11"/>
        <v>3767.5445404739767</v>
      </c>
    </row>
    <row r="246" spans="1:11" ht="15" x14ac:dyDescent="0.25">
      <c r="A246" s="395">
        <v>5813</v>
      </c>
      <c r="B246" s="480" t="s">
        <v>388</v>
      </c>
      <c r="C246" s="402">
        <v>284797.88576147711</v>
      </c>
      <c r="D246" s="307">
        <f>VLOOKUP(B246,Synthèse!$B$6:$N$314,5,FALSE)</f>
        <v>236276.66440006034</v>
      </c>
      <c r="E246" s="399">
        <f t="shared" si="9"/>
        <v>-48521.22136141677</v>
      </c>
      <c r="F246" s="397">
        <v>27483.471112902316</v>
      </c>
      <c r="G246" s="396">
        <f>VLOOKUP(B246,Synthèse!$B$6:$O$314,14,FALSE)</f>
        <v>17668.428515583619</v>
      </c>
      <c r="H246" s="399">
        <f t="shared" si="10"/>
        <v>-9815.0425973186975</v>
      </c>
      <c r="I246" s="402">
        <v>41026.123459585928</v>
      </c>
      <c r="J246" s="396">
        <f>VLOOKUP(B246,Synthèse!$B$6:$O$314,12,FALSE)</f>
        <v>44315.022413335602</v>
      </c>
      <c r="K246" s="399">
        <f t="shared" si="11"/>
        <v>3288.8989537496745</v>
      </c>
    </row>
    <row r="247" spans="1:11" ht="15" x14ac:dyDescent="0.25">
      <c r="A247" s="395">
        <v>5816</v>
      </c>
      <c r="B247" s="480" t="s">
        <v>6</v>
      </c>
      <c r="C247" s="402">
        <v>1049618.4626144806</v>
      </c>
      <c r="D247" s="307">
        <f>VLOOKUP(B247,Synthèse!$B$6:$N$314,5,FALSE)</f>
        <v>1321205.9238283176</v>
      </c>
      <c r="E247" s="399">
        <f t="shared" si="9"/>
        <v>271587.46121383691</v>
      </c>
      <c r="F247" s="397">
        <v>-922447.00201981643</v>
      </c>
      <c r="G247" s="396">
        <f>VLOOKUP(B247,Synthèse!$B$6:$O$314,14,FALSE)</f>
        <v>-1104795.5097568079</v>
      </c>
      <c r="H247" s="399">
        <f t="shared" si="10"/>
        <v>-182348.50773699151</v>
      </c>
      <c r="I247" s="402">
        <v>176479.50971360761</v>
      </c>
      <c r="J247" s="396">
        <f>VLOOKUP(B247,Synthèse!$B$6:$O$314,12,FALSE)</f>
        <v>182915.30476987822</v>
      </c>
      <c r="K247" s="399">
        <f t="shared" si="11"/>
        <v>6435.7950562706101</v>
      </c>
    </row>
    <row r="248" spans="1:11" ht="15" x14ac:dyDescent="0.25">
      <c r="A248" s="395">
        <v>5817</v>
      </c>
      <c r="B248" s="480" t="s">
        <v>7</v>
      </c>
      <c r="C248" s="402">
        <v>411624.2523450366</v>
      </c>
      <c r="D248" s="307">
        <f>VLOOKUP(B248,Synthèse!$B$6:$N$314,5,FALSE)</f>
        <v>344885.36966232589</v>
      </c>
      <c r="E248" s="399">
        <f t="shared" si="9"/>
        <v>-66738.882682710711</v>
      </c>
      <c r="F248" s="397">
        <v>-241046.68263333768</v>
      </c>
      <c r="G248" s="396">
        <f>VLOOKUP(B248,Synthèse!$B$6:$O$314,14,FALSE)</f>
        <v>-374953.17533812817</v>
      </c>
      <c r="H248" s="399">
        <f t="shared" si="10"/>
        <v>-133906.49270479049</v>
      </c>
      <c r="I248" s="402">
        <v>69981.308134188192</v>
      </c>
      <c r="J248" s="396">
        <f>VLOOKUP(B248,Synthèse!$B$6:$O$314,12,FALSE)</f>
        <v>66174.549537922081</v>
      </c>
      <c r="K248" s="399">
        <f t="shared" si="11"/>
        <v>-3806.7585962661105</v>
      </c>
    </row>
    <row r="249" spans="1:11" ht="15" x14ac:dyDescent="0.25">
      <c r="A249" s="395">
        <v>5819</v>
      </c>
      <c r="B249" s="480" t="s">
        <v>8</v>
      </c>
      <c r="C249" s="402">
        <v>252035.31260967167</v>
      </c>
      <c r="D249" s="307">
        <f>VLOOKUP(B249,Synthèse!$B$6:$N$314,5,FALSE)</f>
        <v>216048.28321543051</v>
      </c>
      <c r="E249" s="399">
        <f t="shared" si="9"/>
        <v>-35987.029394241166</v>
      </c>
      <c r="F249" s="397">
        <v>128541.10891576712</v>
      </c>
      <c r="G249" s="396">
        <f>VLOOKUP(B249,Synthèse!$B$6:$O$314,14,FALSE)</f>
        <v>30455.636503086498</v>
      </c>
      <c r="H249" s="399">
        <f t="shared" si="10"/>
        <v>-98085.472412680625</v>
      </c>
      <c r="I249" s="402">
        <v>42925.977061607889</v>
      </c>
      <c r="J249" s="396">
        <f>VLOOKUP(B249,Synthèse!$B$6:$O$314,12,FALSE)</f>
        <v>37521.803502888819</v>
      </c>
      <c r="K249" s="399">
        <f t="shared" si="11"/>
        <v>-5404.1735587190706</v>
      </c>
    </row>
    <row r="250" spans="1:11" ht="15" x14ac:dyDescent="0.25">
      <c r="A250" s="395">
        <v>5821</v>
      </c>
      <c r="B250" s="480" t="s">
        <v>9</v>
      </c>
      <c r="C250" s="402">
        <v>127175.75370843612</v>
      </c>
      <c r="D250" s="307">
        <f>VLOOKUP(B250,Synthèse!$B$6:$N$314,5,FALSE)</f>
        <v>124621.84411293354</v>
      </c>
      <c r="E250" s="399">
        <f t="shared" si="9"/>
        <v>-2553.9095955025841</v>
      </c>
      <c r="F250" s="397">
        <v>-79247.235445763115</v>
      </c>
      <c r="G250" s="396">
        <f>VLOOKUP(B250,Synthèse!$B$6:$O$314,14,FALSE)</f>
        <v>-75205.741219198273</v>
      </c>
      <c r="H250" s="399">
        <f t="shared" si="10"/>
        <v>4041.4942265648424</v>
      </c>
      <c r="I250" s="402">
        <v>23778.037704200535</v>
      </c>
      <c r="J250" s="396">
        <f>VLOOKUP(B250,Synthèse!$B$6:$O$314,12,FALSE)</f>
        <v>25187.513440069808</v>
      </c>
      <c r="K250" s="399">
        <f t="shared" si="11"/>
        <v>1409.4757358692732</v>
      </c>
    </row>
    <row r="251" spans="1:11" ht="15" x14ac:dyDescent="0.25">
      <c r="A251" s="395">
        <v>5822</v>
      </c>
      <c r="B251" s="480" t="s">
        <v>10</v>
      </c>
      <c r="C251" s="402">
        <v>4437687.6984784147</v>
      </c>
      <c r="D251" s="307">
        <f>VLOOKUP(B251,Synthèse!$B$6:$N$314,5,FALSE)</f>
        <v>4231175.2014104445</v>
      </c>
      <c r="E251" s="399">
        <f t="shared" si="9"/>
        <v>-206512.49706797022</v>
      </c>
      <c r="F251" s="397">
        <v>-5959795.1590055274</v>
      </c>
      <c r="G251" s="396">
        <f>VLOOKUP(B251,Synthèse!$B$6:$O$314,14,FALSE)</f>
        <v>-6991650.8162234612</v>
      </c>
      <c r="H251" s="399">
        <f t="shared" si="10"/>
        <v>-1031855.6572179338</v>
      </c>
      <c r="I251" s="402">
        <v>740231.57079728064</v>
      </c>
      <c r="J251" s="396">
        <f>VLOOKUP(B251,Synthèse!$B$6:$O$314,12,FALSE)</f>
        <v>744352.13902908703</v>
      </c>
      <c r="K251" s="399">
        <f t="shared" si="11"/>
        <v>4120.5682318063919</v>
      </c>
    </row>
    <row r="252" spans="1:11" ht="15" x14ac:dyDescent="0.25">
      <c r="A252" s="395">
        <v>5827</v>
      </c>
      <c r="B252" s="480" t="s">
        <v>11</v>
      </c>
      <c r="C252" s="402">
        <v>120823.53204818715</v>
      </c>
      <c r="D252" s="307">
        <f>VLOOKUP(B252,Synthèse!$B$6:$N$314,5,FALSE)</f>
        <v>109589.40734711097</v>
      </c>
      <c r="E252" s="399">
        <f t="shared" si="9"/>
        <v>-11234.124701076173</v>
      </c>
      <c r="F252" s="397">
        <v>-92119.642055008837</v>
      </c>
      <c r="G252" s="396">
        <f>VLOOKUP(B252,Synthèse!$B$6:$O$314,14,FALSE)</f>
        <v>-122771.86013340848</v>
      </c>
      <c r="H252" s="399">
        <f t="shared" si="10"/>
        <v>-30652.218078399645</v>
      </c>
      <c r="I252" s="402">
        <v>21171.190608729848</v>
      </c>
      <c r="J252" s="396">
        <f>VLOOKUP(B252,Synthèse!$B$6:$O$314,12,FALSE)</f>
        <v>20647.630414550556</v>
      </c>
      <c r="K252" s="399">
        <f t="shared" si="11"/>
        <v>-523.56019417929201</v>
      </c>
    </row>
    <row r="253" spans="1:11" ht="15" x14ac:dyDescent="0.25">
      <c r="A253" s="395">
        <v>5828</v>
      </c>
      <c r="B253" s="480" t="s">
        <v>514</v>
      </c>
      <c r="C253" s="402">
        <v>53979.169992435767</v>
      </c>
      <c r="D253" s="307">
        <f>VLOOKUP(B253,Synthèse!$B$6:$N$314,5,FALSE)</f>
        <v>51598.7842645317</v>
      </c>
      <c r="E253" s="399">
        <f t="shared" si="9"/>
        <v>-2380.3857279040676</v>
      </c>
      <c r="F253" s="397">
        <v>-115724.47368093529</v>
      </c>
      <c r="G253" s="396">
        <f>VLOOKUP(B253,Synthèse!$B$6:$O$314,14,FALSE)</f>
        <v>-75766.016415557795</v>
      </c>
      <c r="H253" s="399">
        <f t="shared" si="10"/>
        <v>39958.457265377496</v>
      </c>
      <c r="I253" s="402">
        <v>7171.9264845804173</v>
      </c>
      <c r="J253" s="396">
        <f>VLOOKUP(B253,Synthèse!$B$6:$O$314,12,FALSE)</f>
        <v>7365.1182212683916</v>
      </c>
      <c r="K253" s="399">
        <f t="shared" si="11"/>
        <v>193.1917366879743</v>
      </c>
    </row>
    <row r="254" spans="1:11" ht="15" x14ac:dyDescent="0.25">
      <c r="A254" s="395">
        <v>5830</v>
      </c>
      <c r="B254" s="480" t="s">
        <v>12</v>
      </c>
      <c r="C254" s="402">
        <v>196207.39843418112</v>
      </c>
      <c r="D254" s="307">
        <f>VLOOKUP(B254,Synthèse!$B$6:$N$314,5,FALSE)</f>
        <v>241388.55564379145</v>
      </c>
      <c r="E254" s="399">
        <f t="shared" si="9"/>
        <v>45181.157209610334</v>
      </c>
      <c r="F254" s="397">
        <v>-169382.59822858794</v>
      </c>
      <c r="G254" s="396">
        <f>VLOOKUP(B254,Synthèse!$B$6:$O$314,14,FALSE)</f>
        <v>-49865.097543397525</v>
      </c>
      <c r="H254" s="399">
        <f t="shared" si="10"/>
        <v>119517.50068519042</v>
      </c>
      <c r="I254" s="402">
        <v>33048.399586654778</v>
      </c>
      <c r="J254" s="396">
        <f>VLOOKUP(B254,Synthèse!$B$6:$O$314,12,FALSE)</f>
        <v>42042.23048354646</v>
      </c>
      <c r="K254" s="399">
        <f t="shared" si="11"/>
        <v>8993.8308968916826</v>
      </c>
    </row>
    <row r="255" spans="1:11" ht="15" x14ac:dyDescent="0.25">
      <c r="A255" s="395">
        <v>5831</v>
      </c>
      <c r="B255" s="480" t="s">
        <v>434</v>
      </c>
      <c r="C255" s="402">
        <v>1601937.9243240114</v>
      </c>
      <c r="D255" s="307">
        <f>VLOOKUP(B255,Synthèse!$B$6:$N$314,5,FALSE)</f>
        <v>1625782.543091658</v>
      </c>
      <c r="E255" s="399">
        <f t="shared" si="9"/>
        <v>23844.618767646607</v>
      </c>
      <c r="F255" s="397">
        <v>-1146021.8478782126</v>
      </c>
      <c r="G255" s="396">
        <f>VLOOKUP(B255,Synthèse!$B$6:$O$314,14,FALSE)</f>
        <v>-1426277.4348801905</v>
      </c>
      <c r="H255" s="399">
        <f t="shared" si="10"/>
        <v>-280255.58700197795</v>
      </c>
      <c r="I255" s="402">
        <v>254179.30687191623</v>
      </c>
      <c r="J255" s="396">
        <f>VLOOKUP(B255,Synthèse!$B$6:$O$314,12,FALSE)</f>
        <v>267568.76452255761</v>
      </c>
      <c r="K255" s="399">
        <f t="shared" si="11"/>
        <v>13389.457650641387</v>
      </c>
    </row>
    <row r="256" spans="1:11" ht="15" x14ac:dyDescent="0.25">
      <c r="A256" s="395">
        <v>5841</v>
      </c>
      <c r="B256" s="480" t="s">
        <v>13</v>
      </c>
      <c r="C256" s="402">
        <v>2341663.0170071078</v>
      </c>
      <c r="D256" s="307">
        <f>VLOOKUP(B256,Synthèse!$B$6:$N$314,5,FALSE)</f>
        <v>2084887.5131062164</v>
      </c>
      <c r="E256" s="399">
        <f t="shared" si="9"/>
        <v>-256775.5039008914</v>
      </c>
      <c r="F256" s="397">
        <v>-2210439.3913131594</v>
      </c>
      <c r="G256" s="396">
        <f>VLOOKUP(B256,Synthèse!$B$6:$O$314,14,FALSE)</f>
        <v>-2031519.0079266015</v>
      </c>
      <c r="H256" s="399">
        <f t="shared" si="10"/>
        <v>178920.38338655792</v>
      </c>
      <c r="I256" s="402">
        <v>347557.29725485278</v>
      </c>
      <c r="J256" s="396">
        <f>VLOOKUP(B256,Synthèse!$B$6:$O$314,12,FALSE)</f>
        <v>354212.43954701489</v>
      </c>
      <c r="K256" s="399">
        <f t="shared" si="11"/>
        <v>6655.1422921621124</v>
      </c>
    </row>
    <row r="257" spans="1:11" ht="15" x14ac:dyDescent="0.25">
      <c r="A257" s="395">
        <v>5842</v>
      </c>
      <c r="B257" s="480" t="s">
        <v>14</v>
      </c>
      <c r="C257" s="402">
        <v>239650.78510316813</v>
      </c>
      <c r="D257" s="307">
        <f>VLOOKUP(B257,Synthèse!$B$6:$N$314,5,FALSE)</f>
        <v>225562.52392227901</v>
      </c>
      <c r="E257" s="399">
        <f t="shared" si="9"/>
        <v>-14088.261180889123</v>
      </c>
      <c r="F257" s="397">
        <v>-453218.80321644258</v>
      </c>
      <c r="G257" s="396">
        <f>VLOOKUP(B257,Synthèse!$B$6:$O$314,14,FALSE)</f>
        <v>-387893.63842501782</v>
      </c>
      <c r="H257" s="399">
        <f t="shared" si="10"/>
        <v>65325.164791424759</v>
      </c>
      <c r="I257" s="402">
        <v>38972.441448471072</v>
      </c>
      <c r="J257" s="396">
        <f>VLOOKUP(B257,Synthèse!$B$6:$O$314,12,FALSE)</f>
        <v>41472.87111719072</v>
      </c>
      <c r="K257" s="399">
        <f t="shared" si="11"/>
        <v>2500.4296687196475</v>
      </c>
    </row>
    <row r="258" spans="1:11" ht="15" x14ac:dyDescent="0.25">
      <c r="A258" s="395">
        <v>5843</v>
      </c>
      <c r="B258" s="480" t="s">
        <v>15</v>
      </c>
      <c r="C258" s="402">
        <v>3097881.7624754133</v>
      </c>
      <c r="D258" s="307">
        <f>VLOOKUP(B258,Synthèse!$B$6:$N$314,5,FALSE)</f>
        <v>3358896.2963533308</v>
      </c>
      <c r="E258" s="399">
        <f t="shared" si="9"/>
        <v>261014.53387791757</v>
      </c>
      <c r="F258" s="397">
        <v>767885.78483357106</v>
      </c>
      <c r="G258" s="396">
        <f>VLOOKUP(B258,Synthèse!$B$6:$O$314,14,FALSE)</f>
        <v>521220.50432234525</v>
      </c>
      <c r="H258" s="399">
        <f t="shared" si="10"/>
        <v>-246665.28051122581</v>
      </c>
      <c r="I258" s="402">
        <v>187117.02718635893</v>
      </c>
      <c r="J258" s="396">
        <f>VLOOKUP(B258,Synthèse!$B$6:$O$314,12,FALSE)</f>
        <v>177775.48140719178</v>
      </c>
      <c r="K258" s="399">
        <f t="shared" si="11"/>
        <v>-9341.5457791671506</v>
      </c>
    </row>
    <row r="259" spans="1:11" ht="15" x14ac:dyDescent="0.25">
      <c r="A259" s="395">
        <v>5851</v>
      </c>
      <c r="B259" s="480" t="s">
        <v>16</v>
      </c>
      <c r="C259" s="402">
        <v>601264.78249701206</v>
      </c>
      <c r="D259" s="307">
        <f>VLOOKUP(B259,Synthèse!$B$6:$N$314,5,FALSE)</f>
        <v>574358.11985506513</v>
      </c>
      <c r="E259" s="399">
        <f t="shared" si="9"/>
        <v>-26906.662641946925</v>
      </c>
      <c r="F259" s="397">
        <v>501468.3733954209</v>
      </c>
      <c r="G259" s="396">
        <f>VLOOKUP(B259,Synthèse!$B$6:$O$314,14,FALSE)</f>
        <v>416741.20549322665</v>
      </c>
      <c r="H259" s="399">
        <f t="shared" si="10"/>
        <v>-84727.167902194255</v>
      </c>
      <c r="I259" s="402">
        <v>73181.411915479548</v>
      </c>
      <c r="J259" s="396">
        <f>VLOOKUP(B259,Synthèse!$B$6:$O$314,12,FALSE)</f>
        <v>67621.015620852777</v>
      </c>
      <c r="K259" s="399">
        <f t="shared" si="11"/>
        <v>-5560.3962946267711</v>
      </c>
    </row>
    <row r="260" spans="1:11" ht="15" x14ac:dyDescent="0.25">
      <c r="A260" s="395">
        <v>5852</v>
      </c>
      <c r="B260" s="480" t="s">
        <v>17</v>
      </c>
      <c r="C260" s="402">
        <v>2447572.6090655671</v>
      </c>
      <c r="D260" s="307">
        <f>VLOOKUP(B260,Synthèse!$B$6:$N$314,5,FALSE)</f>
        <v>1169762.0125436024</v>
      </c>
      <c r="E260" s="399">
        <f t="shared" si="9"/>
        <v>-1277810.5965219648</v>
      </c>
      <c r="F260" s="397">
        <v>-704266.89283661509</v>
      </c>
      <c r="G260" s="396">
        <f>VLOOKUP(B260,Synthèse!$B$6:$O$314,14,FALSE)</f>
        <v>616145.9637922761</v>
      </c>
      <c r="H260" s="399">
        <f t="shared" si="10"/>
        <v>1320412.8566288911</v>
      </c>
      <c r="I260" s="402">
        <v>91260.654565001038</v>
      </c>
      <c r="J260" s="396">
        <f>VLOOKUP(B260,Synthèse!$B$6:$O$314,12,FALSE)</f>
        <v>88648.620073755141</v>
      </c>
      <c r="K260" s="399">
        <f t="shared" si="11"/>
        <v>-2612.0344912458968</v>
      </c>
    </row>
    <row r="261" spans="1:11" ht="15" x14ac:dyDescent="0.25">
      <c r="A261" s="395">
        <v>5853</v>
      </c>
      <c r="B261" s="480" t="s">
        <v>18</v>
      </c>
      <c r="C261" s="402">
        <v>750762.89262605342</v>
      </c>
      <c r="D261" s="307">
        <f>VLOOKUP(B261,Synthèse!$B$6:$N$314,5,FALSE)</f>
        <v>716199.57109592855</v>
      </c>
      <c r="E261" s="399">
        <f t="shared" si="9"/>
        <v>-34563.321530124871</v>
      </c>
      <c r="F261" s="397">
        <v>618537.64064102795</v>
      </c>
      <c r="G261" s="396">
        <f>VLOOKUP(B261,Synthèse!$B$6:$O$314,14,FALSE)</f>
        <v>596920.8516318613</v>
      </c>
      <c r="H261" s="399">
        <f t="shared" si="10"/>
        <v>-21616.789009166649</v>
      </c>
      <c r="I261" s="402">
        <v>109203.12730710502</v>
      </c>
      <c r="J261" s="396">
        <f>VLOOKUP(B261,Synthèse!$B$6:$O$314,12,FALSE)</f>
        <v>110272.70709268437</v>
      </c>
      <c r="K261" s="399">
        <f t="shared" si="11"/>
        <v>1069.5797855793498</v>
      </c>
    </row>
    <row r="262" spans="1:11" ht="15" x14ac:dyDescent="0.25">
      <c r="A262" s="395">
        <v>5854</v>
      </c>
      <c r="B262" s="480" t="s">
        <v>19</v>
      </c>
      <c r="C262" s="402">
        <v>224655.70359491228</v>
      </c>
      <c r="D262" s="307">
        <f>VLOOKUP(B262,Synthèse!$B$6:$N$314,5,FALSE)</f>
        <v>260699.07416849735</v>
      </c>
      <c r="E262" s="399">
        <f t="shared" si="9"/>
        <v>36043.370573585067</v>
      </c>
      <c r="F262" s="397">
        <v>-61486.354174460612</v>
      </c>
      <c r="G262" s="396">
        <f>VLOOKUP(B262,Synthèse!$B$6:$O$314,14,FALSE)</f>
        <v>-64320.623847673938</v>
      </c>
      <c r="H262" s="399">
        <f t="shared" si="10"/>
        <v>-2834.2696732133263</v>
      </c>
      <c r="I262" s="402">
        <v>31072.848343384674</v>
      </c>
      <c r="J262" s="396">
        <f>VLOOKUP(B262,Synthèse!$B$6:$O$314,12,FALSE)</f>
        <v>33626.298954456593</v>
      </c>
      <c r="K262" s="399">
        <f t="shared" si="11"/>
        <v>2553.4506110719194</v>
      </c>
    </row>
    <row r="263" spans="1:11" ht="15" x14ac:dyDescent="0.25">
      <c r="A263" s="395">
        <v>5855</v>
      </c>
      <c r="B263" s="480" t="s">
        <v>20</v>
      </c>
      <c r="C263" s="402">
        <v>2293976.7388773798</v>
      </c>
      <c r="D263" s="307">
        <f>VLOOKUP(B263,Synthèse!$B$6:$N$314,5,FALSE)</f>
        <v>2423509.0171489548</v>
      </c>
      <c r="E263" s="399">
        <f t="shared" ref="E263:E314" si="12">D263-C263</f>
        <v>129532.27827157499</v>
      </c>
      <c r="F263" s="397">
        <v>1227681.2346423466</v>
      </c>
      <c r="G263" s="396">
        <f>VLOOKUP(B263,Synthèse!$B$6:$O$314,14,FALSE)</f>
        <v>1161903.3328510453</v>
      </c>
      <c r="H263" s="399">
        <f t="shared" ref="H263:H314" si="13">G263-F263</f>
        <v>-65777.901791301323</v>
      </c>
      <c r="I263" s="402">
        <v>155310.58760356688</v>
      </c>
      <c r="J263" s="396">
        <f>VLOOKUP(B263,Synthèse!$B$6:$O$314,12,FALSE)</f>
        <v>150830.36756826262</v>
      </c>
      <c r="K263" s="399">
        <f t="shared" ref="K263:K314" si="14">J263-I263</f>
        <v>-4480.2200353042572</v>
      </c>
    </row>
    <row r="264" spans="1:11" ht="15" x14ac:dyDescent="0.25">
      <c r="A264" s="395">
        <v>5856</v>
      </c>
      <c r="B264" s="480" t="s">
        <v>21</v>
      </c>
      <c r="C264" s="402">
        <v>741339.84049295343</v>
      </c>
      <c r="D264" s="307">
        <f>VLOOKUP(B264,Synthèse!$B$6:$N$314,5,FALSE)</f>
        <v>634079.35806197778</v>
      </c>
      <c r="E264" s="399">
        <f t="shared" si="12"/>
        <v>-107260.48243097565</v>
      </c>
      <c r="F264" s="397">
        <v>591501.18722110952</v>
      </c>
      <c r="G264" s="396">
        <f>VLOOKUP(B264,Synthèse!$B$6:$O$314,14,FALSE)</f>
        <v>639635.78787426127</v>
      </c>
      <c r="H264" s="399">
        <f t="shared" si="13"/>
        <v>48134.600653151749</v>
      </c>
      <c r="I264" s="402">
        <v>103045.23075832054</v>
      </c>
      <c r="J264" s="396">
        <f>VLOOKUP(B264,Synthèse!$B$6:$O$314,12,FALSE)</f>
        <v>106613.66006126729</v>
      </c>
      <c r="K264" s="399">
        <f t="shared" si="14"/>
        <v>3568.4293029467517</v>
      </c>
    </row>
    <row r="265" spans="1:11" ht="15" x14ac:dyDescent="0.25">
      <c r="A265" s="395">
        <v>5857</v>
      </c>
      <c r="B265" s="480" t="s">
        <v>22</v>
      </c>
      <c r="C265" s="402">
        <v>1754012.0250062319</v>
      </c>
      <c r="D265" s="307">
        <f>VLOOKUP(B265,Synthèse!$B$6:$N$314,5,FALSE)</f>
        <v>1813931.7549246312</v>
      </c>
      <c r="E265" s="399">
        <f t="shared" si="12"/>
        <v>59919.72991839936</v>
      </c>
      <c r="F265" s="397">
        <v>1305918.3542248411</v>
      </c>
      <c r="G265" s="396">
        <f>VLOOKUP(B265,Synthèse!$B$6:$O$314,14,FALSE)</f>
        <v>1451681.6783278394</v>
      </c>
      <c r="H265" s="399">
        <f t="shared" si="13"/>
        <v>145763.32410299825</v>
      </c>
      <c r="I265" s="402">
        <v>207967.14513787179</v>
      </c>
      <c r="J265" s="396">
        <f>VLOOKUP(B265,Synthèse!$B$6:$O$314,12,FALSE)</f>
        <v>221466.94521356971</v>
      </c>
      <c r="K265" s="399">
        <f t="shared" si="14"/>
        <v>13499.800075697916</v>
      </c>
    </row>
    <row r="266" spans="1:11" ht="15" x14ac:dyDescent="0.25">
      <c r="A266" s="395">
        <v>5858</v>
      </c>
      <c r="B266" s="480" t="s">
        <v>23</v>
      </c>
      <c r="C266" s="402">
        <v>685354.2763318863</v>
      </c>
      <c r="D266" s="307">
        <f>VLOOKUP(B266,Synthèse!$B$6:$N$314,5,FALSE)</f>
        <v>1006534.4563330754</v>
      </c>
      <c r="E266" s="399">
        <f t="shared" si="12"/>
        <v>321180.18000118912</v>
      </c>
      <c r="F266" s="397">
        <v>610889.93458503636</v>
      </c>
      <c r="G266" s="396">
        <f>VLOOKUP(B266,Synthèse!$B$6:$O$314,14,FALSE)</f>
        <v>856273.21501650801</v>
      </c>
      <c r="H266" s="399">
        <f t="shared" si="13"/>
        <v>245383.28043147165</v>
      </c>
      <c r="I266" s="402">
        <v>95548.77900459549</v>
      </c>
      <c r="J266" s="396">
        <f>VLOOKUP(B266,Synthèse!$B$6:$O$314,12,FALSE)</f>
        <v>109941.39830687494</v>
      </c>
      <c r="K266" s="399">
        <f t="shared" si="14"/>
        <v>14392.619302279447</v>
      </c>
    </row>
    <row r="267" spans="1:11" ht="15" x14ac:dyDescent="0.25">
      <c r="A267" s="395">
        <v>5859</v>
      </c>
      <c r="B267" s="480" t="s">
        <v>24</v>
      </c>
      <c r="C267" s="402">
        <v>2931500.3802462257</v>
      </c>
      <c r="D267" s="307">
        <f>VLOOKUP(B267,Synthèse!$B$6:$N$314,5,FALSE)</f>
        <v>2815314.4013417601</v>
      </c>
      <c r="E267" s="399">
        <f t="shared" si="12"/>
        <v>-116185.97890446568</v>
      </c>
      <c r="F267" s="397">
        <v>2015321.0117531198</v>
      </c>
      <c r="G267" s="396">
        <f>VLOOKUP(B267,Synthèse!$B$6:$O$314,14,FALSE)</f>
        <v>2013436.8265842558</v>
      </c>
      <c r="H267" s="399">
        <f t="shared" si="13"/>
        <v>-1884.1851688639726</v>
      </c>
      <c r="I267" s="402">
        <v>403692.16360201268</v>
      </c>
      <c r="J267" s="396">
        <f>VLOOKUP(B267,Synthèse!$B$6:$O$314,12,FALSE)</f>
        <v>396551.63750820747</v>
      </c>
      <c r="K267" s="399">
        <f t="shared" si="14"/>
        <v>-7140.5260938052088</v>
      </c>
    </row>
    <row r="268" spans="1:11" ht="15" x14ac:dyDescent="0.25">
      <c r="A268" s="395">
        <v>5860</v>
      </c>
      <c r="B268" s="480" t="s">
        <v>25</v>
      </c>
      <c r="C268" s="402">
        <v>1945943.2015413162</v>
      </c>
      <c r="D268" s="307">
        <f>VLOOKUP(B268,Synthèse!$B$6:$N$314,5,FALSE)</f>
        <v>2240967.6650723205</v>
      </c>
      <c r="E268" s="399">
        <f t="shared" si="12"/>
        <v>295024.46353100426</v>
      </c>
      <c r="F268" s="397">
        <v>1451179.0902189149</v>
      </c>
      <c r="G268" s="396">
        <f>VLOOKUP(B268,Synthèse!$B$6:$O$314,14,FALSE)</f>
        <v>-269239.76368188555</v>
      </c>
      <c r="H268" s="399">
        <f t="shared" si="13"/>
        <v>-1720418.8539008005</v>
      </c>
      <c r="I268" s="402">
        <v>240797.53132992721</v>
      </c>
      <c r="J268" s="396">
        <f>VLOOKUP(B268,Synthèse!$B$6:$O$314,12,FALSE)</f>
        <v>253117.42546536092</v>
      </c>
      <c r="K268" s="399">
        <f t="shared" si="14"/>
        <v>12319.894135433715</v>
      </c>
    </row>
    <row r="269" spans="1:11" ht="15" x14ac:dyDescent="0.25">
      <c r="A269" s="395">
        <v>5861</v>
      </c>
      <c r="B269" s="480" t="s">
        <v>26</v>
      </c>
      <c r="C269" s="402">
        <v>24853270.796318822</v>
      </c>
      <c r="D269" s="307">
        <f>VLOOKUP(B269,Synthèse!$B$6:$N$314,5,FALSE)</f>
        <v>23640879.72220901</v>
      </c>
      <c r="E269" s="399">
        <f t="shared" si="12"/>
        <v>-1212391.0741098113</v>
      </c>
      <c r="F269" s="397">
        <v>9974693.9091743026</v>
      </c>
      <c r="G269" s="396">
        <f>VLOOKUP(B269,Synthèse!$B$6:$O$314,14,FALSE)</f>
        <v>10669152.742496867</v>
      </c>
      <c r="H269" s="399">
        <f t="shared" si="13"/>
        <v>694458.83332256414</v>
      </c>
      <c r="I269" s="402">
        <v>1527200.5823737343</v>
      </c>
      <c r="J269" s="396">
        <f>VLOOKUP(B269,Synthèse!$B$6:$O$314,12,FALSE)</f>
        <v>1454723.9021747117</v>
      </c>
      <c r="K269" s="399">
        <f t="shared" si="14"/>
        <v>-72476.680199022638</v>
      </c>
    </row>
    <row r="270" spans="1:11" ht="15" x14ac:dyDescent="0.25">
      <c r="A270" s="395">
        <v>5862</v>
      </c>
      <c r="B270" s="480" t="s">
        <v>27</v>
      </c>
      <c r="C270" s="402">
        <v>239970.4990213447</v>
      </c>
      <c r="D270" s="307">
        <f>VLOOKUP(B270,Synthèse!$B$6:$N$314,5,FALSE)</f>
        <v>164066.26154078403</v>
      </c>
      <c r="E270" s="399">
        <f t="shared" si="12"/>
        <v>-75904.237480560667</v>
      </c>
      <c r="F270" s="397">
        <v>157648.89970620081</v>
      </c>
      <c r="G270" s="396">
        <f>VLOOKUP(B270,Synthèse!$B$6:$O$314,14,FALSE)</f>
        <v>189292.98902486256</v>
      </c>
      <c r="H270" s="399">
        <f t="shared" si="13"/>
        <v>31644.089318661747</v>
      </c>
      <c r="I270" s="402">
        <v>33479.66498085179</v>
      </c>
      <c r="J270" s="396">
        <f>VLOOKUP(B270,Synthèse!$B$6:$O$314,12,FALSE)</f>
        <v>33422.554327344922</v>
      </c>
      <c r="K270" s="399">
        <f t="shared" si="14"/>
        <v>-57.110653506868402</v>
      </c>
    </row>
    <row r="271" spans="1:11" ht="15" x14ac:dyDescent="0.25">
      <c r="A271" s="395">
        <v>5863</v>
      </c>
      <c r="B271" s="480" t="s">
        <v>28</v>
      </c>
      <c r="C271" s="402">
        <v>465422.05137131066</v>
      </c>
      <c r="D271" s="307">
        <f>VLOOKUP(B271,Synthèse!$B$6:$N$314,5,FALSE)</f>
        <v>327322.23319290107</v>
      </c>
      <c r="E271" s="399">
        <f t="shared" si="12"/>
        <v>-138099.81817840959</v>
      </c>
      <c r="F271" s="397">
        <v>124101.43460004224</v>
      </c>
      <c r="G271" s="396">
        <f>VLOOKUP(B271,Synthèse!$B$6:$O$314,14,FALSE)</f>
        <v>313230.10916050262</v>
      </c>
      <c r="H271" s="399">
        <f t="shared" si="13"/>
        <v>189128.67456046038</v>
      </c>
      <c r="I271" s="402">
        <v>60719.641823928148</v>
      </c>
      <c r="J271" s="396">
        <f>VLOOKUP(B271,Synthèse!$B$6:$O$314,12,FALSE)</f>
        <v>52345.028735979562</v>
      </c>
      <c r="K271" s="399">
        <f t="shared" si="14"/>
        <v>-8374.6130879485863</v>
      </c>
    </row>
    <row r="272" spans="1:11" ht="15" x14ac:dyDescent="0.25">
      <c r="A272" s="395">
        <v>5871</v>
      </c>
      <c r="B272" s="480" t="s">
        <v>29</v>
      </c>
      <c r="C272" s="402">
        <v>1072880.6447570282</v>
      </c>
      <c r="D272" s="307">
        <f>VLOOKUP(B272,Synthèse!$B$6:$N$314,5,FALSE)</f>
        <v>1016993.5154968603</v>
      </c>
      <c r="E272" s="399">
        <f t="shared" si="12"/>
        <v>-55887.129260167945</v>
      </c>
      <c r="F272" s="397">
        <v>-248997.38703635731</v>
      </c>
      <c r="G272" s="396">
        <f>VLOOKUP(B272,Synthèse!$B$6:$O$314,14,FALSE)</f>
        <v>-302131.93720098626</v>
      </c>
      <c r="H272" s="399">
        <f t="shared" si="13"/>
        <v>-53134.550164628949</v>
      </c>
      <c r="I272" s="402">
        <v>146905.80412639154</v>
      </c>
      <c r="J272" s="396">
        <f>VLOOKUP(B272,Synthèse!$B$6:$O$314,12,FALSE)</f>
        <v>142478.49207668082</v>
      </c>
      <c r="K272" s="399">
        <f t="shared" si="14"/>
        <v>-4427.3120497107157</v>
      </c>
    </row>
    <row r="273" spans="1:11" ht="15" x14ac:dyDescent="0.25">
      <c r="A273" s="395">
        <v>5872</v>
      </c>
      <c r="B273" s="480" t="s">
        <v>204</v>
      </c>
      <c r="C273" s="402">
        <v>5055090.4672492109</v>
      </c>
      <c r="D273" s="307">
        <f>VLOOKUP(B273,Synthèse!$B$6:$N$314,5,FALSE)</f>
        <v>7340747.1085846201</v>
      </c>
      <c r="E273" s="399">
        <f t="shared" si="12"/>
        <v>2285656.6413354091</v>
      </c>
      <c r="F273" s="397">
        <v>372996.24746613088</v>
      </c>
      <c r="G273" s="396">
        <f>VLOOKUP(B273,Synthèse!$B$6:$O$314,14,FALSE)</f>
        <v>2548742.512745616</v>
      </c>
      <c r="H273" s="399">
        <f t="shared" si="13"/>
        <v>2175746.2652794849</v>
      </c>
      <c r="I273" s="402">
        <v>649578.70680654875</v>
      </c>
      <c r="J273" s="396">
        <f>VLOOKUP(B273,Synthèse!$B$6:$O$314,12,FALSE)</f>
        <v>727812.6035686559</v>
      </c>
      <c r="K273" s="399">
        <f t="shared" si="14"/>
        <v>78233.89676210715</v>
      </c>
    </row>
    <row r="274" spans="1:11" ht="15" x14ac:dyDescent="0.25">
      <c r="A274" s="395">
        <v>5873</v>
      </c>
      <c r="B274" s="480" t="s">
        <v>205</v>
      </c>
      <c r="C274" s="402">
        <v>786966.29264685302</v>
      </c>
      <c r="D274" s="307">
        <f>VLOOKUP(B274,Synthèse!$B$6:$N$314,5,FALSE)</f>
        <v>709807.83668312069</v>
      </c>
      <c r="E274" s="399">
        <f t="shared" si="12"/>
        <v>-77158.455963732325</v>
      </c>
      <c r="F274" s="397">
        <v>-363963.47363994096</v>
      </c>
      <c r="G274" s="396">
        <f>VLOOKUP(B274,Synthèse!$B$6:$O$314,14,FALSE)</f>
        <v>-480403.74723204895</v>
      </c>
      <c r="H274" s="399">
        <f t="shared" si="13"/>
        <v>-116440.27359210799</v>
      </c>
      <c r="I274" s="402">
        <v>101407.91636562374</v>
      </c>
      <c r="J274" s="396">
        <f>VLOOKUP(B274,Synthèse!$B$6:$O$314,12,FALSE)</f>
        <v>88426.463558509698</v>
      </c>
      <c r="K274" s="399">
        <f t="shared" si="14"/>
        <v>-12981.452807114038</v>
      </c>
    </row>
    <row r="275" spans="1:11" ht="15" x14ac:dyDescent="0.25">
      <c r="A275" s="395">
        <v>5881</v>
      </c>
      <c r="B275" s="480" t="s">
        <v>206</v>
      </c>
      <c r="C275" s="402">
        <v>6802574.6492344476</v>
      </c>
      <c r="D275" s="307">
        <f>VLOOKUP(B275,Synthèse!$B$6:$N$314,5,FALSE)</f>
        <v>7550811.868422417</v>
      </c>
      <c r="E275" s="399">
        <f t="shared" si="12"/>
        <v>748237.21918796934</v>
      </c>
      <c r="F275" s="397">
        <v>3320999.3989201938</v>
      </c>
      <c r="G275" s="396">
        <f>VLOOKUP(B275,Synthèse!$B$6:$O$314,14,FALSE)</f>
        <v>4009558.8427530495</v>
      </c>
      <c r="H275" s="399">
        <f t="shared" si="13"/>
        <v>688559.44383285567</v>
      </c>
      <c r="I275" s="402">
        <v>438184.97687518602</v>
      </c>
      <c r="J275" s="396">
        <f>VLOOKUP(B275,Synthèse!$B$6:$O$314,12,FALSE)</f>
        <v>424311.56291558879</v>
      </c>
      <c r="K275" s="399">
        <f t="shared" si="14"/>
        <v>-13873.413959597237</v>
      </c>
    </row>
    <row r="276" spans="1:11" ht="15" x14ac:dyDescent="0.25">
      <c r="A276" s="395">
        <v>5882</v>
      </c>
      <c r="B276" s="480" t="s">
        <v>207</v>
      </c>
      <c r="C276" s="402">
        <v>4083022.5337699228</v>
      </c>
      <c r="D276" s="307">
        <f>VLOOKUP(B276,Synthèse!$B$6:$N$314,5,FALSE)</f>
        <v>4519780.8246623008</v>
      </c>
      <c r="E276" s="399">
        <f t="shared" si="12"/>
        <v>436758.29089237796</v>
      </c>
      <c r="F276" s="397">
        <v>2053892.6557566395</v>
      </c>
      <c r="G276" s="396">
        <f>VLOOKUP(B276,Synthèse!$B$6:$O$314,14,FALSE)</f>
        <v>2441302.1087606084</v>
      </c>
      <c r="H276" s="399">
        <f t="shared" si="13"/>
        <v>387409.45300396881</v>
      </c>
      <c r="I276" s="402">
        <v>203063.59017376052</v>
      </c>
      <c r="J276" s="396">
        <f>VLOOKUP(B276,Synthèse!$B$6:$O$314,12,FALSE)</f>
        <v>219468.1761482924</v>
      </c>
      <c r="K276" s="399">
        <f t="shared" si="14"/>
        <v>16404.585974531888</v>
      </c>
    </row>
    <row r="277" spans="1:11" ht="15" x14ac:dyDescent="0.25">
      <c r="A277" s="395">
        <v>5883</v>
      </c>
      <c r="B277" s="480" t="s">
        <v>208</v>
      </c>
      <c r="C277" s="402">
        <v>3622750.4327109</v>
      </c>
      <c r="D277" s="307">
        <f>VLOOKUP(B277,Synthèse!$B$6:$N$314,5,FALSE)</f>
        <v>3805231.3502226472</v>
      </c>
      <c r="E277" s="399">
        <f t="shared" si="12"/>
        <v>182480.91751174722</v>
      </c>
      <c r="F277" s="397">
        <v>2435537.082748909</v>
      </c>
      <c r="G277" s="396">
        <f>VLOOKUP(B277,Synthèse!$B$6:$O$314,14,FALSE)</f>
        <v>2713875.5727472645</v>
      </c>
      <c r="H277" s="399">
        <f t="shared" si="13"/>
        <v>278338.48999835551</v>
      </c>
      <c r="I277" s="402">
        <v>194840.27864738728</v>
      </c>
      <c r="J277" s="396">
        <f>VLOOKUP(B277,Synthèse!$B$6:$O$314,12,FALSE)</f>
        <v>196187.82210366361</v>
      </c>
      <c r="K277" s="399">
        <f t="shared" si="14"/>
        <v>1347.5434562763257</v>
      </c>
    </row>
    <row r="278" spans="1:11" ht="15" x14ac:dyDescent="0.25">
      <c r="A278" s="395">
        <v>5884</v>
      </c>
      <c r="B278" s="480" t="s">
        <v>49</v>
      </c>
      <c r="C278" s="402">
        <v>2324458.5267312392</v>
      </c>
      <c r="D278" s="307">
        <f>VLOOKUP(B278,Synthèse!$B$6:$N$314,5,FALSE)</f>
        <v>2245108.7980423095</v>
      </c>
      <c r="E278" s="399">
        <f t="shared" si="12"/>
        <v>-79349.728688929696</v>
      </c>
      <c r="F278" s="397">
        <v>-308191.12126743281</v>
      </c>
      <c r="G278" s="396">
        <f>VLOOKUP(B278,Synthèse!$B$6:$O$314,14,FALSE)</f>
        <v>-430935.65783910942</v>
      </c>
      <c r="H278" s="399">
        <f t="shared" si="13"/>
        <v>-122744.53657167661</v>
      </c>
      <c r="I278" s="402">
        <v>156477.59838269546</v>
      </c>
      <c r="J278" s="396">
        <f>VLOOKUP(B278,Synthèse!$B$6:$O$314,12,FALSE)</f>
        <v>151539.28906131626</v>
      </c>
      <c r="K278" s="399">
        <f t="shared" si="14"/>
        <v>-4938.3093213792017</v>
      </c>
    </row>
    <row r="279" spans="1:11" ht="15" x14ac:dyDescent="0.25">
      <c r="A279" s="395">
        <v>5885</v>
      </c>
      <c r="B279" s="480" t="s">
        <v>50</v>
      </c>
      <c r="C279" s="402">
        <v>2174117.0404799539</v>
      </c>
      <c r="D279" s="307">
        <f>VLOOKUP(B279,Synthèse!$B$6:$N$314,5,FALSE)</f>
        <v>1546213.8518320988</v>
      </c>
      <c r="E279" s="399">
        <f t="shared" si="12"/>
        <v>-627903.18864785507</v>
      </c>
      <c r="F279" s="397">
        <v>1523040.6584044197</v>
      </c>
      <c r="G279" s="396">
        <f>VLOOKUP(B279,Synthèse!$B$6:$O$314,14,FALSE)</f>
        <v>1149489.8208801816</v>
      </c>
      <c r="H279" s="399">
        <f t="shared" si="13"/>
        <v>-373550.83752423804</v>
      </c>
      <c r="I279" s="402">
        <v>120214.67582541006</v>
      </c>
      <c r="J279" s="396">
        <f>VLOOKUP(B279,Synthèse!$B$6:$O$314,12,FALSE)</f>
        <v>94329.776191371464</v>
      </c>
      <c r="K279" s="399">
        <f t="shared" si="14"/>
        <v>-25884.899634038593</v>
      </c>
    </row>
    <row r="280" spans="1:11" ht="15" x14ac:dyDescent="0.25">
      <c r="A280" s="395">
        <v>5886</v>
      </c>
      <c r="B280" s="480" t="s">
        <v>51</v>
      </c>
      <c r="C280" s="402">
        <v>25817541.908807367</v>
      </c>
      <c r="D280" s="307">
        <f>VLOOKUP(B280,Synthèse!$B$6:$N$314,5,FALSE)</f>
        <v>24889310.001661122</v>
      </c>
      <c r="E280" s="399">
        <f t="shared" si="12"/>
        <v>-928231.90714624524</v>
      </c>
      <c r="F280" s="397">
        <v>-6710240.6042832062</v>
      </c>
      <c r="G280" s="396">
        <f>VLOOKUP(B280,Synthèse!$B$6:$O$314,14,FALSE)</f>
        <v>-5406185.1265956145</v>
      </c>
      <c r="H280" s="399">
        <f t="shared" si="13"/>
        <v>1304055.4776875917</v>
      </c>
      <c r="I280" s="402">
        <v>1454649.1314706546</v>
      </c>
      <c r="J280" s="396">
        <f>VLOOKUP(B280,Synthèse!$B$6:$O$314,12,FALSE)</f>
        <v>1361592.64887964</v>
      </c>
      <c r="K280" s="399">
        <f t="shared" si="14"/>
        <v>-93056.482591014588</v>
      </c>
    </row>
    <row r="281" spans="1:11" ht="15" x14ac:dyDescent="0.25">
      <c r="A281" s="395">
        <v>5888</v>
      </c>
      <c r="B281" s="480" t="s">
        <v>515</v>
      </c>
      <c r="C281" s="402">
        <v>6439492.6691527469</v>
      </c>
      <c r="D281" s="307">
        <f>VLOOKUP(B281,Synthèse!$B$6:$N$314,5,FALSE)</f>
        <v>7471028.40582739</v>
      </c>
      <c r="E281" s="399">
        <f t="shared" si="12"/>
        <v>1031535.7366746431</v>
      </c>
      <c r="F281" s="397">
        <v>3611112.9293358643</v>
      </c>
      <c r="G281" s="396">
        <f>VLOOKUP(B281,Synthèse!$B$6:$O$314,14,FALSE)</f>
        <v>4577793.9701573076</v>
      </c>
      <c r="H281" s="399">
        <f t="shared" si="13"/>
        <v>966681.04082144331</v>
      </c>
      <c r="I281" s="402">
        <v>377773.99600174424</v>
      </c>
      <c r="J281" s="396">
        <f>VLOOKUP(B281,Synthèse!$B$6:$O$314,12,FALSE)</f>
        <v>403269.19282881136</v>
      </c>
      <c r="K281" s="399">
        <f t="shared" si="14"/>
        <v>25495.19682706712</v>
      </c>
    </row>
    <row r="282" spans="1:11" ht="15" x14ac:dyDescent="0.25">
      <c r="A282" s="395">
        <v>5889</v>
      </c>
      <c r="B282" s="480" t="s">
        <v>52</v>
      </c>
      <c r="C282" s="402">
        <v>14480253.034720687</v>
      </c>
      <c r="D282" s="307">
        <f>VLOOKUP(B282,Synthèse!$B$6:$N$314,5,FALSE)</f>
        <v>13955976.078285433</v>
      </c>
      <c r="E282" s="399">
        <f t="shared" si="12"/>
        <v>-524276.95643525384</v>
      </c>
      <c r="F282" s="397">
        <v>6991266.2429940961</v>
      </c>
      <c r="G282" s="396">
        <f>VLOOKUP(B282,Synthèse!$B$6:$O$314,14,FALSE)</f>
        <v>7138995.1048888732</v>
      </c>
      <c r="H282" s="399">
        <f t="shared" si="13"/>
        <v>147728.86189477704</v>
      </c>
      <c r="I282" s="402">
        <v>875328.82378243306</v>
      </c>
      <c r="J282" s="396">
        <f>VLOOKUP(B282,Synthèse!$B$6:$O$314,12,FALSE)</f>
        <v>826399.19574650563</v>
      </c>
      <c r="K282" s="399">
        <f t="shared" si="14"/>
        <v>-48929.628035927424</v>
      </c>
    </row>
    <row r="283" spans="1:11" ht="15" x14ac:dyDescent="0.25">
      <c r="A283" s="395">
        <v>5890</v>
      </c>
      <c r="B283" s="480" t="s">
        <v>53</v>
      </c>
      <c r="C283" s="402">
        <v>18931922.019213811</v>
      </c>
      <c r="D283" s="307">
        <f>VLOOKUP(B283,Synthèse!$B$6:$N$314,5,FALSE)</f>
        <v>16686685.000984279</v>
      </c>
      <c r="E283" s="399">
        <f t="shared" si="12"/>
        <v>-2245237.0182295311</v>
      </c>
      <c r="F283" s="397">
        <v>2424353.2380393744</v>
      </c>
      <c r="G283" s="396">
        <f>VLOOKUP(B283,Synthèse!$B$6:$O$314,14,FALSE)</f>
        <v>1850832.6009549149</v>
      </c>
      <c r="H283" s="399">
        <f t="shared" si="13"/>
        <v>-573520.63708445942</v>
      </c>
      <c r="I283" s="402">
        <v>1237015.1967491552</v>
      </c>
      <c r="J283" s="396">
        <f>VLOOKUP(B283,Synthèse!$B$6:$O$314,12,FALSE)</f>
        <v>1164613.2000823771</v>
      </c>
      <c r="K283" s="399">
        <f t="shared" si="14"/>
        <v>-72401.996666778112</v>
      </c>
    </row>
    <row r="284" spans="1:11" ht="15" x14ac:dyDescent="0.25">
      <c r="A284" s="395">
        <v>5891</v>
      </c>
      <c r="B284" s="480" t="s">
        <v>54</v>
      </c>
      <c r="C284" s="402">
        <v>676037.65144603304</v>
      </c>
      <c r="D284" s="307">
        <f>VLOOKUP(B284,Synthèse!$B$6:$N$314,5,FALSE)</f>
        <v>657131.67224249791</v>
      </c>
      <c r="E284" s="399">
        <f t="shared" si="12"/>
        <v>-18905.979203535127</v>
      </c>
      <c r="F284" s="397">
        <v>197726.13126584771</v>
      </c>
      <c r="G284" s="396">
        <f>VLOOKUP(B284,Synthèse!$B$6:$O$314,14,FALSE)</f>
        <v>-376891.36309095292</v>
      </c>
      <c r="H284" s="399">
        <f t="shared" si="13"/>
        <v>-574617.49435680057</v>
      </c>
      <c r="I284" s="402">
        <v>45599.770315257963</v>
      </c>
      <c r="J284" s="396">
        <f>VLOOKUP(B284,Synthèse!$B$6:$O$314,12,FALSE)</f>
        <v>44348.372755511911</v>
      </c>
      <c r="K284" s="399">
        <f t="shared" si="14"/>
        <v>-1251.3975597460521</v>
      </c>
    </row>
    <row r="285" spans="1:11" ht="15" x14ac:dyDescent="0.25">
      <c r="A285" s="395">
        <v>5902</v>
      </c>
      <c r="B285" s="480" t="s">
        <v>55</v>
      </c>
      <c r="C285" s="402">
        <v>187746.09090443701</v>
      </c>
      <c r="D285" s="307">
        <f>VLOOKUP(B285,Synthèse!$B$6:$N$314,5,FALSE)</f>
        <v>385873.34319812362</v>
      </c>
      <c r="E285" s="399">
        <f t="shared" si="12"/>
        <v>198127.25229368662</v>
      </c>
      <c r="F285" s="397">
        <v>-375096.14957974944</v>
      </c>
      <c r="G285" s="396">
        <f>VLOOKUP(B285,Synthèse!$B$6:$O$314,14,FALSE)</f>
        <v>-42545.749940970054</v>
      </c>
      <c r="H285" s="399">
        <f t="shared" si="13"/>
        <v>332550.3996387794</v>
      </c>
      <c r="I285" s="402">
        <v>31245.255986036711</v>
      </c>
      <c r="J285" s="396">
        <f>VLOOKUP(B285,Synthèse!$B$6:$O$314,12,FALSE)</f>
        <v>32930.254940463463</v>
      </c>
      <c r="K285" s="399">
        <f t="shared" si="14"/>
        <v>1684.9989544267519</v>
      </c>
    </row>
    <row r="286" spans="1:11" ht="15" x14ac:dyDescent="0.25">
      <c r="A286" s="395">
        <v>5903</v>
      </c>
      <c r="B286" s="480" t="s">
        <v>56</v>
      </c>
      <c r="C286" s="402">
        <v>108983.29896686372</v>
      </c>
      <c r="D286" s="307">
        <f>VLOOKUP(B286,Synthèse!$B$6:$N$314,5,FALSE)</f>
        <v>102735.50322359994</v>
      </c>
      <c r="E286" s="399">
        <f t="shared" si="12"/>
        <v>-6247.7957432637777</v>
      </c>
      <c r="F286" s="397">
        <v>-295824.95177265059</v>
      </c>
      <c r="G286" s="396">
        <f>VLOOKUP(B286,Synthèse!$B$6:$O$314,14,FALSE)</f>
        <v>-200454.43436665041</v>
      </c>
      <c r="H286" s="399">
        <f t="shared" si="13"/>
        <v>95370.517406000174</v>
      </c>
      <c r="I286" s="402">
        <v>18635.108442320365</v>
      </c>
      <c r="J286" s="396">
        <f>VLOOKUP(B286,Synthèse!$B$6:$O$314,12,FALSE)</f>
        <v>19704.801467861522</v>
      </c>
      <c r="K286" s="399">
        <f t="shared" si="14"/>
        <v>1069.6930255411571</v>
      </c>
    </row>
    <row r="287" spans="1:11" ht="15" x14ac:dyDescent="0.25">
      <c r="A287" s="395">
        <v>5904</v>
      </c>
      <c r="B287" s="480" t="s">
        <v>57</v>
      </c>
      <c r="C287" s="402">
        <v>392853.98881152738</v>
      </c>
      <c r="D287" s="307">
        <f>VLOOKUP(B287,Synthèse!$B$6:$N$314,5,FALSE)</f>
        <v>349310.58205497119</v>
      </c>
      <c r="E287" s="399">
        <f t="shared" si="12"/>
        <v>-43543.406756556185</v>
      </c>
      <c r="F287" s="397">
        <v>324033.1944065179</v>
      </c>
      <c r="G287" s="396">
        <f>VLOOKUP(B287,Synthèse!$B$6:$O$314,14,FALSE)</f>
        <v>312008.90521760349</v>
      </c>
      <c r="H287" s="399">
        <f t="shared" si="13"/>
        <v>-12024.289188914408</v>
      </c>
      <c r="I287" s="402">
        <v>28095.675745869245</v>
      </c>
      <c r="J287" s="396">
        <f>VLOOKUP(B287,Synthèse!$B$6:$O$314,12,FALSE)</f>
        <v>26202.030678173414</v>
      </c>
      <c r="K287" s="399">
        <f t="shared" si="14"/>
        <v>-1893.6450676958302</v>
      </c>
    </row>
    <row r="288" spans="1:11" ht="15" x14ac:dyDescent="0.25">
      <c r="A288" s="395">
        <v>5905</v>
      </c>
      <c r="B288" s="480" t="s">
        <v>58</v>
      </c>
      <c r="C288" s="402">
        <v>407632.79951505992</v>
      </c>
      <c r="D288" s="307">
        <f>VLOOKUP(B288,Synthèse!$B$6:$N$314,5,FALSE)</f>
        <v>524215.59171682061</v>
      </c>
      <c r="E288" s="399">
        <f t="shared" si="12"/>
        <v>116582.79220176069</v>
      </c>
      <c r="F288" s="397">
        <v>120916.46577075892</v>
      </c>
      <c r="G288" s="396">
        <f>VLOOKUP(B288,Synthèse!$B$6:$O$314,14,FALSE)</f>
        <v>180544.95633827214</v>
      </c>
      <c r="H288" s="399">
        <f t="shared" si="13"/>
        <v>59628.490567513218</v>
      </c>
      <c r="I288" s="402">
        <v>70371.324934530698</v>
      </c>
      <c r="J288" s="396">
        <f>VLOOKUP(B288,Synthèse!$B$6:$O$314,12,FALSE)</f>
        <v>72663.514775867356</v>
      </c>
      <c r="K288" s="399">
        <f t="shared" si="14"/>
        <v>2292.189841336658</v>
      </c>
    </row>
    <row r="289" spans="1:11" ht="15" x14ac:dyDescent="0.25">
      <c r="A289" s="395">
        <v>5907</v>
      </c>
      <c r="B289" s="480" t="s">
        <v>59</v>
      </c>
      <c r="C289" s="402">
        <v>142794.91049998082</v>
      </c>
      <c r="D289" s="307">
        <f>VLOOKUP(B289,Synthèse!$B$6:$N$314,5,FALSE)</f>
        <v>144803.43237457945</v>
      </c>
      <c r="E289" s="399">
        <f t="shared" si="12"/>
        <v>2008.5218745986349</v>
      </c>
      <c r="F289" s="397">
        <v>-62923.964672007511</v>
      </c>
      <c r="G289" s="396">
        <f>VLOOKUP(B289,Synthèse!$B$6:$O$314,14,FALSE)</f>
        <v>-55015.859246391774</v>
      </c>
      <c r="H289" s="399">
        <f t="shared" si="13"/>
        <v>7908.1054256157367</v>
      </c>
      <c r="I289" s="402">
        <v>27438.454669421411</v>
      </c>
      <c r="J289" s="396">
        <f>VLOOKUP(B289,Synthèse!$B$6:$O$314,12,FALSE)</f>
        <v>28993.358855204882</v>
      </c>
      <c r="K289" s="399">
        <f t="shared" si="14"/>
        <v>1554.9041857834709</v>
      </c>
    </row>
    <row r="290" spans="1:11" ht="15" x14ac:dyDescent="0.25">
      <c r="A290" s="395">
        <v>5908</v>
      </c>
      <c r="B290" s="480" t="s">
        <v>60</v>
      </c>
      <c r="C290" s="402">
        <v>44849.231283886198</v>
      </c>
      <c r="D290" s="307">
        <f>VLOOKUP(B290,Synthèse!$B$6:$N$314,5,FALSE)</f>
        <v>51924.688683510503</v>
      </c>
      <c r="E290" s="399">
        <f t="shared" si="12"/>
        <v>7075.4573996243053</v>
      </c>
      <c r="F290" s="397">
        <v>-85086.251910373525</v>
      </c>
      <c r="G290" s="396">
        <f>VLOOKUP(B290,Synthèse!$B$6:$O$314,14,FALSE)</f>
        <v>-70401.172095428439</v>
      </c>
      <c r="H290" s="399">
        <f t="shared" si="13"/>
        <v>14685.079814945086</v>
      </c>
      <c r="I290" s="402">
        <v>8665.0271970379799</v>
      </c>
      <c r="J290" s="396">
        <f>VLOOKUP(B290,Synthèse!$B$6:$O$314,12,FALSE)</f>
        <v>10314.433611155951</v>
      </c>
      <c r="K290" s="399">
        <f t="shared" si="14"/>
        <v>1649.4064141179715</v>
      </c>
    </row>
    <row r="291" spans="1:11" ht="15" x14ac:dyDescent="0.25">
      <c r="A291" s="395">
        <v>5909</v>
      </c>
      <c r="B291" s="480" t="s">
        <v>61</v>
      </c>
      <c r="C291" s="402">
        <v>576775.45984185697</v>
      </c>
      <c r="D291" s="307">
        <f>VLOOKUP(B291,Synthèse!$B$6:$N$314,5,FALSE)</f>
        <v>586823.87853651529</v>
      </c>
      <c r="E291" s="399">
        <f t="shared" si="12"/>
        <v>10048.418694658321</v>
      </c>
      <c r="F291" s="397">
        <v>271440.53556373238</v>
      </c>
      <c r="G291" s="396">
        <f>VLOOKUP(B291,Synthèse!$B$6:$O$314,14,FALSE)</f>
        <v>411683.33636020357</v>
      </c>
      <c r="H291" s="399">
        <f t="shared" si="13"/>
        <v>140242.80079647119</v>
      </c>
      <c r="I291" s="402">
        <v>36154.323769624199</v>
      </c>
      <c r="J291" s="396">
        <f>VLOOKUP(B291,Synthèse!$B$6:$O$314,12,FALSE)</f>
        <v>38567.712929573499</v>
      </c>
      <c r="K291" s="399">
        <f t="shared" si="14"/>
        <v>2413.3891599492999</v>
      </c>
    </row>
    <row r="292" spans="1:11" ht="15" x14ac:dyDescent="0.25">
      <c r="A292" s="395">
        <v>5910</v>
      </c>
      <c r="B292" s="480" t="s">
        <v>62</v>
      </c>
      <c r="C292" s="402">
        <v>163295.0762243729</v>
      </c>
      <c r="D292" s="307">
        <f>VLOOKUP(B292,Synthèse!$B$6:$N$314,5,FALSE)</f>
        <v>226686.41271492222</v>
      </c>
      <c r="E292" s="399">
        <f t="shared" si="12"/>
        <v>63391.336490549322</v>
      </c>
      <c r="F292" s="397">
        <v>-115723.94280400831</v>
      </c>
      <c r="G292" s="396">
        <f>VLOOKUP(B292,Synthèse!$B$6:$O$314,14,FALSE)</f>
        <v>-53131.773833881933</v>
      </c>
      <c r="H292" s="399">
        <f t="shared" si="13"/>
        <v>62592.168970126382</v>
      </c>
      <c r="I292" s="402">
        <v>31942.816267713824</v>
      </c>
      <c r="J292" s="396">
        <f>VLOOKUP(B292,Synthèse!$B$6:$O$314,12,FALSE)</f>
        <v>31204.327784755606</v>
      </c>
      <c r="K292" s="399">
        <f t="shared" si="14"/>
        <v>-738.48848295821881</v>
      </c>
    </row>
    <row r="293" spans="1:11" ht="15" x14ac:dyDescent="0.25">
      <c r="A293" s="395">
        <v>5911</v>
      </c>
      <c r="B293" s="480" t="s">
        <v>63</v>
      </c>
      <c r="C293" s="402">
        <v>117032.87649888787</v>
      </c>
      <c r="D293" s="307">
        <f>VLOOKUP(B293,Synthèse!$B$6:$N$314,5,FALSE)</f>
        <v>107482.91467349989</v>
      </c>
      <c r="E293" s="399">
        <f t="shared" si="12"/>
        <v>-9549.9618253879744</v>
      </c>
      <c r="F293" s="397">
        <v>-3759.7329816445745</v>
      </c>
      <c r="G293" s="396">
        <f>VLOOKUP(B293,Synthèse!$B$6:$O$314,14,FALSE)</f>
        <v>27609.88101814063</v>
      </c>
      <c r="H293" s="399">
        <f t="shared" si="13"/>
        <v>31369.613999785204</v>
      </c>
      <c r="I293" s="402">
        <v>22556.577900190547</v>
      </c>
      <c r="J293" s="396">
        <f>VLOOKUP(B293,Synthèse!$B$6:$O$314,12,FALSE)</f>
        <v>24147.193327722052</v>
      </c>
      <c r="K293" s="399">
        <f t="shared" si="14"/>
        <v>1590.6154275315057</v>
      </c>
    </row>
    <row r="294" spans="1:11" ht="15" x14ac:dyDescent="0.25">
      <c r="A294" s="395">
        <v>5912</v>
      </c>
      <c r="B294" s="480" t="s">
        <v>64</v>
      </c>
      <c r="C294" s="402">
        <v>57396.857553934067</v>
      </c>
      <c r="D294" s="307">
        <f>VLOOKUP(B294,Synthèse!$B$6:$N$314,5,FALSE)</f>
        <v>58257.568193833831</v>
      </c>
      <c r="E294" s="399">
        <f t="shared" si="12"/>
        <v>860.71063989976392</v>
      </c>
      <c r="F294" s="397">
        <v>-58767.974539793562</v>
      </c>
      <c r="G294" s="396">
        <f>VLOOKUP(B294,Synthèse!$B$6:$O$314,14,FALSE)</f>
        <v>-45396.846031952198</v>
      </c>
      <c r="H294" s="399">
        <f t="shared" si="13"/>
        <v>13371.128507841364</v>
      </c>
      <c r="I294" s="402">
        <v>10034.634470239835</v>
      </c>
      <c r="J294" s="396">
        <f>VLOOKUP(B294,Synthèse!$B$6:$O$314,12,FALSE)</f>
        <v>12153.933632288612</v>
      </c>
      <c r="K294" s="399">
        <f t="shared" si="14"/>
        <v>2119.2991620487774</v>
      </c>
    </row>
    <row r="295" spans="1:11" ht="15" x14ac:dyDescent="0.25">
      <c r="A295" s="395">
        <v>5913</v>
      </c>
      <c r="B295" s="480" t="s">
        <v>65</v>
      </c>
      <c r="C295" s="402">
        <v>360966.81898382131</v>
      </c>
      <c r="D295" s="307">
        <f>VLOOKUP(B295,Synthèse!$B$6:$N$314,5,FALSE)</f>
        <v>400404.90661387151</v>
      </c>
      <c r="E295" s="399">
        <f t="shared" si="12"/>
        <v>39438.087630050199</v>
      </c>
      <c r="F295" s="397">
        <v>-182950.3790148024</v>
      </c>
      <c r="G295" s="396">
        <f>VLOOKUP(B295,Synthèse!$B$6:$O$314,14,FALSE)</f>
        <v>-88981.473401270428</v>
      </c>
      <c r="H295" s="399">
        <f t="shared" si="13"/>
        <v>93968.90561353197</v>
      </c>
      <c r="I295" s="402">
        <v>63150.283539814191</v>
      </c>
      <c r="J295" s="396">
        <f>VLOOKUP(B295,Synthèse!$B$6:$O$314,12,FALSE)</f>
        <v>65788.023220253992</v>
      </c>
      <c r="K295" s="399">
        <f t="shared" si="14"/>
        <v>2637.7396804398013</v>
      </c>
    </row>
    <row r="296" spans="1:11" ht="15" x14ac:dyDescent="0.25">
      <c r="A296" s="395">
        <v>5914</v>
      </c>
      <c r="B296" s="480" t="s">
        <v>66</v>
      </c>
      <c r="C296" s="402">
        <v>179307.1118264703</v>
      </c>
      <c r="D296" s="307">
        <f>VLOOKUP(B296,Synthèse!$B$6:$N$314,5,FALSE)</f>
        <v>159845.17356497375</v>
      </c>
      <c r="E296" s="399">
        <f t="shared" si="12"/>
        <v>-19461.938261496543</v>
      </c>
      <c r="F296" s="397">
        <v>-47346.945055022297</v>
      </c>
      <c r="G296" s="396">
        <f>VLOOKUP(B296,Synthèse!$B$6:$O$314,14,FALSE)</f>
        <v>-38752.500059840866</v>
      </c>
      <c r="H296" s="399">
        <f t="shared" si="13"/>
        <v>8594.4449951814313</v>
      </c>
      <c r="I296" s="402">
        <v>13197.743193890112</v>
      </c>
      <c r="J296" s="396">
        <f>VLOOKUP(B296,Synthèse!$B$6:$O$314,12,FALSE)</f>
        <v>12059.895668841322</v>
      </c>
      <c r="K296" s="399">
        <f t="shared" si="14"/>
        <v>-1137.84752504879</v>
      </c>
    </row>
    <row r="297" spans="1:11" ht="15" x14ac:dyDescent="0.25">
      <c r="A297" s="395">
        <v>5919</v>
      </c>
      <c r="B297" s="480" t="s">
        <v>394</v>
      </c>
      <c r="C297" s="402">
        <v>264235.91258829267</v>
      </c>
      <c r="D297" s="307">
        <f>VLOOKUP(B297,Synthèse!$B$6:$N$314,5,FALSE)</f>
        <v>287394.81815006572</v>
      </c>
      <c r="E297" s="399">
        <f t="shared" si="12"/>
        <v>23158.905561773048</v>
      </c>
      <c r="F297" s="397">
        <v>-259515.04697714397</v>
      </c>
      <c r="G297" s="396">
        <f>VLOOKUP(B297,Synthèse!$B$6:$O$314,14,FALSE)</f>
        <v>-39285.103272410721</v>
      </c>
      <c r="H297" s="399">
        <f t="shared" si="13"/>
        <v>220229.94370473325</v>
      </c>
      <c r="I297" s="402">
        <v>20711.497779504225</v>
      </c>
      <c r="J297" s="396">
        <f>VLOOKUP(B297,Synthèse!$B$6:$O$314,12,FALSE)</f>
        <v>20834.670068797404</v>
      </c>
      <c r="K297" s="399">
        <f t="shared" si="14"/>
        <v>123.17228929317935</v>
      </c>
    </row>
    <row r="298" spans="1:11" ht="15" x14ac:dyDescent="0.25">
      <c r="A298" s="395">
        <v>5921</v>
      </c>
      <c r="B298" s="480" t="s">
        <v>395</v>
      </c>
      <c r="C298" s="402">
        <v>95959.066900937949</v>
      </c>
      <c r="D298" s="307">
        <f>VLOOKUP(B298,Synthèse!$B$6:$N$314,5,FALSE)</f>
        <v>104839.66661120014</v>
      </c>
      <c r="E298" s="399">
        <f t="shared" si="12"/>
        <v>8880.5997102621914</v>
      </c>
      <c r="F298" s="397">
        <v>-96011.491149576905</v>
      </c>
      <c r="G298" s="396">
        <f>VLOOKUP(B298,Synthèse!$B$6:$O$314,14,FALSE)</f>
        <v>-100418.42322789677</v>
      </c>
      <c r="H298" s="399">
        <f t="shared" si="13"/>
        <v>-4406.9320783198636</v>
      </c>
      <c r="I298" s="402">
        <v>16847.570631593808</v>
      </c>
      <c r="J298" s="396">
        <f>VLOOKUP(B298,Synthèse!$B$6:$O$314,12,FALSE)</f>
        <v>17296.654694740315</v>
      </c>
      <c r="K298" s="399">
        <f t="shared" si="14"/>
        <v>449.08406314650711</v>
      </c>
    </row>
    <row r="299" spans="1:11" ht="15" x14ac:dyDescent="0.25">
      <c r="A299" s="395">
        <v>5922</v>
      </c>
      <c r="B299" s="480" t="s">
        <v>273</v>
      </c>
      <c r="C299" s="402">
        <v>942526.25436318631</v>
      </c>
      <c r="D299" s="307">
        <f>VLOOKUP(B299,Synthèse!$B$6:$N$314,5,FALSE)</f>
        <v>747041.01154707849</v>
      </c>
      <c r="E299" s="399">
        <f t="shared" si="12"/>
        <v>-195485.24281610781</v>
      </c>
      <c r="F299" s="397">
        <v>564193.75573606696</v>
      </c>
      <c r="G299" s="396">
        <f>VLOOKUP(B299,Synthèse!$B$6:$O$314,14,FALSE)</f>
        <v>457506.60005316802</v>
      </c>
      <c r="H299" s="399">
        <f t="shared" si="13"/>
        <v>-106687.15568289894</v>
      </c>
      <c r="I299" s="402">
        <v>115423.446343313</v>
      </c>
      <c r="J299" s="396">
        <f>VLOOKUP(B299,Synthèse!$B$6:$O$314,12,FALSE)</f>
        <v>108091.40898241052</v>
      </c>
      <c r="K299" s="399">
        <f t="shared" si="14"/>
        <v>-7332.0373609024828</v>
      </c>
    </row>
    <row r="300" spans="1:11" ht="15" x14ac:dyDescent="0.25">
      <c r="A300" s="395">
        <v>5923</v>
      </c>
      <c r="B300" s="480" t="s">
        <v>274</v>
      </c>
      <c r="C300" s="402">
        <v>83053.732659529574</v>
      </c>
      <c r="D300" s="307">
        <f>VLOOKUP(B300,Synthèse!$B$6:$N$314,5,FALSE)</f>
        <v>93606.158152203527</v>
      </c>
      <c r="E300" s="399">
        <f t="shared" si="12"/>
        <v>10552.425492673952</v>
      </c>
      <c r="F300" s="397">
        <v>-75075.305441797202</v>
      </c>
      <c r="G300" s="396">
        <f>VLOOKUP(B300,Synthèse!$B$6:$O$314,14,FALSE)</f>
        <v>-55063.75342350603</v>
      </c>
      <c r="H300" s="399">
        <f t="shared" si="13"/>
        <v>20011.552018291171</v>
      </c>
      <c r="I300" s="402">
        <v>14684.067621717595</v>
      </c>
      <c r="J300" s="396">
        <f>VLOOKUP(B300,Synthèse!$B$6:$O$314,12,FALSE)</f>
        <v>16598.652501049153</v>
      </c>
      <c r="K300" s="399">
        <f t="shared" si="14"/>
        <v>1914.5848793315581</v>
      </c>
    </row>
    <row r="301" spans="1:11" ht="15" x14ac:dyDescent="0.25">
      <c r="A301" s="395">
        <v>5924</v>
      </c>
      <c r="B301" s="480" t="s">
        <v>275</v>
      </c>
      <c r="C301" s="402">
        <v>174583.55253762961</v>
      </c>
      <c r="D301" s="307">
        <f>VLOOKUP(B301,Synthèse!$B$6:$N$314,5,FALSE)</f>
        <v>222774.89730027039</v>
      </c>
      <c r="E301" s="399">
        <f t="shared" si="12"/>
        <v>48191.344762640772</v>
      </c>
      <c r="F301" s="397">
        <v>61994.959716975281</v>
      </c>
      <c r="G301" s="396">
        <f>VLOOKUP(B301,Synthèse!$B$6:$O$314,14,FALSE)</f>
        <v>115637.1267969508</v>
      </c>
      <c r="H301" s="399">
        <f t="shared" si="13"/>
        <v>53642.167079975523</v>
      </c>
      <c r="I301" s="402">
        <v>33214.227877221849</v>
      </c>
      <c r="J301" s="396">
        <f>VLOOKUP(B301,Synthèse!$B$6:$O$314,12,FALSE)</f>
        <v>36587.084587154248</v>
      </c>
      <c r="K301" s="399">
        <f t="shared" si="14"/>
        <v>3372.8567099323991</v>
      </c>
    </row>
    <row r="302" spans="1:11" ht="15" x14ac:dyDescent="0.25">
      <c r="A302" s="395">
        <v>5925</v>
      </c>
      <c r="B302" s="480" t="s">
        <v>399</v>
      </c>
      <c r="C302" s="402">
        <v>79086.085852068121</v>
      </c>
      <c r="D302" s="307">
        <f>VLOOKUP(B302,Synthèse!$B$6:$N$314,5,FALSE)</f>
        <v>173932.65511753311</v>
      </c>
      <c r="E302" s="399">
        <f t="shared" si="12"/>
        <v>94846.56926546499</v>
      </c>
      <c r="F302" s="397">
        <v>-40899.373542492176</v>
      </c>
      <c r="G302" s="396">
        <f>VLOOKUP(B302,Synthèse!$B$6:$O$314,14,FALSE)</f>
        <v>-72311.309438191805</v>
      </c>
      <c r="H302" s="399">
        <f t="shared" si="13"/>
        <v>-31411.935895699629</v>
      </c>
      <c r="I302" s="402">
        <v>14897.785244945895</v>
      </c>
      <c r="J302" s="396">
        <f>VLOOKUP(B302,Synthèse!$B$6:$O$314,12,FALSE)</f>
        <v>16266.65197383745</v>
      </c>
      <c r="K302" s="399">
        <f t="shared" si="14"/>
        <v>1368.8667288915549</v>
      </c>
    </row>
    <row r="303" spans="1:11" ht="15" x14ac:dyDescent="0.25">
      <c r="A303" s="395">
        <v>5926</v>
      </c>
      <c r="B303" s="480" t="s">
        <v>400</v>
      </c>
      <c r="C303" s="402">
        <v>412039.5700541836</v>
      </c>
      <c r="D303" s="307">
        <f>VLOOKUP(B303,Synthèse!$B$6:$N$314,5,FALSE)</f>
        <v>452181.22679011256</v>
      </c>
      <c r="E303" s="399">
        <f t="shared" si="12"/>
        <v>40141.656735928962</v>
      </c>
      <c r="F303" s="397">
        <v>86373.42057486705</v>
      </c>
      <c r="G303" s="396">
        <f>VLOOKUP(B303,Synthèse!$B$6:$O$314,14,FALSE)</f>
        <v>221804.33234382031</v>
      </c>
      <c r="H303" s="399">
        <f t="shared" si="13"/>
        <v>135430.91176895326</v>
      </c>
      <c r="I303" s="402">
        <v>30183.96508370931</v>
      </c>
      <c r="J303" s="396">
        <f>VLOOKUP(B303,Synthèse!$B$6:$O$314,12,FALSE)</f>
        <v>32862.452068658647</v>
      </c>
      <c r="K303" s="399">
        <f t="shared" si="14"/>
        <v>2678.4869849493371</v>
      </c>
    </row>
    <row r="304" spans="1:11" ht="15" x14ac:dyDescent="0.25">
      <c r="A304" s="395">
        <v>5928</v>
      </c>
      <c r="B304" s="480" t="s">
        <v>401</v>
      </c>
      <c r="C304" s="402">
        <v>75963.904145805747</v>
      </c>
      <c r="D304" s="307">
        <f>VLOOKUP(B304,Synthèse!$B$6:$N$314,5,FALSE)</f>
        <v>116876.04460347054</v>
      </c>
      <c r="E304" s="399">
        <f t="shared" si="12"/>
        <v>40912.140457664791</v>
      </c>
      <c r="F304" s="397">
        <v>-31048.902539954513</v>
      </c>
      <c r="G304" s="396">
        <f>VLOOKUP(B304,Synthèse!$B$6:$O$314,14,FALSE)</f>
        <v>37125.416554212585</v>
      </c>
      <c r="H304" s="399">
        <f t="shared" si="13"/>
        <v>68174.319094167091</v>
      </c>
      <c r="I304" s="402">
        <v>14236.436994469712</v>
      </c>
      <c r="J304" s="396">
        <f>VLOOKUP(B304,Synthèse!$B$6:$O$314,12,FALSE)</f>
        <v>18530.676283177221</v>
      </c>
      <c r="K304" s="399">
        <f t="shared" si="14"/>
        <v>4294.2392887075093</v>
      </c>
    </row>
    <row r="305" spans="1:11" ht="15" x14ac:dyDescent="0.25">
      <c r="A305" s="395">
        <v>5929</v>
      </c>
      <c r="B305" s="480" t="s">
        <v>402</v>
      </c>
      <c r="C305" s="402">
        <v>312903.98814755795</v>
      </c>
      <c r="D305" s="307">
        <f>VLOOKUP(B305,Synthèse!$B$6:$N$314,5,FALSE)</f>
        <v>359492.71739480132</v>
      </c>
      <c r="E305" s="399">
        <f t="shared" si="12"/>
        <v>46588.729247243376</v>
      </c>
      <c r="F305" s="397">
        <v>44262.13057870105</v>
      </c>
      <c r="G305" s="396">
        <f>VLOOKUP(B305,Synthèse!$B$6:$O$314,14,FALSE)</f>
        <v>-17204.532661701356</v>
      </c>
      <c r="H305" s="399">
        <f t="shared" si="13"/>
        <v>-61466.663240402406</v>
      </c>
      <c r="I305" s="402">
        <v>22088.171408030696</v>
      </c>
      <c r="J305" s="396">
        <f>VLOOKUP(B305,Synthèse!$B$6:$O$314,12,FALSE)</f>
        <v>20575.977686069687</v>
      </c>
      <c r="K305" s="399">
        <f t="shared" si="14"/>
        <v>-1512.1937219610081</v>
      </c>
    </row>
    <row r="306" spans="1:11" ht="15" x14ac:dyDescent="0.25">
      <c r="A306" s="395">
        <v>5930</v>
      </c>
      <c r="B306" s="480" t="s">
        <v>403</v>
      </c>
      <c r="C306" s="402">
        <v>105378.70932442932</v>
      </c>
      <c r="D306" s="307">
        <f>VLOOKUP(B306,Synthèse!$B$6:$N$314,5,FALSE)</f>
        <v>87333.527148583991</v>
      </c>
      <c r="E306" s="399">
        <f t="shared" si="12"/>
        <v>-18045.18217584533</v>
      </c>
      <c r="F306" s="397">
        <v>-27790.532383926402</v>
      </c>
      <c r="G306" s="396">
        <f>VLOOKUP(B306,Synthèse!$B$6:$O$314,14,FALSE)</f>
        <v>-31661.279939888875</v>
      </c>
      <c r="H306" s="399">
        <f t="shared" si="13"/>
        <v>-3870.7475559624727</v>
      </c>
      <c r="I306" s="402">
        <v>6960.3294580675847</v>
      </c>
      <c r="J306" s="396">
        <f>VLOOKUP(B306,Synthèse!$B$6:$O$314,12,FALSE)</f>
        <v>6977.7230689884191</v>
      </c>
      <c r="K306" s="399">
        <f t="shared" si="14"/>
        <v>17.393610920834362</v>
      </c>
    </row>
    <row r="307" spans="1:11" ht="15" x14ac:dyDescent="0.25">
      <c r="A307" s="395">
        <v>5931</v>
      </c>
      <c r="B307" s="480" t="s">
        <v>404</v>
      </c>
      <c r="C307" s="402">
        <v>268138.73755232088</v>
      </c>
      <c r="D307" s="307">
        <f>VLOOKUP(B307,Synthèse!$B$6:$N$314,5,FALSE)</f>
        <v>202169.62888370399</v>
      </c>
      <c r="E307" s="399">
        <f t="shared" si="12"/>
        <v>-65969.108668616886</v>
      </c>
      <c r="F307" s="397">
        <v>37385.353739767954</v>
      </c>
      <c r="G307" s="396">
        <f>VLOOKUP(B307,Synthèse!$B$6:$O$314,14,FALSE)</f>
        <v>-69025.110389007677</v>
      </c>
      <c r="H307" s="399">
        <f t="shared" si="13"/>
        <v>-106410.46412877564</v>
      </c>
      <c r="I307" s="402">
        <v>17444.934807085705</v>
      </c>
      <c r="J307" s="396">
        <f>VLOOKUP(B307,Synthèse!$B$6:$O$314,12,FALSE)</f>
        <v>14547.674470059768</v>
      </c>
      <c r="K307" s="399">
        <f t="shared" si="14"/>
        <v>-2897.2603370259367</v>
      </c>
    </row>
    <row r="308" spans="1:11" ht="15" x14ac:dyDescent="0.25">
      <c r="A308" s="395">
        <v>5932</v>
      </c>
      <c r="B308" s="480" t="s">
        <v>276</v>
      </c>
      <c r="C308" s="402">
        <v>121350.37324242896</v>
      </c>
      <c r="D308" s="307">
        <f>VLOOKUP(B308,Synthèse!$B$6:$N$314,5,FALSE)</f>
        <v>144880.91357761036</v>
      </c>
      <c r="E308" s="399">
        <f t="shared" si="12"/>
        <v>23530.540335181402</v>
      </c>
      <c r="F308" s="397">
        <v>31320.244208029439</v>
      </c>
      <c r="G308" s="396">
        <f>VLOOKUP(B308,Synthèse!$B$6:$O$314,14,FALSE)</f>
        <v>71480.096226876922</v>
      </c>
      <c r="H308" s="399">
        <f t="shared" si="13"/>
        <v>40159.852018847479</v>
      </c>
      <c r="I308" s="402">
        <v>21823.780271558455</v>
      </c>
      <c r="J308" s="396">
        <f>VLOOKUP(B308,Synthèse!$B$6:$O$314,12,FALSE)</f>
        <v>25580.404144196087</v>
      </c>
      <c r="K308" s="399">
        <f t="shared" si="14"/>
        <v>3756.6238726376323</v>
      </c>
    </row>
    <row r="309" spans="1:11" ht="15" x14ac:dyDescent="0.25">
      <c r="A309" s="395">
        <v>5933</v>
      </c>
      <c r="B309" s="480" t="s">
        <v>397</v>
      </c>
      <c r="C309" s="402">
        <v>392645.09313171945</v>
      </c>
      <c r="D309" s="307">
        <f>VLOOKUP(B309,Synthèse!$B$6:$N$314,5,FALSE)</f>
        <v>393691.37522251782</v>
      </c>
      <c r="E309" s="399">
        <f t="shared" si="12"/>
        <v>1046.2820907983696</v>
      </c>
      <c r="F309" s="397">
        <v>-188749.96554441884</v>
      </c>
      <c r="G309" s="396">
        <f>VLOOKUP(B309,Synthèse!$B$6:$O$314,14,FALSE)</f>
        <v>5881.4040599003929</v>
      </c>
      <c r="H309" s="399">
        <f t="shared" si="13"/>
        <v>194631.36960431922</v>
      </c>
      <c r="I309" s="402">
        <v>65233.116776546354</v>
      </c>
      <c r="J309" s="396">
        <f>VLOOKUP(B309,Synthèse!$B$6:$O$314,12,FALSE)</f>
        <v>67292.295710370759</v>
      </c>
      <c r="K309" s="399">
        <f t="shared" si="14"/>
        <v>2059.1789338244052</v>
      </c>
    </row>
    <row r="310" spans="1:11" ht="15" x14ac:dyDescent="0.25">
      <c r="A310" s="395">
        <v>5934</v>
      </c>
      <c r="B310" s="480" t="s">
        <v>398</v>
      </c>
      <c r="C310" s="402">
        <v>107146.62692741159</v>
      </c>
      <c r="D310" s="307">
        <f>VLOOKUP(B310,Synthèse!$B$6:$N$314,5,FALSE)</f>
        <v>129869.26873665741</v>
      </c>
      <c r="E310" s="399">
        <f t="shared" si="12"/>
        <v>22722.641809245819</v>
      </c>
      <c r="F310" s="397">
        <v>2232.8016921666749</v>
      </c>
      <c r="G310" s="396">
        <f>VLOOKUP(B310,Synthèse!$B$6:$O$314,14,FALSE)</f>
        <v>-105212.36735342548</v>
      </c>
      <c r="H310" s="399">
        <f t="shared" si="13"/>
        <v>-107445.16904559215</v>
      </c>
      <c r="I310" s="402">
        <v>21666.115000815385</v>
      </c>
      <c r="J310" s="396">
        <f>VLOOKUP(B310,Synthèse!$B$6:$O$314,12,FALSE)</f>
        <v>23400.050393422702</v>
      </c>
      <c r="K310" s="399">
        <f t="shared" si="14"/>
        <v>1733.9353926073163</v>
      </c>
    </row>
    <row r="311" spans="1:11" ht="15" x14ac:dyDescent="0.25">
      <c r="A311" s="395">
        <v>5935</v>
      </c>
      <c r="B311" s="480" t="s">
        <v>299</v>
      </c>
      <c r="C311" s="402">
        <v>100802.47094133263</v>
      </c>
      <c r="D311" s="307">
        <f>VLOOKUP(B311,Synthèse!$B$6:$N$314,5,FALSE)</f>
        <v>72559.340643015399</v>
      </c>
      <c r="E311" s="399">
        <f t="shared" si="12"/>
        <v>-28243.130298317235</v>
      </c>
      <c r="F311" s="397">
        <v>81633.690019284797</v>
      </c>
      <c r="G311" s="396">
        <f>VLOOKUP(B311,Synthèse!$B$6:$O$314,14,FALSE)</f>
        <v>82245.689788968928</v>
      </c>
      <c r="H311" s="399">
        <f t="shared" si="13"/>
        <v>611.99976968413102</v>
      </c>
      <c r="I311" s="402">
        <v>16078.957715275981</v>
      </c>
      <c r="J311" s="396">
        <f>VLOOKUP(B311,Synthèse!$B$6:$O$314,12,FALSE)</f>
        <v>14706.153484095765</v>
      </c>
      <c r="K311" s="399">
        <f t="shared" si="14"/>
        <v>-1372.8042311802164</v>
      </c>
    </row>
    <row r="312" spans="1:11" ht="15" x14ac:dyDescent="0.25">
      <c r="A312" s="395">
        <v>5937</v>
      </c>
      <c r="B312" s="480" t="s">
        <v>277</v>
      </c>
      <c r="C312" s="402">
        <v>51201.522030865839</v>
      </c>
      <c r="D312" s="307">
        <f>VLOOKUP(B312,Synthèse!$B$6:$N$314,5,FALSE)</f>
        <v>61070.213679869732</v>
      </c>
      <c r="E312" s="399">
        <f t="shared" si="12"/>
        <v>9868.691649003893</v>
      </c>
      <c r="F312" s="397">
        <v>-38230.591091491835</v>
      </c>
      <c r="G312" s="396">
        <f>VLOOKUP(B312,Synthèse!$B$6:$O$314,14,FALSE)</f>
        <v>-53261.509181037371</v>
      </c>
      <c r="H312" s="399">
        <f t="shared" si="13"/>
        <v>-15030.918089545536</v>
      </c>
      <c r="I312" s="402">
        <v>9018.0757008381588</v>
      </c>
      <c r="J312" s="396">
        <f>VLOOKUP(B312,Synthèse!$B$6:$O$314,12,FALSE)</f>
        <v>9060.7199484236153</v>
      </c>
      <c r="K312" s="399">
        <f t="shared" si="14"/>
        <v>42.644247585456469</v>
      </c>
    </row>
    <row r="313" spans="1:11" ht="15" x14ac:dyDescent="0.25">
      <c r="A313" s="395">
        <v>5938</v>
      </c>
      <c r="B313" s="480" t="s">
        <v>150</v>
      </c>
      <c r="C313" s="402">
        <v>15062215.323136562</v>
      </c>
      <c r="D313" s="307">
        <f>VLOOKUP(B313,Synthèse!$B$6:$N$314,5,FALSE)</f>
        <v>14771659.955779977</v>
      </c>
      <c r="E313" s="399">
        <f t="shared" si="12"/>
        <v>-290555.36735658534</v>
      </c>
      <c r="F313" s="397">
        <v>-29171709.519295543</v>
      </c>
      <c r="G313" s="396">
        <f>VLOOKUP(B313,Synthèse!$B$6:$O$314,14,FALSE)</f>
        <v>-31097719.181695879</v>
      </c>
      <c r="H313" s="399">
        <f t="shared" si="13"/>
        <v>-1926009.6624003351</v>
      </c>
      <c r="I313" s="402">
        <v>1004746.5882064844</v>
      </c>
      <c r="J313" s="396">
        <f>VLOOKUP(B313,Synthèse!$B$6:$O$314,12,FALSE)</f>
        <v>939977.24754190596</v>
      </c>
      <c r="K313" s="399">
        <f t="shared" si="14"/>
        <v>-64769.340664578485</v>
      </c>
    </row>
    <row r="314" spans="1:11" ht="15" x14ac:dyDescent="0.25">
      <c r="A314" s="395">
        <v>5939</v>
      </c>
      <c r="B314" s="480" t="s">
        <v>149</v>
      </c>
      <c r="C314" s="402">
        <v>2094036.9781664775</v>
      </c>
      <c r="D314" s="307">
        <f>VLOOKUP(B314,Synthèse!$B$6:$N$314,5,FALSE)</f>
        <v>2051859.3401681427</v>
      </c>
      <c r="E314" s="399">
        <f t="shared" si="12"/>
        <v>-42177.637998334831</v>
      </c>
      <c r="F314" s="397">
        <v>-736918.82767291181</v>
      </c>
      <c r="G314" s="396">
        <f>VLOOKUP(B314,Synthèse!$B$6:$O$314,14,FALSE)</f>
        <v>-892378.76394484937</v>
      </c>
      <c r="H314" s="399">
        <f t="shared" si="13"/>
        <v>-155459.93627193756</v>
      </c>
      <c r="I314" s="402">
        <v>291670.74174863636</v>
      </c>
      <c r="J314" s="396">
        <f>VLOOKUP(B314,Synthèse!$B$6:$O$314,12,FALSE)</f>
        <v>287184.23604562745</v>
      </c>
      <c r="K314" s="399">
        <f t="shared" si="14"/>
        <v>-4486.5057030089083</v>
      </c>
    </row>
    <row r="315" spans="1:11" ht="15" x14ac:dyDescent="0.25">
      <c r="A315" s="390"/>
      <c r="B315" s="389">
        <v>309</v>
      </c>
      <c r="C315" s="403">
        <f>SUM(C6:C314)</f>
        <v>817484999.99999976</v>
      </c>
      <c r="D315" s="481">
        <f t="shared" ref="D315:K315" si="15">SUM(D6:D314)</f>
        <v>825655960</v>
      </c>
      <c r="E315" s="403">
        <f t="shared" si="15"/>
        <v>8170959.9999999646</v>
      </c>
      <c r="F315" s="403">
        <f t="shared" si="15"/>
        <v>450000.0000001397</v>
      </c>
      <c r="G315" s="481">
        <f t="shared" si="15"/>
        <v>450000.43431089818</v>
      </c>
      <c r="H315" s="403">
        <f t="shared" si="15"/>
        <v>0.43431071657687426</v>
      </c>
      <c r="I315" s="403">
        <f t="shared" si="15"/>
        <v>67922836.702568084</v>
      </c>
      <c r="J315" s="481">
        <f t="shared" si="15"/>
        <v>67922836.702568084</v>
      </c>
      <c r="K315" s="403">
        <f t="shared" si="15"/>
        <v>2.2992026060819626E-9</v>
      </c>
    </row>
    <row r="316" spans="1:11" ht="15" x14ac:dyDescent="0.25">
      <c r="A316" s="386"/>
      <c r="B316" s="386"/>
      <c r="C316" s="386"/>
      <c r="D316" s="407"/>
      <c r="E316" s="386"/>
      <c r="F316" s="386"/>
      <c r="G316" s="386"/>
      <c r="H316" s="386"/>
      <c r="I316" s="404"/>
      <c r="J316" s="387"/>
      <c r="K316" s="386"/>
    </row>
    <row r="317" spans="1:11" ht="15" x14ac:dyDescent="0.25">
      <c r="A317" s="386"/>
      <c r="B317" s="386"/>
      <c r="C317" s="386"/>
      <c r="D317" s="386"/>
      <c r="E317" s="386"/>
      <c r="F317" s="386"/>
      <c r="G317" s="386"/>
      <c r="H317" s="386"/>
      <c r="I317" s="404"/>
      <c r="J317" s="387"/>
      <c r="K317" s="386"/>
    </row>
    <row r="318" spans="1:11" ht="15" x14ac:dyDescent="0.25">
      <c r="A318" s="386"/>
      <c r="B318" s="386"/>
      <c r="C318" s="386"/>
      <c r="D318" s="386"/>
      <c r="E318" s="386"/>
      <c r="F318" s="386"/>
      <c r="G318" s="386"/>
      <c r="H318" s="386"/>
      <c r="I318" s="404"/>
      <c r="J318" s="386"/>
      <c r="K318" s="386"/>
    </row>
    <row r="319" spans="1:11" ht="15" x14ac:dyDescent="0.25">
      <c r="A319" s="386"/>
      <c r="B319" s="386"/>
      <c r="C319" s="386"/>
      <c r="D319" s="386"/>
      <c r="E319" s="386"/>
      <c r="F319" s="386"/>
      <c r="G319" s="386"/>
      <c r="H319" s="386"/>
      <c r="I319" s="388"/>
      <c r="J319" s="386"/>
      <c r="K319" s="386"/>
    </row>
  </sheetData>
  <mergeCells count="6">
    <mergeCell ref="I4:K4"/>
    <mergeCell ref="A1:E1"/>
    <mergeCell ref="A4:A5"/>
    <mergeCell ref="B4:B5"/>
    <mergeCell ref="C4:E4"/>
    <mergeCell ref="F4:H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3" tint="0.39997558519241921"/>
    <pageSetUpPr fitToPage="1"/>
  </sheetPr>
  <dimension ref="B1:I69"/>
  <sheetViews>
    <sheetView tabSelected="1" workbookViewId="0">
      <selection activeCell="C3" sqref="C3:E3"/>
    </sheetView>
  </sheetViews>
  <sheetFormatPr baseColWidth="10" defaultColWidth="10.875" defaultRowHeight="15" x14ac:dyDescent="0.25"/>
  <cols>
    <col min="1" max="1" width="3.375" style="164" customWidth="1"/>
    <col min="2" max="2" width="17.125" style="164" customWidth="1"/>
    <col min="3" max="4" width="12.75" style="164" customWidth="1"/>
    <col min="5" max="6" width="12.75" style="207" customWidth="1"/>
    <col min="7" max="7" width="13.875" style="164" bestFit="1" customWidth="1"/>
    <col min="8" max="16384" width="10.875" style="164"/>
  </cols>
  <sheetData>
    <row r="1" spans="2:9" ht="31.5" x14ac:dyDescent="0.5">
      <c r="B1" s="202" t="s">
        <v>484</v>
      </c>
    </row>
    <row r="3" spans="2:9" s="208" customFormat="1" ht="26.25" x14ac:dyDescent="0.4">
      <c r="B3" s="211"/>
      <c r="C3" s="518"/>
      <c r="D3" s="518"/>
      <c r="E3" s="518"/>
      <c r="F3" s="209"/>
    </row>
    <row r="6" spans="2:9" ht="18.75" x14ac:dyDescent="0.3">
      <c r="B6" s="517" t="str">
        <f>CONCATENATE("Péréquation, ",Paramètres!B5)</f>
        <v>Péréquation, Décompte 2019</v>
      </c>
      <c r="C6" s="517"/>
      <c r="D6" s="517"/>
      <c r="E6" s="517"/>
      <c r="F6" s="517"/>
    </row>
    <row r="7" spans="2:9" s="240" customFormat="1" ht="18.75" x14ac:dyDescent="0.3">
      <c r="B7" s="517">
        <f>C3</f>
        <v>0</v>
      </c>
      <c r="C7" s="517"/>
      <c r="D7" s="517"/>
      <c r="E7" s="517"/>
      <c r="F7" s="517"/>
    </row>
    <row r="8" spans="2:9" s="240" customFormat="1" ht="12.75" x14ac:dyDescent="0.2">
      <c r="B8" s="247" t="e">
        <f>CONCATENATE("Population : ",VLOOKUP($B$7,'A) Base RI'!$B$7:$AO$315,40,FALSE))</f>
        <v>#N/A</v>
      </c>
      <c r="C8" s="238"/>
      <c r="D8" s="238"/>
      <c r="E8" s="239"/>
      <c r="F8" s="246" t="e">
        <f>CONCATENATE("N° OFS : ",VLOOKUP($B$7,Paramètres!$A$70:$B$378,2,FALSE))</f>
        <v>#N/A</v>
      </c>
    </row>
    <row r="9" spans="2:9" s="240" customFormat="1" ht="12.75" x14ac:dyDescent="0.2">
      <c r="B9" s="247" t="e">
        <f>CONCATENATE("Taux : ",VLOOKUP($B$7,'A) Base RI'!$B$7:$AO$315,39,FALSE))</f>
        <v>#N/A</v>
      </c>
      <c r="C9" s="238"/>
      <c r="D9" s="238"/>
      <c r="E9" s="239"/>
      <c r="F9" s="319" t="e">
        <f>CONCATENATE("Point impôt communal : ",ROUND(VLOOKUP(B7,'D) Ecrêtage'!B5:M322,2,FALSE),0))</f>
        <v>#N/A</v>
      </c>
    </row>
    <row r="10" spans="2:9" s="240" customFormat="1" ht="12.75" x14ac:dyDescent="0.2">
      <c r="B10" s="238"/>
      <c r="C10" s="238"/>
      <c r="D10" s="238"/>
      <c r="E10" s="239"/>
      <c r="F10" s="319"/>
      <c r="H10" s="346"/>
      <c r="I10" s="346"/>
    </row>
    <row r="11" spans="2:9" ht="18" x14ac:dyDescent="0.35">
      <c r="B11" s="232" t="s">
        <v>510</v>
      </c>
      <c r="C11" s="106"/>
      <c r="D11" s="106"/>
      <c r="E11" s="210"/>
      <c r="F11" s="210"/>
      <c r="G11" s="207"/>
    </row>
    <row r="12" spans="2:9" s="240" customFormat="1" ht="6" customHeight="1" x14ac:dyDescent="0.2">
      <c r="B12" s="238"/>
      <c r="C12" s="238"/>
      <c r="D12" s="238"/>
      <c r="E12" s="239"/>
      <c r="F12" s="239"/>
      <c r="G12" s="486"/>
    </row>
    <row r="13" spans="2:9" s="240" customFormat="1" ht="12.75" x14ac:dyDescent="0.2">
      <c r="B13" s="245" t="s">
        <v>436</v>
      </c>
      <c r="C13" s="238"/>
      <c r="D13" s="238"/>
      <c r="E13" s="239"/>
      <c r="F13" s="239"/>
      <c r="G13" s="486"/>
    </row>
    <row r="14" spans="2:9" s="240" customFormat="1" ht="12.75" x14ac:dyDescent="0.2">
      <c r="B14" s="238" t="s">
        <v>474</v>
      </c>
      <c r="C14" s="238"/>
      <c r="D14" s="238"/>
      <c r="E14" s="241" t="e">
        <f>VLOOKUP($C$3,'C) Prél. conj.'!$B$3:$E$391,2,FALSE)*0.5</f>
        <v>#N/A</v>
      </c>
      <c r="F14" s="239"/>
      <c r="G14" s="486"/>
    </row>
    <row r="15" spans="2:9" s="240" customFormat="1" ht="12.75" x14ac:dyDescent="0.2">
      <c r="B15" s="238" t="s">
        <v>194</v>
      </c>
      <c r="C15" s="238"/>
      <c r="D15" s="238"/>
      <c r="E15" s="241" t="e">
        <f>VLOOKUP($C$3,'C) Prél. conj.'!$B$3:$E$391,3,FALSE)*0.3</f>
        <v>#N/A</v>
      </c>
      <c r="F15" s="239" t="e">
        <f>E14+E15</f>
        <v>#N/A</v>
      </c>
      <c r="G15" s="486"/>
    </row>
    <row r="16" spans="2:9" s="240" customFormat="1" ht="6" customHeight="1" x14ac:dyDescent="0.2">
      <c r="B16" s="238"/>
      <c r="C16" s="238"/>
      <c r="D16" s="238"/>
      <c r="E16" s="239"/>
      <c r="F16" s="239"/>
      <c r="G16" s="486"/>
    </row>
    <row r="17" spans="2:7" s="240" customFormat="1" ht="12.75" x14ac:dyDescent="0.2">
      <c r="B17" s="245" t="s">
        <v>472</v>
      </c>
      <c r="C17" s="238"/>
      <c r="D17" s="238"/>
      <c r="E17" s="239"/>
      <c r="F17" s="239"/>
      <c r="G17" s="486"/>
    </row>
    <row r="18" spans="2:7" s="240" customFormat="1" ht="12.75" x14ac:dyDescent="0.2">
      <c r="B18" s="238" t="s">
        <v>544</v>
      </c>
      <c r="C18" s="238"/>
      <c r="D18" s="242" t="e">
        <f>VLOOKUP($C$3,'D) Ecrêtage'!$B$3:$M$391,11,FALSE)</f>
        <v>#N/A</v>
      </c>
      <c r="E18" s="239"/>
      <c r="F18" s="239" t="e">
        <f>VLOOKUP($C$3,'D) Ecrêtage'!$B$3:$M$391,12,FALSE)</f>
        <v>#N/A</v>
      </c>
      <c r="G18" s="486"/>
    </row>
    <row r="19" spans="2:7" s="240" customFormat="1" ht="6" customHeight="1" x14ac:dyDescent="0.2">
      <c r="B19" s="238"/>
      <c r="C19" s="238"/>
      <c r="D19" s="238"/>
      <c r="E19" s="239"/>
      <c r="F19" s="239"/>
      <c r="G19" s="486"/>
    </row>
    <row r="20" spans="2:7" s="240" customFormat="1" ht="12.75" x14ac:dyDescent="0.2">
      <c r="B20" s="245" t="s">
        <v>475</v>
      </c>
      <c r="C20" s="238"/>
      <c r="D20" s="238"/>
      <c r="E20" s="239"/>
      <c r="F20" s="239"/>
      <c r="G20" s="486"/>
    </row>
    <row r="21" spans="2:7" s="240" customFormat="1" ht="12.75" x14ac:dyDescent="0.2">
      <c r="B21" s="238" t="str">
        <f>CONCATENATE("Nombre de points à répartir ",ROUND('E) Fact soc'!D7,2))</f>
        <v>Nombre de points à répartir 14.69</v>
      </c>
      <c r="C21" s="238"/>
      <c r="D21" s="238"/>
      <c r="E21" s="239"/>
      <c r="F21" s="239"/>
      <c r="G21" s="486"/>
    </row>
    <row r="22" spans="2:7" s="240" customFormat="1" ht="12.75" x14ac:dyDescent="0.2">
      <c r="B22" s="238" t="s">
        <v>483</v>
      </c>
      <c r="C22" s="238"/>
      <c r="D22" s="238"/>
      <c r="E22" s="239"/>
      <c r="F22" s="239" t="e">
        <f>VLOOKUP($C$3,'E) Fact soc'!$B$9:$G$391,5,FALSE)</f>
        <v>#N/A</v>
      </c>
      <c r="G22" s="486"/>
    </row>
    <row r="23" spans="2:7" s="240" customFormat="1" ht="6" customHeight="1" x14ac:dyDescent="0.2">
      <c r="B23" s="238"/>
      <c r="C23" s="238"/>
      <c r="D23" s="238"/>
      <c r="E23" s="239"/>
      <c r="F23" s="243"/>
      <c r="G23" s="486"/>
    </row>
    <row r="24" spans="2:7" s="240" customFormat="1" ht="12.75" x14ac:dyDescent="0.2">
      <c r="B24" s="245" t="s">
        <v>476</v>
      </c>
      <c r="C24" s="238"/>
      <c r="D24" s="238"/>
      <c r="E24" s="239"/>
      <c r="F24" s="244" t="e">
        <f>F15+F18+F22</f>
        <v>#N/A</v>
      </c>
      <c r="G24" s="486"/>
    </row>
    <row r="25" spans="2:7" s="240" customFormat="1" ht="6" customHeight="1" x14ac:dyDescent="0.2">
      <c r="B25" s="238"/>
      <c r="C25" s="238"/>
      <c r="D25" s="238"/>
      <c r="E25" s="239"/>
      <c r="F25" s="239"/>
      <c r="G25" s="486"/>
    </row>
    <row r="26" spans="2:7" ht="18" x14ac:dyDescent="0.35">
      <c r="B26" s="232" t="s">
        <v>511</v>
      </c>
      <c r="C26" s="106"/>
      <c r="D26" s="106"/>
      <c r="E26" s="210"/>
      <c r="F26" s="210"/>
      <c r="G26" s="207"/>
    </row>
    <row r="27" spans="2:7" s="240" customFormat="1" ht="6" customHeight="1" x14ac:dyDescent="0.2">
      <c r="B27" s="238"/>
      <c r="C27" s="238"/>
      <c r="D27" s="238"/>
      <c r="E27" s="239"/>
      <c r="F27" s="239"/>
      <c r="G27" s="486"/>
    </row>
    <row r="28" spans="2:7" s="240" customFormat="1" ht="12.75" x14ac:dyDescent="0.2">
      <c r="B28" s="245" t="s">
        <v>304</v>
      </c>
      <c r="C28" s="238"/>
      <c r="D28" s="238"/>
      <c r="E28" s="239"/>
      <c r="F28" s="239" t="e">
        <f>-VLOOKUP($C$3,'F) Population'!$B$8:$K$391,10,FALSE)</f>
        <v>#N/A</v>
      </c>
      <c r="G28" s="486"/>
    </row>
    <row r="29" spans="2:7" s="240" customFormat="1" ht="6" customHeight="1" x14ac:dyDescent="0.2">
      <c r="B29" s="238"/>
      <c r="C29" s="238"/>
      <c r="D29" s="238"/>
      <c r="E29" s="239"/>
      <c r="F29" s="239"/>
      <c r="G29" s="486"/>
    </row>
    <row r="30" spans="2:7" s="240" customFormat="1" ht="12.75" x14ac:dyDescent="0.2">
      <c r="B30" s="245" t="s">
        <v>477</v>
      </c>
      <c r="C30" s="238"/>
      <c r="D30" s="238"/>
      <c r="E30" s="239"/>
      <c r="F30" s="239" t="e">
        <f>-VLOOKUP($C$3,'G) Solidarité'!$B$5:$I$391,8,FALSE)</f>
        <v>#N/A</v>
      </c>
      <c r="G30" s="486"/>
    </row>
    <row r="31" spans="2:7" s="240" customFormat="1" ht="6" customHeight="1" x14ac:dyDescent="0.2">
      <c r="B31" s="238"/>
      <c r="C31" s="238"/>
      <c r="D31" s="238"/>
      <c r="E31" s="239"/>
      <c r="F31" s="239"/>
      <c r="G31" s="486"/>
    </row>
    <row r="32" spans="2:7" s="240" customFormat="1" ht="12.75" x14ac:dyDescent="0.2">
      <c r="B32" s="245" t="s">
        <v>139</v>
      </c>
      <c r="C32" s="238"/>
      <c r="D32" s="238"/>
      <c r="E32" s="239"/>
      <c r="F32" s="239"/>
      <c r="G32" s="486"/>
    </row>
    <row r="33" spans="2:8" s="240" customFormat="1" ht="12.75" x14ac:dyDescent="0.2">
      <c r="B33" s="238" t="s">
        <v>478</v>
      </c>
      <c r="C33" s="238"/>
      <c r="D33" s="238"/>
      <c r="E33" s="241" t="e">
        <f>VLOOKUP(B7,'I) Dépenses thématiques'!B5:O313,9,FALSE)</f>
        <v>#N/A</v>
      </c>
      <c r="F33" s="239"/>
      <c r="G33" s="486"/>
    </row>
    <row r="34" spans="2:8" s="240" customFormat="1" ht="12.75" x14ac:dyDescent="0.2">
      <c r="B34" s="238" t="s">
        <v>214</v>
      </c>
      <c r="C34" s="238"/>
      <c r="D34" s="238"/>
      <c r="E34" s="241" t="e">
        <f>VLOOKUP(B7,'I) Dépenses thématiques'!B5:O313,13,FALSE)</f>
        <v>#N/A</v>
      </c>
      <c r="F34" s="239" t="e">
        <f>SUM(E33:E34)</f>
        <v>#N/A</v>
      </c>
      <c r="G34" s="486"/>
    </row>
    <row r="35" spans="2:8" s="240" customFormat="1" ht="6" customHeight="1" x14ac:dyDescent="0.2">
      <c r="B35" s="238"/>
      <c r="C35" s="238"/>
      <c r="D35" s="238"/>
      <c r="E35" s="239"/>
      <c r="F35" s="239"/>
      <c r="G35" s="486"/>
    </row>
    <row r="36" spans="2:8" s="240" customFormat="1" ht="12.75" x14ac:dyDescent="0.2">
      <c r="B36" s="245" t="s">
        <v>479</v>
      </c>
      <c r="C36" s="238"/>
      <c r="D36" s="238"/>
      <c r="E36" s="239"/>
      <c r="F36" s="239"/>
      <c r="G36" s="486"/>
    </row>
    <row r="37" spans="2:8" s="240" customFormat="1" ht="12.75" x14ac:dyDescent="0.2">
      <c r="B37" s="238" t="s">
        <v>536</v>
      </c>
      <c r="C37" s="238"/>
      <c r="D37" s="238"/>
      <c r="E37" s="241" t="e">
        <f>VLOOKUP($C$3,'J) Plafonnement effort'!$B$5:$I$391,8,FALSE)</f>
        <v>#N/A</v>
      </c>
      <c r="F37" s="239"/>
      <c r="G37" s="486"/>
    </row>
    <row r="38" spans="2:8" s="240" customFormat="1" ht="12.75" x14ac:dyDescent="0.2">
      <c r="B38" s="238" t="s">
        <v>480</v>
      </c>
      <c r="C38" s="238"/>
      <c r="D38" s="238"/>
      <c r="E38" s="241" t="e">
        <f>VLOOKUP($C$3,'K) Plafonnement aide'!$B$5:$J$391,9,FALSE)</f>
        <v>#N/A</v>
      </c>
      <c r="F38" s="239"/>
      <c r="G38" s="486"/>
    </row>
    <row r="39" spans="2:8" s="240" customFormat="1" ht="12.75" x14ac:dyDescent="0.2">
      <c r="B39" s="238" t="s">
        <v>481</v>
      </c>
      <c r="C39" s="238"/>
      <c r="D39" s="238"/>
      <c r="E39" s="241" t="e">
        <f>VLOOKUP($C$3,'L) Plafonnement taux'!$B$6:$Q$391,16,FALSE)</f>
        <v>#N/A</v>
      </c>
      <c r="F39" s="239" t="e">
        <f>SUM(E37:E39)</f>
        <v>#N/A</v>
      </c>
      <c r="G39" s="486"/>
    </row>
    <row r="40" spans="2:8" s="240" customFormat="1" ht="6" customHeight="1" x14ac:dyDescent="0.2">
      <c r="B40" s="238"/>
      <c r="C40" s="238"/>
      <c r="D40" s="238"/>
      <c r="E40" s="239"/>
      <c r="F40" s="239"/>
      <c r="G40" s="486"/>
    </row>
    <row r="41" spans="2:8" s="240" customFormat="1" ht="12.75" x14ac:dyDescent="0.2">
      <c r="B41" s="245" t="s">
        <v>94</v>
      </c>
      <c r="C41" s="238"/>
      <c r="D41" s="238"/>
      <c r="E41" s="239"/>
      <c r="F41" s="239" t="e">
        <f>VLOOKUP($C$3,'H) Péréquation directe'!$B$16:$I$391,4,FALSE)</f>
        <v>#N/A</v>
      </c>
      <c r="G41" s="486"/>
    </row>
    <row r="42" spans="2:8" s="240" customFormat="1" ht="6" customHeight="1" x14ac:dyDescent="0.2">
      <c r="B42" s="238"/>
      <c r="C42" s="238"/>
      <c r="D42" s="238"/>
      <c r="E42" s="239"/>
      <c r="F42" s="243"/>
      <c r="G42" s="486"/>
    </row>
    <row r="43" spans="2:8" s="240" customFormat="1" ht="12.75" x14ac:dyDescent="0.2">
      <c r="B43" s="245" t="s">
        <v>482</v>
      </c>
      <c r="C43" s="238"/>
      <c r="D43" s="238"/>
      <c r="E43" s="239"/>
      <c r="F43" s="347" t="e">
        <f>SUM(F27:F42)</f>
        <v>#N/A</v>
      </c>
      <c r="G43" s="486"/>
      <c r="H43" s="346"/>
    </row>
    <row r="44" spans="2:8" s="240" customFormat="1" ht="6" customHeight="1" x14ac:dyDescent="0.2">
      <c r="B44" s="238"/>
      <c r="C44" s="238"/>
      <c r="D44" s="238"/>
      <c r="E44" s="239"/>
      <c r="F44" s="239"/>
      <c r="G44" s="486"/>
    </row>
    <row r="45" spans="2:8" ht="18" x14ac:dyDescent="0.35">
      <c r="B45" s="232" t="s">
        <v>512</v>
      </c>
      <c r="C45" s="106"/>
      <c r="D45" s="106"/>
      <c r="E45" s="210"/>
      <c r="F45" s="210"/>
      <c r="G45" s="207"/>
    </row>
    <row r="46" spans="2:8" s="240" customFormat="1" ht="6" customHeight="1" x14ac:dyDescent="0.2">
      <c r="B46" s="238"/>
      <c r="C46" s="238"/>
      <c r="D46" s="238"/>
      <c r="E46" s="239"/>
      <c r="F46" s="239"/>
      <c r="G46" s="486"/>
    </row>
    <row r="47" spans="2:8" s="240" customFormat="1" ht="12.75" x14ac:dyDescent="0.2">
      <c r="B47" s="238" t="s">
        <v>494</v>
      </c>
      <c r="C47" s="238"/>
      <c r="D47" s="238"/>
      <c r="E47" s="241" t="e">
        <f>VLOOKUP($C$3,'M) Police'!$B$6:$N$396,10,FALSE)</f>
        <v>#N/A</v>
      </c>
      <c r="F47" s="239"/>
      <c r="G47" s="486"/>
    </row>
    <row r="48" spans="2:8" s="240" customFormat="1" ht="12.75" x14ac:dyDescent="0.2">
      <c r="B48" s="238" t="s">
        <v>495</v>
      </c>
      <c r="C48" s="238"/>
      <c r="D48" s="238"/>
      <c r="E48" s="241" t="e">
        <f>VLOOKUP($C$3,'M) Police'!$B$6:$N$396,13,FALSE)</f>
        <v>#N/A</v>
      </c>
      <c r="F48" s="239" t="e">
        <f>E47+E48</f>
        <v>#N/A</v>
      </c>
      <c r="G48" s="486"/>
    </row>
    <row r="49" spans="2:7" s="240" customFormat="1" ht="12.75" x14ac:dyDescent="0.2">
      <c r="B49" s="238"/>
      <c r="C49" s="238"/>
      <c r="D49" s="238"/>
      <c r="E49" s="239"/>
      <c r="F49" s="243"/>
      <c r="G49" s="486"/>
    </row>
    <row r="50" spans="2:7" s="240" customFormat="1" ht="12.75" x14ac:dyDescent="0.2">
      <c r="B50" s="245" t="s">
        <v>500</v>
      </c>
      <c r="C50" s="238"/>
      <c r="D50" s="238"/>
      <c r="E50" s="239"/>
      <c r="F50" s="244" t="e">
        <f>F48</f>
        <v>#N/A</v>
      </c>
      <c r="G50" s="486"/>
    </row>
    <row r="51" spans="2:7" s="240" customFormat="1" ht="6" customHeight="1" x14ac:dyDescent="0.2">
      <c r="B51" s="238"/>
      <c r="C51" s="238"/>
      <c r="D51" s="238"/>
      <c r="E51" s="239"/>
      <c r="F51" s="239"/>
      <c r="G51" s="486"/>
    </row>
    <row r="52" spans="2:7" ht="18" x14ac:dyDescent="0.35">
      <c r="B52" s="232" t="s">
        <v>513</v>
      </c>
      <c r="C52" s="106"/>
      <c r="D52" s="106"/>
      <c r="E52" s="210"/>
      <c r="F52" s="210"/>
      <c r="G52" s="207"/>
    </row>
    <row r="53" spans="2:7" ht="6" customHeight="1" x14ac:dyDescent="0.25">
      <c r="B53" s="238"/>
      <c r="C53" s="238"/>
      <c r="D53" s="238"/>
      <c r="E53" s="238"/>
      <c r="F53" s="238"/>
      <c r="G53" s="207"/>
    </row>
    <row r="54" spans="2:7" x14ac:dyDescent="0.25">
      <c r="B54" s="245" t="s">
        <v>537</v>
      </c>
      <c r="C54" s="238"/>
      <c r="D54" s="238"/>
      <c r="E54" s="238"/>
      <c r="F54" s="244" t="e">
        <f>+F24+F43+F50</f>
        <v>#N/A</v>
      </c>
      <c r="G54" s="207"/>
    </row>
    <row r="55" spans="2:7" ht="6" customHeight="1" x14ac:dyDescent="0.25">
      <c r="B55" s="238"/>
      <c r="C55" s="238"/>
      <c r="D55" s="238"/>
      <c r="E55" s="238"/>
      <c r="F55" s="238"/>
      <c r="G55" s="207"/>
    </row>
    <row r="56" spans="2:7" ht="18" x14ac:dyDescent="0.35">
      <c r="B56" s="232" t="s">
        <v>538</v>
      </c>
      <c r="C56" s="106"/>
      <c r="D56" s="106"/>
      <c r="E56" s="210"/>
      <c r="F56" s="210"/>
      <c r="G56" s="207"/>
    </row>
    <row r="57" spans="2:7" ht="6" customHeight="1" x14ac:dyDescent="0.25">
      <c r="B57" s="466"/>
      <c r="C57" s="466"/>
      <c r="D57" s="466"/>
      <c r="E57" s="467"/>
      <c r="F57" s="467"/>
      <c r="G57" s="207"/>
    </row>
    <row r="58" spans="2:7" ht="25.5" x14ac:dyDescent="0.25">
      <c r="B58" s="466"/>
      <c r="C58" s="468" t="s">
        <v>603</v>
      </c>
      <c r="D58" s="469" t="s">
        <v>93</v>
      </c>
      <c r="E58" s="469" t="s">
        <v>328</v>
      </c>
      <c r="F58" s="470" t="s">
        <v>490</v>
      </c>
      <c r="G58" s="207"/>
    </row>
    <row r="59" spans="2:7" x14ac:dyDescent="0.25">
      <c r="B59" s="471" t="s">
        <v>604</v>
      </c>
      <c r="C59" s="472" t="e">
        <f>SUM(D59:F59)</f>
        <v>#N/A</v>
      </c>
      <c r="D59" s="473" t="e">
        <f>VLOOKUP($C$3,'Acomptes vs Décompte'!$B$6:$K$314,2,FALSE)</f>
        <v>#N/A</v>
      </c>
      <c r="E59" s="473" t="e">
        <f>VLOOKUP($C$3,'Acomptes vs Décompte'!$B$6:$K$314,5,FALSE)</f>
        <v>#N/A</v>
      </c>
      <c r="F59" s="474" t="e">
        <f>VLOOKUP($C$3,'Acomptes vs Décompte'!$B$6:$K$314,8,FALSE)</f>
        <v>#N/A</v>
      </c>
      <c r="G59" s="207"/>
    </row>
    <row r="60" spans="2:7" x14ac:dyDescent="0.25">
      <c r="B60" s="471" t="s">
        <v>605</v>
      </c>
      <c r="C60" s="478" t="e">
        <f>SUM(D60:F60)</f>
        <v>#N/A</v>
      </c>
      <c r="D60" s="475" t="e">
        <f>VLOOKUP($C$3,'Acomptes vs Décompte'!$B$6:$K$314,3,FALSE)</f>
        <v>#N/A</v>
      </c>
      <c r="E60" s="475" t="e">
        <f>VLOOKUP($C$3,'Acomptes vs Décompte'!$B$6:$K$314,6,FALSE)</f>
        <v>#N/A</v>
      </c>
      <c r="F60" s="476" t="e">
        <f>VLOOKUP($C$3,'Acomptes vs Décompte'!$B$6:$K$314,9,FALSE)</f>
        <v>#N/A</v>
      </c>
      <c r="G60" s="207"/>
    </row>
    <row r="61" spans="2:7" x14ac:dyDescent="0.25">
      <c r="B61" s="471" t="s">
        <v>606</v>
      </c>
      <c r="C61" s="472" t="e">
        <f>SUM(D61:F61)</f>
        <v>#N/A</v>
      </c>
      <c r="D61" s="472" t="e">
        <f>D60-D59</f>
        <v>#N/A</v>
      </c>
      <c r="E61" s="472" t="e">
        <f t="shared" ref="E61:F61" si="0">E60-E59</f>
        <v>#N/A</v>
      </c>
      <c r="F61" s="472" t="e">
        <f t="shared" si="0"/>
        <v>#N/A</v>
      </c>
      <c r="G61" s="207"/>
    </row>
    <row r="62" spans="2:7" x14ac:dyDescent="0.25">
      <c r="B62" s="465"/>
      <c r="C62" s="477" t="s">
        <v>607</v>
      </c>
      <c r="D62" s="465"/>
      <c r="E62" s="464"/>
      <c r="F62" s="464"/>
      <c r="G62" s="207"/>
    </row>
    <row r="63" spans="2:7" x14ac:dyDescent="0.25">
      <c r="B63" s="519" t="s">
        <v>610</v>
      </c>
      <c r="C63" s="519"/>
      <c r="D63" s="519"/>
      <c r="E63" s="519"/>
      <c r="F63" s="519"/>
      <c r="G63" s="207"/>
    </row>
    <row r="64" spans="2:7" x14ac:dyDescent="0.25">
      <c r="B64" s="519"/>
      <c r="C64" s="519"/>
      <c r="D64" s="519"/>
      <c r="E64" s="519"/>
      <c r="F64" s="519"/>
      <c r="G64" s="207"/>
    </row>
    <row r="65" spans="2:7" x14ac:dyDescent="0.25">
      <c r="B65" s="519"/>
      <c r="C65" s="519"/>
      <c r="D65" s="519"/>
      <c r="E65" s="519"/>
      <c r="F65" s="519"/>
      <c r="G65" s="207"/>
    </row>
    <row r="66" spans="2:7" x14ac:dyDescent="0.25">
      <c r="B66" s="519"/>
      <c r="C66" s="519"/>
      <c r="D66" s="519"/>
      <c r="E66" s="519"/>
      <c r="F66" s="519"/>
      <c r="G66" s="207"/>
    </row>
    <row r="67" spans="2:7" x14ac:dyDescent="0.25">
      <c r="B67" s="519"/>
      <c r="C67" s="519"/>
      <c r="D67" s="519"/>
      <c r="E67" s="519"/>
      <c r="F67" s="519"/>
      <c r="G67" s="207"/>
    </row>
    <row r="68" spans="2:7" x14ac:dyDescent="0.25">
      <c r="B68" s="519"/>
      <c r="C68" s="519"/>
      <c r="D68" s="519"/>
      <c r="E68" s="519"/>
      <c r="F68" s="519"/>
      <c r="G68" s="207"/>
    </row>
    <row r="69" spans="2:7" x14ac:dyDescent="0.25">
      <c r="G69" s="207"/>
    </row>
  </sheetData>
  <protectedRanges>
    <protectedRange sqref="C3:E3" name="Plage1"/>
  </protectedRanges>
  <mergeCells count="4">
    <mergeCell ref="B6:F6"/>
    <mergeCell ref="B7:F7"/>
    <mergeCell ref="C3:E3"/>
    <mergeCell ref="B63:F68"/>
  </mergeCells>
  <printOptions horizontalCentered="1" verticalCentered="1"/>
  <pageMargins left="0.70866141732283472" right="0.70866141732283472" top="0.35433070866141736"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Paramètres!$A$70:$A$378</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sheetPr>
  <dimension ref="A1:BO318"/>
  <sheetViews>
    <sheetView zoomScaleNormal="100" workbookViewId="0">
      <pane ySplit="6" topLeftCell="A7" activePane="bottomLeft" state="frozen"/>
      <selection pane="bottomLeft" activeCell="A7" sqref="A7"/>
    </sheetView>
  </sheetViews>
  <sheetFormatPr baseColWidth="10" defaultColWidth="8.625" defaultRowHeight="15" x14ac:dyDescent="0.25"/>
  <cols>
    <col min="1" max="1" width="7.75" style="338" customWidth="1"/>
    <col min="2" max="2" width="21.625" style="15" bestFit="1" customWidth="1"/>
    <col min="3" max="3" width="15.375" style="332" bestFit="1" customWidth="1"/>
    <col min="4" max="4" width="14" style="15" bestFit="1" customWidth="1"/>
    <col min="5" max="5" width="8.875" style="15" bestFit="1" customWidth="1"/>
    <col min="6" max="6" width="11.25" style="15" bestFit="1" customWidth="1"/>
    <col min="7" max="7" width="14" style="369" bestFit="1" customWidth="1"/>
    <col min="8" max="8" width="13.375" style="369" bestFit="1" customWidth="1"/>
    <col min="9" max="9" width="13.875" style="15" customWidth="1"/>
    <col min="10" max="10" width="13" style="15" bestFit="1" customWidth="1"/>
    <col min="11" max="11" width="13.25" style="15" bestFit="1" customWidth="1"/>
    <col min="12" max="12" width="14.25" style="15" bestFit="1" customWidth="1"/>
    <col min="13" max="13" width="15.375" style="15" bestFit="1" customWidth="1"/>
    <col min="14" max="14" width="13" style="15" bestFit="1" customWidth="1"/>
    <col min="15" max="15" width="14" style="15" bestFit="1" customWidth="1"/>
    <col min="16" max="16" width="13" style="15" bestFit="1" customWidth="1"/>
    <col min="17" max="17" width="13.875" style="15" customWidth="1"/>
    <col min="18" max="18" width="13" style="15" bestFit="1" customWidth="1"/>
    <col min="19" max="21" width="12.125" style="369" bestFit="1" customWidth="1"/>
    <col min="22" max="23" width="12.125" style="383" bestFit="1" customWidth="1"/>
    <col min="24" max="24" width="13.375" style="383" bestFit="1" customWidth="1"/>
    <col min="25" max="25" width="15.375" style="15" bestFit="1" customWidth="1"/>
    <col min="26" max="27" width="12.125" style="369" bestFit="1" customWidth="1"/>
    <col min="28" max="28" width="13.375" style="369" bestFit="1" customWidth="1"/>
    <col min="29" max="38" width="12.125" style="369" bestFit="1" customWidth="1"/>
    <col min="39" max="39" width="14.25" style="383" bestFit="1" customWidth="1"/>
    <col min="40" max="40" width="12" style="383" customWidth="1"/>
    <col min="41" max="41" width="10.875" style="6" bestFit="1" customWidth="1"/>
    <col min="42" max="42" width="13" style="15" bestFit="1" customWidth="1"/>
    <col min="43" max="43" width="9.75" style="15" bestFit="1" customWidth="1"/>
    <col min="44" max="44" width="11.875" style="15" bestFit="1" customWidth="1"/>
    <col min="45" max="45" width="7" style="15" bestFit="1" customWidth="1"/>
    <col min="46" max="46" width="4.375" style="15" bestFit="1" customWidth="1"/>
    <col min="47" max="47" width="17.5" style="15" bestFit="1" customWidth="1"/>
    <col min="48" max="48" width="12.375" style="15" bestFit="1" customWidth="1"/>
    <col min="49" max="50" width="10.5" style="15" bestFit="1" customWidth="1"/>
    <col min="51" max="51" width="11.25" style="15" bestFit="1" customWidth="1"/>
    <col min="52" max="52" width="9.75" style="15" bestFit="1" customWidth="1"/>
    <col min="53" max="53" width="10.5" style="15" bestFit="1" customWidth="1"/>
    <col min="54" max="54" width="7.875" style="15" bestFit="1" customWidth="1"/>
    <col min="55" max="55" width="9.75" style="15" bestFit="1" customWidth="1"/>
    <col min="56" max="56" width="8.625" style="15"/>
    <col min="57" max="57" width="10" style="15" bestFit="1" customWidth="1"/>
    <col min="58" max="58" width="8.625" style="15"/>
    <col min="59" max="59" width="10.625" style="15" bestFit="1" customWidth="1"/>
    <col min="60" max="61" width="8.625" style="15"/>
    <col min="62" max="62" width="10" style="15" bestFit="1" customWidth="1"/>
    <col min="63" max="16384" width="8.625" style="15"/>
  </cols>
  <sheetData>
    <row r="1" spans="1:67" ht="21" x14ac:dyDescent="0.35">
      <c r="A1" s="333" t="s">
        <v>448</v>
      </c>
      <c r="B1" s="321"/>
      <c r="C1" s="322"/>
      <c r="D1" s="321"/>
      <c r="E1" s="321"/>
      <c r="F1" s="321"/>
      <c r="G1" s="321"/>
      <c r="H1" s="321"/>
      <c r="I1" s="321"/>
      <c r="J1" s="321"/>
      <c r="AN1" s="339"/>
    </row>
    <row r="2" spans="1:67" ht="21" x14ac:dyDescent="0.35">
      <c r="A2" s="333" t="str">
        <f>Paramètres!B5</f>
        <v>Décompte 2019</v>
      </c>
      <c r="C2" s="323"/>
      <c r="D2" s="324"/>
      <c r="E2" s="321"/>
      <c r="F2" s="321"/>
      <c r="G2" s="321"/>
      <c r="H2" s="321"/>
      <c r="I2" s="321"/>
      <c r="J2" s="321"/>
      <c r="AN2" s="339"/>
    </row>
    <row r="3" spans="1:67" x14ac:dyDescent="0.25">
      <c r="A3" s="334"/>
      <c r="B3" s="321"/>
      <c r="C3" s="322"/>
      <c r="D3" s="321"/>
      <c r="E3" s="321"/>
      <c r="F3" s="321"/>
      <c r="G3" s="321"/>
      <c r="H3" s="321"/>
      <c r="I3" s="321"/>
      <c r="J3" s="321"/>
      <c r="L3" s="325"/>
      <c r="AN3" s="339"/>
    </row>
    <row r="4" spans="1:67" s="326" customFormat="1" ht="38.1" customHeight="1" x14ac:dyDescent="0.2">
      <c r="A4" s="527" t="s">
        <v>46</v>
      </c>
      <c r="B4" s="530" t="s">
        <v>516</v>
      </c>
      <c r="C4" s="525" t="s">
        <v>413</v>
      </c>
      <c r="D4" s="533" t="s">
        <v>414</v>
      </c>
      <c r="E4" s="520" t="s">
        <v>258</v>
      </c>
      <c r="F4" s="520" t="s">
        <v>259</v>
      </c>
      <c r="G4" s="520" t="s">
        <v>601</v>
      </c>
      <c r="H4" s="520" t="s">
        <v>602</v>
      </c>
      <c r="I4" s="520" t="s">
        <v>415</v>
      </c>
      <c r="J4" s="520" t="s">
        <v>383</v>
      </c>
      <c r="K4" s="520" t="s">
        <v>384</v>
      </c>
      <c r="L4" s="520" t="s">
        <v>385</v>
      </c>
      <c r="M4" s="520" t="s">
        <v>193</v>
      </c>
      <c r="N4" s="520" t="s">
        <v>194</v>
      </c>
      <c r="O4" s="520" t="s">
        <v>195</v>
      </c>
      <c r="P4" s="520" t="s">
        <v>196</v>
      </c>
      <c r="Q4" s="520" t="s">
        <v>416</v>
      </c>
      <c r="R4" s="520" t="s">
        <v>197</v>
      </c>
      <c r="S4" s="520" t="s">
        <v>559</v>
      </c>
      <c r="T4" s="520" t="s">
        <v>560</v>
      </c>
      <c r="U4" s="520" t="s">
        <v>562</v>
      </c>
      <c r="V4" s="520" t="s">
        <v>564</v>
      </c>
      <c r="W4" s="520" t="s">
        <v>566</v>
      </c>
      <c r="X4" s="522" t="s">
        <v>600</v>
      </c>
      <c r="Y4" s="520" t="s">
        <v>138</v>
      </c>
      <c r="Z4" s="537" t="s">
        <v>568</v>
      </c>
      <c r="AA4" s="539" t="s">
        <v>569</v>
      </c>
      <c r="AB4" s="539" t="s">
        <v>570</v>
      </c>
      <c r="AC4" s="539" t="s">
        <v>571</v>
      </c>
      <c r="AD4" s="539" t="s">
        <v>572</v>
      </c>
      <c r="AE4" s="539" t="s">
        <v>573</v>
      </c>
      <c r="AF4" s="539" t="s">
        <v>574</v>
      </c>
      <c r="AG4" s="539" t="s">
        <v>575</v>
      </c>
      <c r="AH4" s="539" t="s">
        <v>576</v>
      </c>
      <c r="AI4" s="539" t="s">
        <v>577</v>
      </c>
      <c r="AJ4" s="539" t="s">
        <v>578</v>
      </c>
      <c r="AK4" s="539" t="s">
        <v>579</v>
      </c>
      <c r="AL4" s="539" t="s">
        <v>580</v>
      </c>
      <c r="AM4" s="520" t="s">
        <v>581</v>
      </c>
      <c r="AN4" s="525" t="s">
        <v>78</v>
      </c>
      <c r="AO4" s="535" t="s">
        <v>447</v>
      </c>
      <c r="AP4" s="520" t="s">
        <v>246</v>
      </c>
      <c r="AQ4" s="520" t="s">
        <v>247</v>
      </c>
      <c r="AR4" s="520" t="s">
        <v>248</v>
      </c>
      <c r="AS4" s="520" t="s">
        <v>499</v>
      </c>
    </row>
    <row r="5" spans="1:67" s="326" customFormat="1" ht="46.5" customHeight="1" x14ac:dyDescent="0.2">
      <c r="A5" s="528"/>
      <c r="B5" s="531"/>
      <c r="C5" s="526"/>
      <c r="D5" s="534"/>
      <c r="E5" s="521"/>
      <c r="F5" s="521"/>
      <c r="G5" s="521"/>
      <c r="H5" s="521"/>
      <c r="I5" s="521"/>
      <c r="J5" s="521"/>
      <c r="K5" s="521"/>
      <c r="L5" s="521"/>
      <c r="M5" s="521"/>
      <c r="N5" s="521"/>
      <c r="O5" s="521"/>
      <c r="P5" s="521"/>
      <c r="Q5" s="524"/>
      <c r="R5" s="521"/>
      <c r="S5" s="524"/>
      <c r="T5" s="521"/>
      <c r="U5" s="521"/>
      <c r="V5" s="521"/>
      <c r="W5" s="521"/>
      <c r="X5" s="523"/>
      <c r="Y5" s="521"/>
      <c r="Z5" s="538"/>
      <c r="AA5" s="540"/>
      <c r="AB5" s="540"/>
      <c r="AC5" s="540"/>
      <c r="AD5" s="540"/>
      <c r="AE5" s="540"/>
      <c r="AF5" s="540"/>
      <c r="AG5" s="540"/>
      <c r="AH5" s="540"/>
      <c r="AI5" s="541"/>
      <c r="AJ5" s="541"/>
      <c r="AK5" s="541"/>
      <c r="AL5" s="541"/>
      <c r="AM5" s="521"/>
      <c r="AN5" s="526"/>
      <c r="AO5" s="536"/>
      <c r="AP5" s="524"/>
      <c r="AQ5" s="524"/>
      <c r="AR5" s="524"/>
      <c r="AS5" s="524"/>
    </row>
    <row r="6" spans="1:67" s="321" customFormat="1" x14ac:dyDescent="0.25">
      <c r="A6" s="529"/>
      <c r="B6" s="532"/>
      <c r="C6" s="343" t="s">
        <v>417</v>
      </c>
      <c r="D6" s="344" t="s">
        <v>418</v>
      </c>
      <c r="E6" s="327" t="s">
        <v>79</v>
      </c>
      <c r="F6" s="419" t="s">
        <v>80</v>
      </c>
      <c r="G6" s="419" t="s">
        <v>419</v>
      </c>
      <c r="H6" s="419" t="s">
        <v>420</v>
      </c>
      <c r="I6" s="327" t="s">
        <v>82</v>
      </c>
      <c r="J6" s="327" t="s">
        <v>83</v>
      </c>
      <c r="K6" s="327" t="s">
        <v>84</v>
      </c>
      <c r="L6" s="327" t="s">
        <v>85</v>
      </c>
      <c r="M6" s="327" t="s">
        <v>86</v>
      </c>
      <c r="N6" s="419" t="s">
        <v>87</v>
      </c>
      <c r="O6" s="419" t="s">
        <v>88</v>
      </c>
      <c r="P6" s="419" t="s">
        <v>89</v>
      </c>
      <c r="Q6" s="524"/>
      <c r="R6" s="419" t="s">
        <v>90</v>
      </c>
      <c r="S6" s="521"/>
      <c r="T6" s="327" t="s">
        <v>561</v>
      </c>
      <c r="U6" s="419" t="s">
        <v>563</v>
      </c>
      <c r="V6" s="385" t="s">
        <v>565</v>
      </c>
      <c r="W6" s="385" t="s">
        <v>567</v>
      </c>
      <c r="X6" s="423"/>
      <c r="Y6" s="327" t="s">
        <v>91</v>
      </c>
      <c r="Z6" s="384" t="s">
        <v>582</v>
      </c>
      <c r="AA6" s="384" t="s">
        <v>583</v>
      </c>
      <c r="AB6" s="384" t="s">
        <v>584</v>
      </c>
      <c r="AC6" s="384" t="s">
        <v>585</v>
      </c>
      <c r="AD6" s="384" t="s">
        <v>586</v>
      </c>
      <c r="AE6" s="384" t="s">
        <v>587</v>
      </c>
      <c r="AF6" s="384" t="s">
        <v>588</v>
      </c>
      <c r="AG6" s="384" t="s">
        <v>589</v>
      </c>
      <c r="AH6" s="384" t="s">
        <v>590</v>
      </c>
      <c r="AI6" s="540"/>
      <c r="AJ6" s="540"/>
      <c r="AK6" s="540"/>
      <c r="AL6" s="540"/>
      <c r="AM6" s="385" t="s">
        <v>591</v>
      </c>
      <c r="AN6" s="348">
        <f>+Paramètres!B8</f>
        <v>2019</v>
      </c>
      <c r="AO6" s="345">
        <f>+Paramètres!B7</f>
        <v>42368</v>
      </c>
      <c r="AP6" s="524"/>
      <c r="AQ6" s="521"/>
      <c r="AR6" s="524"/>
      <c r="AS6" s="521"/>
    </row>
    <row r="7" spans="1:67" x14ac:dyDescent="0.25">
      <c r="A7" s="335">
        <v>5401</v>
      </c>
      <c r="B7" s="425" t="s">
        <v>261</v>
      </c>
      <c r="C7" s="447">
        <v>12692429.300000001</v>
      </c>
      <c r="D7" s="90">
        <v>1742010.84</v>
      </c>
      <c r="E7" s="448"/>
      <c r="F7" s="449">
        <v>0</v>
      </c>
      <c r="G7" s="449">
        <v>1424896.85</v>
      </c>
      <c r="H7" s="450">
        <v>105397.05</v>
      </c>
      <c r="I7" s="451">
        <v>9391.4</v>
      </c>
      <c r="J7" s="448">
        <v>632707.23</v>
      </c>
      <c r="K7" s="450">
        <v>223102.75</v>
      </c>
      <c r="L7" s="448">
        <v>2133860.9</v>
      </c>
      <c r="M7" s="422">
        <f t="shared" ref="M7:M70" si="0">SUM(C7:L7)</f>
        <v>18963796.32</v>
      </c>
      <c r="N7" s="447">
        <v>1052253.75</v>
      </c>
      <c r="O7" s="447">
        <v>494018.2</v>
      </c>
      <c r="P7" s="447">
        <v>945379.5</v>
      </c>
      <c r="Q7" s="447">
        <v>106179.46</v>
      </c>
      <c r="R7" s="90">
        <v>187505.3</v>
      </c>
      <c r="S7" s="456"/>
      <c r="T7" s="447">
        <v>91872</v>
      </c>
      <c r="U7" s="90">
        <v>58150</v>
      </c>
      <c r="V7" s="447"/>
      <c r="W7" s="90"/>
      <c r="X7" s="416">
        <v>468616.25</v>
      </c>
      <c r="Y7" s="328">
        <f>SUM(M7:X7)</f>
        <v>22367770.780000001</v>
      </c>
      <c r="Z7" s="90">
        <v>504495.85</v>
      </c>
      <c r="AA7" s="90"/>
      <c r="AB7" s="90">
        <v>803419.8</v>
      </c>
      <c r="AC7" s="90"/>
      <c r="AD7" s="90">
        <v>1329700.45</v>
      </c>
      <c r="AE7" s="90">
        <v>638561.75</v>
      </c>
      <c r="AF7" s="90"/>
      <c r="AG7" s="90">
        <v>156.44999999999999</v>
      </c>
      <c r="AH7" s="90">
        <v>35012.300000000003</v>
      </c>
      <c r="AI7" s="90">
        <v>387997.55</v>
      </c>
      <c r="AJ7" s="90"/>
      <c r="AK7" s="90"/>
      <c r="AL7" s="90">
        <v>340601.15</v>
      </c>
      <c r="AM7" s="328">
        <f>SUM(Z7:AL7)</f>
        <v>4039945.2999999993</v>
      </c>
      <c r="AN7" s="373">
        <v>67.5</v>
      </c>
      <c r="AO7" s="72">
        <v>10217</v>
      </c>
      <c r="AP7" s="90">
        <v>-425703.69</v>
      </c>
      <c r="AQ7" s="457"/>
      <c r="AR7" s="90">
        <v>-6444.66</v>
      </c>
      <c r="AS7" s="340">
        <v>1.2</v>
      </c>
      <c r="AT7" s="434"/>
      <c r="AU7" s="435"/>
      <c r="AV7" s="436"/>
      <c r="AW7" s="436"/>
      <c r="AX7" s="436"/>
      <c r="AY7" s="436"/>
      <c r="AZ7" s="436"/>
      <c r="BA7" s="436"/>
      <c r="BB7" s="436"/>
      <c r="BC7" s="436"/>
    </row>
    <row r="8" spans="1:67" x14ac:dyDescent="0.25">
      <c r="A8" s="335">
        <v>5402</v>
      </c>
      <c r="B8" s="425" t="s">
        <v>262</v>
      </c>
      <c r="C8" s="446">
        <v>8929459.8499999996</v>
      </c>
      <c r="D8" s="33">
        <v>1388175.53</v>
      </c>
      <c r="E8" s="448"/>
      <c r="F8" s="452">
        <v>0</v>
      </c>
      <c r="G8" s="452">
        <v>993378.95</v>
      </c>
      <c r="H8" s="453">
        <v>99590.7</v>
      </c>
      <c r="I8" s="451">
        <v>56182.55</v>
      </c>
      <c r="J8" s="448">
        <v>409910.15</v>
      </c>
      <c r="K8" s="453">
        <v>96070.3</v>
      </c>
      <c r="L8" s="448">
        <v>1602073.4</v>
      </c>
      <c r="M8" s="422">
        <f t="shared" si="0"/>
        <v>13574841.43</v>
      </c>
      <c r="N8" s="446">
        <v>217296.4</v>
      </c>
      <c r="O8" s="446">
        <v>134600.79999999999</v>
      </c>
      <c r="P8" s="446">
        <v>656655.69999999995</v>
      </c>
      <c r="Q8" s="446">
        <v>86510.04</v>
      </c>
      <c r="R8" s="33">
        <v>347693.35</v>
      </c>
      <c r="S8" s="340">
        <v>3238.6</v>
      </c>
      <c r="T8" s="446">
        <v>27033.4</v>
      </c>
      <c r="U8" s="33">
        <v>59100</v>
      </c>
      <c r="V8" s="446"/>
      <c r="W8" s="33">
        <v>1450</v>
      </c>
      <c r="X8" s="417">
        <v>177781.1</v>
      </c>
      <c r="Y8" s="328">
        <f t="shared" ref="Y8:Y71" si="1">SUM(M8:X8)</f>
        <v>15286200.819999998</v>
      </c>
      <c r="Z8" s="33">
        <v>36863.199999999997</v>
      </c>
      <c r="AA8" s="33">
        <v>154921.45000000001</v>
      </c>
      <c r="AB8" s="33">
        <v>2094536.05</v>
      </c>
      <c r="AC8" s="33"/>
      <c r="AD8" s="33">
        <v>901455.31</v>
      </c>
      <c r="AE8" s="33">
        <v>143068.54999999999</v>
      </c>
      <c r="AF8" s="33"/>
      <c r="AG8" s="33"/>
      <c r="AH8" s="33">
        <v>105597.35</v>
      </c>
      <c r="AI8" s="33">
        <v>226620.55</v>
      </c>
      <c r="AJ8" s="33"/>
      <c r="AK8" s="33"/>
      <c r="AL8" s="33"/>
      <c r="AM8" s="328">
        <f t="shared" ref="AM8:AM71" si="2">SUM(Z8:AL8)</f>
        <v>3663062.46</v>
      </c>
      <c r="AN8" s="371">
        <v>71</v>
      </c>
      <c r="AO8" s="388">
        <v>7869</v>
      </c>
      <c r="AP8" s="33">
        <v>-330040.64</v>
      </c>
      <c r="AQ8" s="332"/>
      <c r="AR8" s="33">
        <v>-1880.06</v>
      </c>
      <c r="AS8" s="340">
        <v>1.25</v>
      </c>
      <c r="AT8" s="434"/>
      <c r="AU8" s="435"/>
      <c r="AV8" s="436"/>
      <c r="AW8" s="436"/>
      <c r="AX8" s="436"/>
      <c r="AY8" s="436"/>
      <c r="AZ8" s="436"/>
      <c r="BA8" s="436"/>
      <c r="BB8" s="436"/>
      <c r="BC8" s="436"/>
      <c r="BE8" s="383"/>
      <c r="BF8" s="383"/>
      <c r="BG8" s="383"/>
      <c r="BH8" s="383"/>
      <c r="BI8" s="383"/>
      <c r="BJ8" s="383"/>
      <c r="BK8" s="383"/>
      <c r="BL8" s="383"/>
      <c r="BM8" s="383"/>
      <c r="BN8" s="383"/>
      <c r="BO8" s="383"/>
    </row>
    <row r="9" spans="1:67" x14ac:dyDescent="0.25">
      <c r="A9" s="335">
        <v>5403</v>
      </c>
      <c r="B9" s="425" t="s">
        <v>112</v>
      </c>
      <c r="C9" s="446">
        <v>642007.51</v>
      </c>
      <c r="D9" s="33">
        <v>54119.58</v>
      </c>
      <c r="E9" s="448"/>
      <c r="F9" s="452">
        <v>0</v>
      </c>
      <c r="G9" s="452">
        <v>32905.550000000003</v>
      </c>
      <c r="H9" s="453">
        <v>628.79999999999995</v>
      </c>
      <c r="I9" s="451">
        <v>0</v>
      </c>
      <c r="J9" s="448">
        <v>22271.16</v>
      </c>
      <c r="K9" s="453">
        <v>4138</v>
      </c>
      <c r="L9" s="448">
        <v>67163.399999999994</v>
      </c>
      <c r="M9" s="422">
        <f t="shared" si="0"/>
        <v>823234.00000000012</v>
      </c>
      <c r="N9" s="446">
        <v>8065.6</v>
      </c>
      <c r="O9" s="446">
        <v>13753</v>
      </c>
      <c r="P9" s="446">
        <v>55000</v>
      </c>
      <c r="Q9" s="446">
        <v>-29643.49</v>
      </c>
      <c r="R9" s="33">
        <v>26076.75</v>
      </c>
      <c r="S9" s="340"/>
      <c r="T9" s="446"/>
      <c r="U9" s="33">
        <v>6600</v>
      </c>
      <c r="V9" s="446"/>
      <c r="W9" s="33"/>
      <c r="X9" s="417">
        <v>1655.95</v>
      </c>
      <c r="Y9" s="328">
        <f t="shared" si="1"/>
        <v>904741.81</v>
      </c>
      <c r="Z9" s="33"/>
      <c r="AA9" s="33"/>
      <c r="AB9" s="33">
        <v>67610.55</v>
      </c>
      <c r="AC9" s="33"/>
      <c r="AD9" s="33">
        <v>39812.949999999997</v>
      </c>
      <c r="AE9" s="33"/>
      <c r="AF9" s="33"/>
      <c r="AG9" s="33"/>
      <c r="AH9" s="33">
        <v>42109.25</v>
      </c>
      <c r="AI9" s="33"/>
      <c r="AJ9" s="33"/>
      <c r="AK9" s="33"/>
      <c r="AL9" s="33"/>
      <c r="AM9" s="328">
        <f t="shared" si="2"/>
        <v>149532.75</v>
      </c>
      <c r="AN9" s="371">
        <v>74</v>
      </c>
      <c r="AO9" s="388">
        <v>429</v>
      </c>
      <c r="AP9" s="33">
        <v>-6825.71</v>
      </c>
      <c r="AQ9" s="332"/>
      <c r="AR9" s="33">
        <v>-25.25</v>
      </c>
      <c r="AS9" s="340">
        <v>1</v>
      </c>
      <c r="AT9" s="437"/>
      <c r="AU9" s="438"/>
      <c r="AV9" s="436"/>
      <c r="AW9" s="436"/>
      <c r="AX9" s="436"/>
      <c r="AY9" s="436"/>
      <c r="AZ9" s="436"/>
      <c r="BA9" s="436"/>
      <c r="BB9" s="436"/>
      <c r="BC9" s="436"/>
      <c r="BE9" s="383"/>
      <c r="BF9" s="383"/>
      <c r="BG9" s="383"/>
      <c r="BH9" s="383"/>
      <c r="BI9" s="383"/>
      <c r="BJ9" s="383"/>
      <c r="BK9" s="383"/>
      <c r="BL9" s="383"/>
      <c r="BM9" s="383"/>
      <c r="BN9" s="383"/>
      <c r="BO9" s="383"/>
    </row>
    <row r="10" spans="1:67" x14ac:dyDescent="0.25">
      <c r="A10" s="335">
        <v>5404</v>
      </c>
      <c r="B10" s="425" t="s">
        <v>113</v>
      </c>
      <c r="C10" s="446">
        <v>876846.32</v>
      </c>
      <c r="D10" s="33">
        <v>116470.62</v>
      </c>
      <c r="E10" s="448"/>
      <c r="F10" s="452">
        <v>0</v>
      </c>
      <c r="G10" s="452">
        <v>-2391</v>
      </c>
      <c r="H10" s="453">
        <v>7421.9</v>
      </c>
      <c r="I10" s="451">
        <v>0</v>
      </c>
      <c r="J10" s="448">
        <v>2333.6799999999998</v>
      </c>
      <c r="K10" s="453">
        <v>568.04999999999995</v>
      </c>
      <c r="L10" s="448">
        <v>124887.2</v>
      </c>
      <c r="M10" s="422">
        <f t="shared" si="0"/>
        <v>1126136.77</v>
      </c>
      <c r="N10" s="446">
        <v>27352.35</v>
      </c>
      <c r="O10" s="446">
        <v>111727.8</v>
      </c>
      <c r="P10" s="446">
        <v>37406.050000000003</v>
      </c>
      <c r="Q10" s="446">
        <v>-602.63</v>
      </c>
      <c r="R10" s="33">
        <v>25298.9</v>
      </c>
      <c r="S10" s="340"/>
      <c r="T10" s="446"/>
      <c r="U10" s="33">
        <v>5350</v>
      </c>
      <c r="V10" s="446"/>
      <c r="W10" s="33"/>
      <c r="X10" s="417">
        <v>927.8</v>
      </c>
      <c r="Y10" s="328">
        <f t="shared" si="1"/>
        <v>1333597.0400000003</v>
      </c>
      <c r="Z10" s="33">
        <v>28006.799999999999</v>
      </c>
      <c r="AA10" s="33">
        <v>4078.7</v>
      </c>
      <c r="AB10" s="33">
        <v>124553.95</v>
      </c>
      <c r="AC10" s="33" t="s">
        <v>599</v>
      </c>
      <c r="AD10" s="33">
        <v>36648.449999999997</v>
      </c>
      <c r="AE10" s="33">
        <v>18670.8</v>
      </c>
      <c r="AF10" s="33">
        <v>1361.05</v>
      </c>
      <c r="AG10" s="33" t="s">
        <v>599</v>
      </c>
      <c r="AH10" s="33">
        <v>5973.6</v>
      </c>
      <c r="AI10" s="33">
        <v>12526.3</v>
      </c>
      <c r="AJ10" s="33"/>
      <c r="AK10" s="33"/>
      <c r="AL10" s="33"/>
      <c r="AM10" s="328">
        <f t="shared" si="2"/>
        <v>231819.65</v>
      </c>
      <c r="AN10" s="371">
        <v>74</v>
      </c>
      <c r="AO10" s="388">
        <v>437</v>
      </c>
      <c r="AP10" s="33">
        <v>-4705.55</v>
      </c>
      <c r="AQ10" s="332"/>
      <c r="AR10" s="33">
        <v>-56.43</v>
      </c>
      <c r="AS10" s="340">
        <v>1.5</v>
      </c>
      <c r="AT10" s="437"/>
      <c r="AU10" s="438"/>
      <c r="AV10" s="436"/>
      <c r="AW10" s="436"/>
      <c r="AX10" s="436"/>
      <c r="AY10" s="436"/>
      <c r="AZ10" s="436"/>
      <c r="BA10" s="436"/>
      <c r="BB10" s="436"/>
      <c r="BC10" s="436"/>
      <c r="BE10" s="383"/>
      <c r="BF10" s="383"/>
      <c r="BG10" s="383"/>
      <c r="BH10" s="383"/>
      <c r="BI10" s="383"/>
      <c r="BJ10" s="383"/>
      <c r="BK10" s="383"/>
      <c r="BL10" s="383"/>
      <c r="BM10" s="383"/>
      <c r="BN10" s="383"/>
      <c r="BO10" s="383"/>
    </row>
    <row r="11" spans="1:67" x14ac:dyDescent="0.25">
      <c r="A11" s="335">
        <v>5405</v>
      </c>
      <c r="B11" s="425" t="s">
        <v>114</v>
      </c>
      <c r="C11" s="446">
        <v>3011350.77</v>
      </c>
      <c r="D11" s="33">
        <v>1102235.17</v>
      </c>
      <c r="E11" s="448"/>
      <c r="F11" s="452">
        <v>0</v>
      </c>
      <c r="G11" s="452">
        <v>20745</v>
      </c>
      <c r="H11" s="453">
        <v>6490.6</v>
      </c>
      <c r="I11" s="451">
        <v>202872.74</v>
      </c>
      <c r="J11" s="448">
        <v>97661.81</v>
      </c>
      <c r="K11" s="453">
        <v>12936.4</v>
      </c>
      <c r="L11" s="448">
        <v>777353.8</v>
      </c>
      <c r="M11" s="422">
        <f t="shared" si="0"/>
        <v>5231646.29</v>
      </c>
      <c r="N11" s="446">
        <v>0</v>
      </c>
      <c r="O11" s="446">
        <v>77324.3</v>
      </c>
      <c r="P11" s="446">
        <v>359859.6</v>
      </c>
      <c r="Q11" s="446">
        <v>8220.81</v>
      </c>
      <c r="R11" s="33">
        <v>189588</v>
      </c>
      <c r="S11" s="340">
        <v>450</v>
      </c>
      <c r="T11" s="446">
        <v>6208.35</v>
      </c>
      <c r="U11" s="33">
        <v>10000</v>
      </c>
      <c r="V11" s="446"/>
      <c r="W11" s="33"/>
      <c r="X11" s="417">
        <v>9228.0499999999993</v>
      </c>
      <c r="Y11" s="328">
        <f t="shared" si="1"/>
        <v>5892525.3999999985</v>
      </c>
      <c r="Z11" s="33">
        <v>61928.7</v>
      </c>
      <c r="AA11" s="33"/>
      <c r="AB11" s="33">
        <v>182034.8</v>
      </c>
      <c r="AC11" s="33"/>
      <c r="AD11" s="33">
        <v>410545.39</v>
      </c>
      <c r="AE11" s="33">
        <v>148149.04999999999</v>
      </c>
      <c r="AF11" s="33"/>
      <c r="AG11" s="33"/>
      <c r="AH11" s="33"/>
      <c r="AI11" s="33"/>
      <c r="AJ11" s="33"/>
      <c r="AK11" s="33"/>
      <c r="AL11" s="33"/>
      <c r="AM11" s="328">
        <f t="shared" si="2"/>
        <v>802657.94</v>
      </c>
      <c r="AN11" s="371">
        <v>75</v>
      </c>
      <c r="AO11" s="388">
        <v>1347</v>
      </c>
      <c r="AP11" s="33">
        <v>-57881.18</v>
      </c>
      <c r="AQ11" s="332"/>
      <c r="AR11" s="33">
        <v>-4179.3500000000004</v>
      </c>
      <c r="AS11" s="340">
        <v>1.5</v>
      </c>
      <c r="AT11" s="437"/>
      <c r="AU11" s="438"/>
      <c r="AV11" s="436"/>
      <c r="AW11" s="436"/>
      <c r="AX11" s="436"/>
      <c r="AY11" s="436"/>
      <c r="AZ11" s="436"/>
      <c r="BA11" s="436"/>
      <c r="BB11" s="436"/>
      <c r="BC11" s="436"/>
      <c r="BE11" s="383"/>
      <c r="BF11" s="383"/>
      <c r="BG11" s="383"/>
      <c r="BH11" s="383"/>
      <c r="BI11" s="383"/>
      <c r="BJ11" s="383"/>
      <c r="BK11" s="383"/>
      <c r="BL11" s="383"/>
      <c r="BM11" s="383"/>
      <c r="BN11" s="383"/>
      <c r="BO11" s="383"/>
    </row>
    <row r="12" spans="1:67" x14ac:dyDescent="0.25">
      <c r="A12" s="335">
        <v>5406</v>
      </c>
      <c r="B12" s="425" t="s">
        <v>115</v>
      </c>
      <c r="C12" s="446">
        <v>1205835.27</v>
      </c>
      <c r="D12" s="33">
        <v>227014.59</v>
      </c>
      <c r="E12" s="448"/>
      <c r="F12" s="452">
        <v>0</v>
      </c>
      <c r="G12" s="452">
        <v>50863</v>
      </c>
      <c r="H12" s="453">
        <v>4325.1499999999996</v>
      </c>
      <c r="I12" s="451">
        <v>0</v>
      </c>
      <c r="J12" s="448">
        <v>104498.74</v>
      </c>
      <c r="K12" s="453">
        <v>8692.9500000000007</v>
      </c>
      <c r="L12" s="448">
        <v>195728.25</v>
      </c>
      <c r="M12" s="422">
        <f t="shared" si="0"/>
        <v>1796957.95</v>
      </c>
      <c r="N12" s="446">
        <v>3939</v>
      </c>
      <c r="O12" s="446">
        <v>2128.5</v>
      </c>
      <c r="P12" s="446">
        <v>29459.65</v>
      </c>
      <c r="Q12" s="446">
        <v>4681.1899999999996</v>
      </c>
      <c r="R12" s="33">
        <v>8837.35</v>
      </c>
      <c r="S12" s="340"/>
      <c r="T12" s="446"/>
      <c r="U12" s="33">
        <v>7550</v>
      </c>
      <c r="V12" s="446">
        <v>204703.5</v>
      </c>
      <c r="W12" s="33"/>
      <c r="X12" s="417">
        <v>23285.25</v>
      </c>
      <c r="Y12" s="328">
        <f t="shared" si="1"/>
        <v>2081542.39</v>
      </c>
      <c r="Z12" s="33">
        <v>4469.55</v>
      </c>
      <c r="AA12" s="33">
        <v>2100.15</v>
      </c>
      <c r="AB12" s="33">
        <v>284436.65000000002</v>
      </c>
      <c r="AC12" s="33"/>
      <c r="AD12" s="33">
        <v>122516.95</v>
      </c>
      <c r="AE12" s="33">
        <v>415.15</v>
      </c>
      <c r="AF12" s="33">
        <v>656</v>
      </c>
      <c r="AG12" s="33"/>
      <c r="AH12" s="33">
        <v>51872</v>
      </c>
      <c r="AI12" s="33">
        <v>51388.89</v>
      </c>
      <c r="AJ12" s="33"/>
      <c r="AK12" s="33"/>
      <c r="AL12" s="33"/>
      <c r="AM12" s="328">
        <f t="shared" si="2"/>
        <v>517855.34000000008</v>
      </c>
      <c r="AN12" s="371">
        <v>71</v>
      </c>
      <c r="AO12" s="388">
        <v>931</v>
      </c>
      <c r="AP12" s="33">
        <v>-14890.62</v>
      </c>
      <c r="AQ12" s="332"/>
      <c r="AR12" s="33">
        <v>-3.11</v>
      </c>
      <c r="AS12" s="340">
        <v>1.3</v>
      </c>
      <c r="AT12" s="437"/>
      <c r="AU12" s="438"/>
      <c r="AV12" s="436"/>
      <c r="AW12" s="436"/>
      <c r="AX12" s="436"/>
      <c r="AY12" s="436"/>
      <c r="AZ12" s="436"/>
      <c r="BA12" s="436"/>
      <c r="BB12" s="436"/>
      <c r="BC12" s="436"/>
      <c r="BE12" s="383"/>
      <c r="BF12" s="383"/>
      <c r="BG12" s="383"/>
      <c r="BH12" s="383"/>
      <c r="BI12" s="383"/>
      <c r="BJ12" s="383"/>
      <c r="BK12" s="383"/>
      <c r="BL12" s="383"/>
      <c r="BM12" s="383"/>
      <c r="BN12" s="383"/>
      <c r="BO12" s="383"/>
    </row>
    <row r="13" spans="1:67" x14ac:dyDescent="0.25">
      <c r="A13" s="335">
        <v>5407</v>
      </c>
      <c r="B13" s="425" t="s">
        <v>116</v>
      </c>
      <c r="C13" s="446">
        <v>4341578.8</v>
      </c>
      <c r="D13" s="33">
        <v>1010650.81</v>
      </c>
      <c r="E13" s="448"/>
      <c r="F13" s="452">
        <v>0</v>
      </c>
      <c r="G13" s="452">
        <v>218318.4</v>
      </c>
      <c r="H13" s="453">
        <v>95313.3</v>
      </c>
      <c r="I13" s="451">
        <v>74117.2</v>
      </c>
      <c r="J13" s="448">
        <v>446764.89</v>
      </c>
      <c r="K13" s="453">
        <v>52266</v>
      </c>
      <c r="L13" s="448">
        <v>1217618.3</v>
      </c>
      <c r="M13" s="422">
        <f t="shared" si="0"/>
        <v>7456627.6999999993</v>
      </c>
      <c r="N13" s="446">
        <v>51426.35</v>
      </c>
      <c r="O13" s="446">
        <v>83889.3</v>
      </c>
      <c r="P13" s="446">
        <v>396072.7</v>
      </c>
      <c r="Q13" s="446">
        <v>15946.56</v>
      </c>
      <c r="R13" s="33">
        <v>288269.90000000002</v>
      </c>
      <c r="S13" s="340">
        <v>20842</v>
      </c>
      <c r="T13" s="446"/>
      <c r="U13" s="33">
        <v>17700</v>
      </c>
      <c r="V13" s="446">
        <v>13282</v>
      </c>
      <c r="W13" s="33"/>
      <c r="X13" s="417">
        <v>165392.20000000001</v>
      </c>
      <c r="Y13" s="328">
        <f t="shared" si="1"/>
        <v>8509448.709999999</v>
      </c>
      <c r="Z13" s="33">
        <v>73617.5</v>
      </c>
      <c r="AA13" s="33" t="s">
        <v>599</v>
      </c>
      <c r="AB13" s="33">
        <v>423730.7</v>
      </c>
      <c r="AC13" s="33" t="s">
        <v>599</v>
      </c>
      <c r="AD13" s="33">
        <v>504673.92</v>
      </c>
      <c r="AE13" s="33">
        <v>111185.25</v>
      </c>
      <c r="AF13" s="33" t="s">
        <v>599</v>
      </c>
      <c r="AG13" s="33" t="s">
        <v>599</v>
      </c>
      <c r="AH13" s="33">
        <v>0</v>
      </c>
      <c r="AI13" s="33">
        <v>153421</v>
      </c>
      <c r="AJ13" s="33"/>
      <c r="AK13" s="33"/>
      <c r="AL13" s="33"/>
      <c r="AM13" s="328">
        <f t="shared" si="2"/>
        <v>1266628.3700000001</v>
      </c>
      <c r="AN13" s="371">
        <v>78</v>
      </c>
      <c r="AO13" s="388">
        <v>3776</v>
      </c>
      <c r="AP13" s="33">
        <v>-157047.9</v>
      </c>
      <c r="AQ13" s="332"/>
      <c r="AR13" s="33">
        <v>-8732.0300000000007</v>
      </c>
      <c r="AS13" s="340">
        <v>1.5</v>
      </c>
      <c r="AT13" s="437"/>
      <c r="AU13" s="438"/>
      <c r="AV13" s="436"/>
      <c r="AW13" s="436"/>
      <c r="AX13" s="436"/>
      <c r="AY13" s="436"/>
      <c r="AZ13" s="436"/>
      <c r="BA13" s="436"/>
      <c r="BB13" s="436"/>
      <c r="BC13" s="436"/>
      <c r="BE13" s="383"/>
      <c r="BF13" s="383"/>
      <c r="BG13" s="383"/>
      <c r="BH13" s="383"/>
      <c r="BI13" s="383"/>
      <c r="BJ13" s="383"/>
      <c r="BK13" s="383"/>
      <c r="BL13" s="383"/>
      <c r="BM13" s="383"/>
      <c r="BN13" s="383"/>
      <c r="BO13" s="383"/>
    </row>
    <row r="14" spans="1:67" x14ac:dyDescent="0.25">
      <c r="A14" s="335">
        <v>5408</v>
      </c>
      <c r="B14" s="425" t="s">
        <v>117</v>
      </c>
      <c r="C14" s="446">
        <v>1960810.65</v>
      </c>
      <c r="D14" s="33">
        <v>264525.67</v>
      </c>
      <c r="E14" s="448"/>
      <c r="F14" s="452">
        <v>0</v>
      </c>
      <c r="G14" s="452">
        <v>-290521.84999999998</v>
      </c>
      <c r="H14" s="453">
        <v>16085.2</v>
      </c>
      <c r="I14" s="451">
        <v>0</v>
      </c>
      <c r="J14" s="448">
        <v>83964.23</v>
      </c>
      <c r="K14" s="453">
        <v>9604.5499999999993</v>
      </c>
      <c r="L14" s="448">
        <v>425669.9</v>
      </c>
      <c r="M14" s="422">
        <f t="shared" si="0"/>
        <v>2470138.3499999996</v>
      </c>
      <c r="N14" s="446">
        <v>100718.3</v>
      </c>
      <c r="O14" s="446">
        <v>491492.5</v>
      </c>
      <c r="P14" s="446">
        <v>117584.1</v>
      </c>
      <c r="Q14" s="446">
        <v>6220.45</v>
      </c>
      <c r="R14" s="33">
        <v>35558.35</v>
      </c>
      <c r="S14" s="340"/>
      <c r="T14" s="446">
        <v>17500.599999999999</v>
      </c>
      <c r="U14" s="33">
        <v>8600</v>
      </c>
      <c r="V14" s="446"/>
      <c r="W14" s="33"/>
      <c r="X14" s="417">
        <v>31485.1</v>
      </c>
      <c r="Y14" s="328">
        <f t="shared" si="1"/>
        <v>3279297.75</v>
      </c>
      <c r="Z14" s="33">
        <v>75302.7</v>
      </c>
      <c r="AA14" s="33">
        <v>0</v>
      </c>
      <c r="AB14" s="33">
        <v>94336.2</v>
      </c>
      <c r="AC14" s="33">
        <v>44401.65</v>
      </c>
      <c r="AD14" s="33">
        <v>133268.95000000001</v>
      </c>
      <c r="AE14" s="33">
        <v>53787.65</v>
      </c>
      <c r="AF14" s="33">
        <v>0</v>
      </c>
      <c r="AG14" s="33">
        <v>0</v>
      </c>
      <c r="AH14" s="33">
        <v>61870.5</v>
      </c>
      <c r="AI14" s="33">
        <v>56589.75</v>
      </c>
      <c r="AJ14" s="33"/>
      <c r="AK14" s="33"/>
      <c r="AL14" s="33"/>
      <c r="AM14" s="328">
        <f t="shared" si="2"/>
        <v>519557.4</v>
      </c>
      <c r="AN14" s="371">
        <v>78.5</v>
      </c>
      <c r="AO14" s="388">
        <v>1167</v>
      </c>
      <c r="AP14" s="33">
        <v>-114163.6</v>
      </c>
      <c r="AQ14" s="332"/>
      <c r="AR14" s="33">
        <v>-1067.8599999999999</v>
      </c>
      <c r="AS14" s="340">
        <v>1.5</v>
      </c>
      <c r="AT14" s="437"/>
      <c r="AU14" s="438"/>
      <c r="AV14" s="436"/>
      <c r="AW14" s="436"/>
      <c r="AX14" s="436"/>
      <c r="AY14" s="436"/>
      <c r="AZ14" s="436"/>
      <c r="BA14" s="436"/>
      <c r="BB14" s="436"/>
      <c r="BC14" s="436"/>
      <c r="BE14" s="383"/>
      <c r="BF14" s="383"/>
      <c r="BG14" s="383"/>
      <c r="BH14" s="383"/>
      <c r="BI14" s="383"/>
      <c r="BJ14" s="383"/>
      <c r="BK14" s="383"/>
      <c r="BL14" s="383"/>
      <c r="BM14" s="383"/>
      <c r="BN14" s="383"/>
      <c r="BO14" s="383"/>
    </row>
    <row r="15" spans="1:67" x14ac:dyDescent="0.25">
      <c r="A15" s="335">
        <v>5409</v>
      </c>
      <c r="B15" s="425" t="s">
        <v>118</v>
      </c>
      <c r="C15" s="446">
        <v>14522325</v>
      </c>
      <c r="D15" s="33">
        <v>5841466.2699999996</v>
      </c>
      <c r="E15" s="448"/>
      <c r="F15" s="452">
        <v>0</v>
      </c>
      <c r="G15" s="452">
        <v>592098.30000000005</v>
      </c>
      <c r="H15" s="453">
        <v>86053.35</v>
      </c>
      <c r="I15" s="451">
        <v>2522061.44</v>
      </c>
      <c r="J15" s="448">
        <v>512556.78</v>
      </c>
      <c r="K15" s="453">
        <v>136276.20000000001</v>
      </c>
      <c r="L15" s="448">
        <v>3988512.6</v>
      </c>
      <c r="M15" s="422">
        <f t="shared" si="0"/>
        <v>28201349.940000005</v>
      </c>
      <c r="N15" s="446">
        <v>57026.45</v>
      </c>
      <c r="O15" s="446">
        <v>1443070.5</v>
      </c>
      <c r="P15" s="446">
        <v>1025804.9</v>
      </c>
      <c r="Q15" s="446">
        <v>135135.74</v>
      </c>
      <c r="R15" s="33">
        <v>628395</v>
      </c>
      <c r="S15" s="340"/>
      <c r="T15" s="446"/>
      <c r="U15" s="33">
        <v>53900</v>
      </c>
      <c r="V15" s="446"/>
      <c r="W15" s="33"/>
      <c r="X15" s="417">
        <v>202446.9</v>
      </c>
      <c r="Y15" s="328">
        <f t="shared" si="1"/>
        <v>31747129.43</v>
      </c>
      <c r="Z15" s="33">
        <v>75946.100000000006</v>
      </c>
      <c r="AA15" s="33">
        <v>44860.15</v>
      </c>
      <c r="AB15" s="33">
        <v>2475290.9</v>
      </c>
      <c r="AC15" s="33"/>
      <c r="AD15" s="33">
        <v>1400341.95</v>
      </c>
      <c r="AE15" s="33">
        <v>148105</v>
      </c>
      <c r="AF15" s="33">
        <v>81953.05</v>
      </c>
      <c r="AG15" s="33"/>
      <c r="AH15" s="33">
        <v>2990438</v>
      </c>
      <c r="AI15" s="33">
        <v>281163.05</v>
      </c>
      <c r="AJ15" s="33"/>
      <c r="AK15" s="33"/>
      <c r="AL15" s="33">
        <v>80332.3</v>
      </c>
      <c r="AM15" s="328">
        <f t="shared" si="2"/>
        <v>7578430.4999999991</v>
      </c>
      <c r="AN15" s="371">
        <v>68</v>
      </c>
      <c r="AO15" s="388">
        <v>7560</v>
      </c>
      <c r="AP15" s="33">
        <v>-397634.58</v>
      </c>
      <c r="AQ15" s="332"/>
      <c r="AR15" s="33">
        <v>-36101.870000000003</v>
      </c>
      <c r="AS15" s="340">
        <v>1.3</v>
      </c>
      <c r="AT15" s="437"/>
      <c r="AU15" s="438"/>
      <c r="AV15" s="436"/>
      <c r="AW15" s="436"/>
      <c r="AX15" s="436"/>
      <c r="AY15" s="436"/>
      <c r="AZ15" s="436"/>
      <c r="BA15" s="436"/>
      <c r="BB15" s="436"/>
      <c r="BC15" s="436"/>
      <c r="BE15" s="383"/>
      <c r="BF15" s="383"/>
      <c r="BG15" s="383"/>
      <c r="BH15" s="383"/>
      <c r="BI15" s="383"/>
      <c r="BJ15" s="383"/>
      <c r="BK15" s="383"/>
      <c r="BL15" s="383"/>
      <c r="BM15" s="383"/>
      <c r="BN15" s="383"/>
      <c r="BO15" s="383"/>
    </row>
    <row r="16" spans="1:67" x14ac:dyDescent="0.25">
      <c r="A16" s="335">
        <v>5410</v>
      </c>
      <c r="B16" s="425" t="s">
        <v>130</v>
      </c>
      <c r="C16" s="446">
        <v>2020328.96</v>
      </c>
      <c r="D16" s="33">
        <v>612638.03</v>
      </c>
      <c r="E16" s="448"/>
      <c r="F16" s="452">
        <v>0</v>
      </c>
      <c r="G16" s="452">
        <v>-17546.05</v>
      </c>
      <c r="H16" s="453">
        <v>2019.75</v>
      </c>
      <c r="I16" s="451">
        <v>0</v>
      </c>
      <c r="J16" s="448">
        <v>13714.41</v>
      </c>
      <c r="K16" s="453">
        <v>17073.8</v>
      </c>
      <c r="L16" s="448">
        <v>566308.79</v>
      </c>
      <c r="M16" s="422">
        <f t="shared" si="0"/>
        <v>3214537.6900000004</v>
      </c>
      <c r="N16" s="446">
        <v>3078.55</v>
      </c>
      <c r="O16" s="446">
        <v>124222.1</v>
      </c>
      <c r="P16" s="446">
        <v>140967.4</v>
      </c>
      <c r="Q16" s="446">
        <v>5526.52</v>
      </c>
      <c r="R16" s="33">
        <v>102284.6</v>
      </c>
      <c r="S16" s="340">
        <v>8083.85</v>
      </c>
      <c r="T16" s="446">
        <v>300</v>
      </c>
      <c r="U16" s="33">
        <v>14550</v>
      </c>
      <c r="V16" s="446">
        <v>1925</v>
      </c>
      <c r="W16" s="33"/>
      <c r="X16" s="417">
        <v>17480.8</v>
      </c>
      <c r="Y16" s="328">
        <f t="shared" si="1"/>
        <v>3632956.5100000002</v>
      </c>
      <c r="Z16" s="33">
        <v>39250.65</v>
      </c>
      <c r="AA16" s="33" t="s">
        <v>599</v>
      </c>
      <c r="AB16" s="33">
        <v>469386.45</v>
      </c>
      <c r="AC16" s="33" t="s">
        <v>599</v>
      </c>
      <c r="AD16" s="33">
        <v>261666.85</v>
      </c>
      <c r="AE16" s="33">
        <v>8307</v>
      </c>
      <c r="AF16" s="33" t="s">
        <v>599</v>
      </c>
      <c r="AG16" s="33" t="s">
        <v>599</v>
      </c>
      <c r="AH16" s="33">
        <v>327586.95</v>
      </c>
      <c r="AI16" s="33">
        <v>62195.45</v>
      </c>
      <c r="AJ16" s="33"/>
      <c r="AK16" s="33">
        <v>35540.25</v>
      </c>
      <c r="AL16" s="33"/>
      <c r="AM16" s="328">
        <f t="shared" si="2"/>
        <v>1203933.6000000001</v>
      </c>
      <c r="AN16" s="371">
        <v>78.5</v>
      </c>
      <c r="AO16" s="388">
        <v>1141</v>
      </c>
      <c r="AP16" s="33">
        <v>-31281.96</v>
      </c>
      <c r="AQ16" s="332"/>
      <c r="AR16" s="33">
        <v>-589</v>
      </c>
      <c r="AS16" s="340">
        <v>1.5</v>
      </c>
      <c r="AT16" s="437"/>
      <c r="AU16" s="438"/>
      <c r="AV16" s="436"/>
      <c r="AW16" s="436"/>
      <c r="AX16" s="436"/>
      <c r="AY16" s="436"/>
      <c r="AZ16" s="436"/>
      <c r="BA16" s="436"/>
      <c r="BB16" s="436"/>
      <c r="BC16" s="436"/>
      <c r="BE16" s="383"/>
      <c r="BF16" s="383"/>
      <c r="BG16" s="383"/>
      <c r="BH16" s="383"/>
      <c r="BI16" s="383"/>
      <c r="BJ16" s="383"/>
      <c r="BK16" s="383"/>
      <c r="BL16" s="383"/>
      <c r="BM16" s="383"/>
      <c r="BN16" s="383"/>
      <c r="BO16" s="383"/>
    </row>
    <row r="17" spans="1:67" x14ac:dyDescent="0.25">
      <c r="A17" s="335">
        <v>5411</v>
      </c>
      <c r="B17" s="425" t="s">
        <v>131</v>
      </c>
      <c r="C17" s="446">
        <v>3075397.54</v>
      </c>
      <c r="D17" s="33">
        <v>1326016.43</v>
      </c>
      <c r="E17" s="448"/>
      <c r="F17" s="452">
        <v>0</v>
      </c>
      <c r="G17" s="452">
        <v>67172.2</v>
      </c>
      <c r="H17" s="453">
        <v>10735.7</v>
      </c>
      <c r="I17" s="451">
        <v>90560.95</v>
      </c>
      <c r="J17" s="448">
        <v>154822.20000000001</v>
      </c>
      <c r="K17" s="453">
        <v>38585.800000000003</v>
      </c>
      <c r="L17" s="448">
        <v>1228066.6499999999</v>
      </c>
      <c r="M17" s="422">
        <f t="shared" si="0"/>
        <v>5991357.4700000007</v>
      </c>
      <c r="N17" s="446">
        <v>10235.85</v>
      </c>
      <c r="O17" s="446">
        <v>10374.799999999999</v>
      </c>
      <c r="P17" s="446">
        <v>394884.65</v>
      </c>
      <c r="Q17" s="446">
        <v>4312.03</v>
      </c>
      <c r="R17" s="33">
        <v>301258.34999999998</v>
      </c>
      <c r="S17" s="340"/>
      <c r="T17" s="446"/>
      <c r="U17" s="33">
        <v>10250</v>
      </c>
      <c r="V17" s="446"/>
      <c r="W17" s="33">
        <v>10169.65</v>
      </c>
      <c r="X17" s="417">
        <v>23362.9</v>
      </c>
      <c r="Y17" s="328">
        <f t="shared" si="1"/>
        <v>6756205.7000000011</v>
      </c>
      <c r="Z17" s="33">
        <v>46098.7</v>
      </c>
      <c r="AA17" s="33"/>
      <c r="AB17" s="33">
        <v>404294.85</v>
      </c>
      <c r="AC17" s="33"/>
      <c r="AD17" s="33">
        <v>506882.89</v>
      </c>
      <c r="AE17" s="33">
        <v>87789.35</v>
      </c>
      <c r="AF17" s="33"/>
      <c r="AG17" s="33"/>
      <c r="AH17" s="33">
        <v>1297936.72</v>
      </c>
      <c r="AI17" s="33">
        <v>103846.75</v>
      </c>
      <c r="AJ17" s="33"/>
      <c r="AK17" s="33"/>
      <c r="AL17" s="33">
        <v>29670.5</v>
      </c>
      <c r="AM17" s="328">
        <f t="shared" si="2"/>
        <v>2476519.7599999998</v>
      </c>
      <c r="AN17" s="371">
        <v>76</v>
      </c>
      <c r="AO17" s="388">
        <v>1434</v>
      </c>
      <c r="AP17" s="33">
        <v>-35936.19</v>
      </c>
      <c r="AQ17" s="332"/>
      <c r="AR17" s="33">
        <v>-6734.3</v>
      </c>
      <c r="AS17" s="340">
        <v>1.5</v>
      </c>
      <c r="AT17" s="437"/>
      <c r="AU17" s="438"/>
      <c r="AV17" s="436"/>
      <c r="AW17" s="436"/>
      <c r="AX17" s="436"/>
      <c r="AY17" s="436"/>
      <c r="AZ17" s="436"/>
      <c r="BA17" s="436"/>
      <c r="BB17" s="436"/>
      <c r="BC17" s="436"/>
      <c r="BE17" s="383"/>
      <c r="BF17" s="383"/>
      <c r="BG17" s="383"/>
      <c r="BH17" s="383"/>
      <c r="BI17" s="383"/>
      <c r="BJ17" s="383"/>
      <c r="BK17" s="383"/>
      <c r="BL17" s="383"/>
      <c r="BM17" s="383"/>
      <c r="BN17" s="383"/>
      <c r="BO17" s="383"/>
    </row>
    <row r="18" spans="1:67" x14ac:dyDescent="0.25">
      <c r="A18" s="335">
        <v>5412</v>
      </c>
      <c r="B18" s="425" t="s">
        <v>132</v>
      </c>
      <c r="C18" s="446">
        <v>1159289.17</v>
      </c>
      <c r="D18" s="33">
        <v>175233.1</v>
      </c>
      <c r="E18" s="448"/>
      <c r="F18" s="452">
        <v>0</v>
      </c>
      <c r="G18" s="452">
        <v>57578.85</v>
      </c>
      <c r="H18" s="453">
        <v>7482.35</v>
      </c>
      <c r="I18" s="451">
        <v>28426.65</v>
      </c>
      <c r="J18" s="448">
        <v>73851.81</v>
      </c>
      <c r="K18" s="453">
        <v>-91257</v>
      </c>
      <c r="L18" s="448">
        <v>221638.1</v>
      </c>
      <c r="M18" s="422">
        <f t="shared" si="0"/>
        <v>1632243.0300000003</v>
      </c>
      <c r="N18" s="446">
        <v>87891.6</v>
      </c>
      <c r="O18" s="446">
        <v>26.6</v>
      </c>
      <c r="P18" s="446">
        <v>50428.7</v>
      </c>
      <c r="Q18" s="446">
        <v>836.08</v>
      </c>
      <c r="R18" s="33">
        <v>14677.25</v>
      </c>
      <c r="S18" s="340"/>
      <c r="T18" s="446">
        <v>60</v>
      </c>
      <c r="U18" s="33">
        <v>4950</v>
      </c>
      <c r="V18" s="446"/>
      <c r="W18" s="33"/>
      <c r="X18" s="417">
        <v>41330.35</v>
      </c>
      <c r="Y18" s="328">
        <f t="shared" si="1"/>
        <v>1832443.6100000006</v>
      </c>
      <c r="Z18" s="33">
        <v>1474.4</v>
      </c>
      <c r="AA18" s="33"/>
      <c r="AB18" s="33">
        <v>186213.55</v>
      </c>
      <c r="AC18" s="33" t="s">
        <v>599</v>
      </c>
      <c r="AD18" s="33">
        <v>97047.88</v>
      </c>
      <c r="AE18" s="33">
        <v>1769.32</v>
      </c>
      <c r="AF18" s="33" t="s">
        <v>599</v>
      </c>
      <c r="AG18" s="33" t="s">
        <v>599</v>
      </c>
      <c r="AH18" s="33">
        <v>409.5</v>
      </c>
      <c r="AI18" s="33">
        <v>70089.149999999994</v>
      </c>
      <c r="AJ18" s="33"/>
      <c r="AK18" s="33"/>
      <c r="AL18" s="33"/>
      <c r="AM18" s="328">
        <f t="shared" si="2"/>
        <v>357003.79999999993</v>
      </c>
      <c r="AN18" s="371">
        <v>67.5</v>
      </c>
      <c r="AO18" s="388">
        <v>871</v>
      </c>
      <c r="AP18" s="33">
        <v>-33724.94</v>
      </c>
      <c r="AQ18" s="332"/>
      <c r="AR18" s="33">
        <v>-266.41000000000003</v>
      </c>
      <c r="AS18" s="340">
        <v>1</v>
      </c>
      <c r="AT18" s="437"/>
      <c r="AU18" s="438"/>
      <c r="AV18" s="436"/>
      <c r="AW18" s="436"/>
      <c r="AX18" s="436"/>
      <c r="AY18" s="436"/>
      <c r="AZ18" s="436"/>
      <c r="BA18" s="436"/>
      <c r="BB18" s="436"/>
      <c r="BC18" s="436"/>
      <c r="BE18" s="383"/>
      <c r="BF18" s="383"/>
      <c r="BG18" s="383"/>
      <c r="BH18" s="383"/>
      <c r="BI18" s="383"/>
      <c r="BJ18" s="383"/>
      <c r="BK18" s="383"/>
      <c r="BL18" s="383"/>
      <c r="BM18" s="383"/>
      <c r="BN18" s="383"/>
      <c r="BO18" s="383"/>
    </row>
    <row r="19" spans="1:67" x14ac:dyDescent="0.25">
      <c r="A19" s="335">
        <v>5413</v>
      </c>
      <c r="B19" s="425" t="s">
        <v>133</v>
      </c>
      <c r="C19" s="446">
        <v>2277154.61</v>
      </c>
      <c r="D19" s="33">
        <v>243532.53</v>
      </c>
      <c r="E19" s="448"/>
      <c r="F19" s="452">
        <v>0</v>
      </c>
      <c r="G19" s="452">
        <v>178572.9</v>
      </c>
      <c r="H19" s="453">
        <v>5636.75</v>
      </c>
      <c r="I19" s="451">
        <v>0</v>
      </c>
      <c r="J19" s="448">
        <v>68862.320000000007</v>
      </c>
      <c r="K19" s="453">
        <v>23441.45</v>
      </c>
      <c r="L19" s="448">
        <v>299789.45</v>
      </c>
      <c r="M19" s="422">
        <f t="shared" si="0"/>
        <v>3096990.01</v>
      </c>
      <c r="N19" s="446">
        <v>244007.9</v>
      </c>
      <c r="O19" s="446">
        <v>231</v>
      </c>
      <c r="P19" s="446">
        <v>327453.7</v>
      </c>
      <c r="Q19" s="446">
        <v>33572.480000000003</v>
      </c>
      <c r="R19" s="33">
        <v>66952.850000000006</v>
      </c>
      <c r="S19" s="340"/>
      <c r="T19" s="446"/>
      <c r="U19" s="33">
        <v>14237.5</v>
      </c>
      <c r="V19" s="446"/>
      <c r="W19" s="33"/>
      <c r="X19" s="417">
        <v>53897.95</v>
      </c>
      <c r="Y19" s="328">
        <f t="shared" si="1"/>
        <v>3837343.39</v>
      </c>
      <c r="Z19" s="33">
        <v>7493</v>
      </c>
      <c r="AA19" s="33">
        <v>472.4</v>
      </c>
      <c r="AB19" s="33">
        <v>130001.60000000001</v>
      </c>
      <c r="AC19" s="33" t="s">
        <v>599</v>
      </c>
      <c r="AD19" s="33">
        <v>211485.53999999998</v>
      </c>
      <c r="AE19" s="33">
        <v>24949.7</v>
      </c>
      <c r="AF19" s="33">
        <v>32129.7</v>
      </c>
      <c r="AG19" s="33" t="s">
        <v>599</v>
      </c>
      <c r="AH19" s="33" t="s">
        <v>599</v>
      </c>
      <c r="AI19" s="33">
        <v>70313.850000000006</v>
      </c>
      <c r="AJ19" s="33"/>
      <c r="AK19" s="33">
        <v>20089.650000000001</v>
      </c>
      <c r="AL19" s="33"/>
      <c r="AM19" s="328">
        <f t="shared" si="2"/>
        <v>496935.44000000006</v>
      </c>
      <c r="AN19" s="371">
        <v>68</v>
      </c>
      <c r="AO19" s="388">
        <v>1826</v>
      </c>
      <c r="AP19" s="33">
        <v>-68390.070000000007</v>
      </c>
      <c r="AQ19" s="332"/>
      <c r="AR19" s="33">
        <v>-371.17</v>
      </c>
      <c r="AS19" s="340">
        <v>1.2</v>
      </c>
      <c r="AT19" s="437"/>
      <c r="AU19" s="438"/>
      <c r="AV19" s="436"/>
      <c r="AW19" s="436"/>
      <c r="AX19" s="436"/>
      <c r="AY19" s="436"/>
      <c r="AZ19" s="436"/>
      <c r="BA19" s="436"/>
      <c r="BB19" s="436"/>
      <c r="BC19" s="436"/>
      <c r="BE19" s="383"/>
      <c r="BF19" s="383"/>
      <c r="BG19" s="383"/>
      <c r="BH19" s="383"/>
      <c r="BI19" s="383"/>
      <c r="BJ19" s="383"/>
      <c r="BK19" s="383"/>
      <c r="BL19" s="383"/>
      <c r="BM19" s="383"/>
      <c r="BN19" s="383"/>
      <c r="BO19" s="383"/>
    </row>
    <row r="20" spans="1:67" x14ac:dyDescent="0.25">
      <c r="A20" s="335">
        <v>5414</v>
      </c>
      <c r="B20" s="425" t="s">
        <v>134</v>
      </c>
      <c r="C20" s="446">
        <v>7815885</v>
      </c>
      <c r="D20" s="33">
        <v>1131470.8700000001</v>
      </c>
      <c r="E20" s="448"/>
      <c r="F20" s="452">
        <v>0</v>
      </c>
      <c r="G20" s="452">
        <v>597579.05000000005</v>
      </c>
      <c r="H20" s="453">
        <v>185378.55</v>
      </c>
      <c r="I20" s="451">
        <v>164001.5</v>
      </c>
      <c r="J20" s="448">
        <v>437088.12</v>
      </c>
      <c r="K20" s="453">
        <v>138327.25</v>
      </c>
      <c r="L20" s="448">
        <v>1193497.25</v>
      </c>
      <c r="M20" s="422">
        <f t="shared" si="0"/>
        <v>11663227.590000002</v>
      </c>
      <c r="N20" s="446">
        <v>1426833.65</v>
      </c>
      <c r="O20" s="446">
        <v>271325.8</v>
      </c>
      <c r="P20" s="446">
        <v>664996.65</v>
      </c>
      <c r="Q20" s="446">
        <v>34945.19</v>
      </c>
      <c r="R20" s="33">
        <v>866142.95</v>
      </c>
      <c r="S20" s="340"/>
      <c r="T20" s="446"/>
      <c r="U20" s="33">
        <v>30475</v>
      </c>
      <c r="V20" s="446"/>
      <c r="W20" s="33"/>
      <c r="X20" s="417">
        <v>208256.2</v>
      </c>
      <c r="Y20" s="328">
        <f t="shared" si="1"/>
        <v>15166203.030000001</v>
      </c>
      <c r="Z20" s="33">
        <v>88665</v>
      </c>
      <c r="AA20" s="33"/>
      <c r="AB20" s="33">
        <v>1201445</v>
      </c>
      <c r="AC20" s="33"/>
      <c r="AD20" s="33">
        <v>870661</v>
      </c>
      <c r="AE20" s="33">
        <v>105773</v>
      </c>
      <c r="AF20" s="33"/>
      <c r="AG20" s="33"/>
      <c r="AH20" s="33">
        <v>65633</v>
      </c>
      <c r="AI20" s="33">
        <v>217925</v>
      </c>
      <c r="AJ20" s="33"/>
      <c r="AK20" s="33">
        <v>124529</v>
      </c>
      <c r="AL20" s="33"/>
      <c r="AM20" s="328">
        <f t="shared" si="2"/>
        <v>2674631</v>
      </c>
      <c r="AN20" s="371">
        <v>69</v>
      </c>
      <c r="AO20" s="388">
        <v>5772</v>
      </c>
      <c r="AP20" s="33">
        <v>-328345.98</v>
      </c>
      <c r="AQ20" s="332"/>
      <c r="AR20" s="33">
        <v>-14003.67</v>
      </c>
      <c r="AS20" s="340">
        <v>1</v>
      </c>
      <c r="AT20" s="437"/>
      <c r="AU20" s="438"/>
      <c r="AV20" s="436"/>
      <c r="AW20" s="436"/>
      <c r="AX20" s="436"/>
      <c r="AY20" s="436"/>
      <c r="AZ20" s="436"/>
      <c r="BA20" s="436"/>
      <c r="BB20" s="436"/>
      <c r="BC20" s="436"/>
      <c r="BE20" s="383"/>
      <c r="BF20" s="383"/>
      <c r="BG20" s="383"/>
      <c r="BH20" s="383"/>
      <c r="BI20" s="383"/>
      <c r="BJ20" s="383"/>
      <c r="BK20" s="383"/>
      <c r="BL20" s="383"/>
      <c r="BM20" s="383"/>
      <c r="BN20" s="383"/>
      <c r="BO20" s="383"/>
    </row>
    <row r="21" spans="1:67" x14ac:dyDescent="0.25">
      <c r="A21" s="335">
        <v>5415</v>
      </c>
      <c r="B21" s="425" t="s">
        <v>72</v>
      </c>
      <c r="C21" s="446">
        <v>2043094.37</v>
      </c>
      <c r="D21" s="33">
        <v>325683.84000000003</v>
      </c>
      <c r="E21" s="448"/>
      <c r="F21" s="452">
        <v>0</v>
      </c>
      <c r="G21" s="452">
        <v>146364</v>
      </c>
      <c r="H21" s="453">
        <v>4516.3500000000004</v>
      </c>
      <c r="I21" s="451">
        <v>1121.4000000000001</v>
      </c>
      <c r="J21" s="448">
        <v>51598.99</v>
      </c>
      <c r="K21" s="453">
        <v>10326.35</v>
      </c>
      <c r="L21" s="448">
        <v>327192.2</v>
      </c>
      <c r="M21" s="422">
        <f t="shared" si="0"/>
        <v>2909897.5000000005</v>
      </c>
      <c r="N21" s="446">
        <v>18151.900000000001</v>
      </c>
      <c r="O21" s="446">
        <v>397.5</v>
      </c>
      <c r="P21" s="446">
        <v>106142.2</v>
      </c>
      <c r="Q21" s="446">
        <v>12441.37</v>
      </c>
      <c r="R21" s="33">
        <v>258291.5</v>
      </c>
      <c r="S21" s="340"/>
      <c r="T21" s="446"/>
      <c r="U21" s="33">
        <v>8250</v>
      </c>
      <c r="V21" s="446"/>
      <c r="W21" s="33"/>
      <c r="X21" s="417">
        <v>22763.55</v>
      </c>
      <c r="Y21" s="328">
        <f t="shared" si="1"/>
        <v>3336335.5200000005</v>
      </c>
      <c r="Z21" s="33">
        <v>14011.2</v>
      </c>
      <c r="AA21" s="33"/>
      <c r="AB21" s="33">
        <v>206998.03</v>
      </c>
      <c r="AC21" s="33"/>
      <c r="AD21" s="33">
        <v>45342.66</v>
      </c>
      <c r="AE21" s="33">
        <v>38061.050000000003</v>
      </c>
      <c r="AF21" s="33"/>
      <c r="AG21" s="33"/>
      <c r="AH21" s="33">
        <v>29550</v>
      </c>
      <c r="AI21" s="33">
        <v>38042.449999999997</v>
      </c>
      <c r="AJ21" s="33"/>
      <c r="AK21" s="33"/>
      <c r="AL21" s="33">
        <v>38042.449999999997</v>
      </c>
      <c r="AM21" s="328">
        <f t="shared" si="2"/>
        <v>410047.84</v>
      </c>
      <c r="AN21" s="371">
        <v>71.5</v>
      </c>
      <c r="AO21" s="388">
        <v>1071</v>
      </c>
      <c r="AP21" s="33">
        <v>-32960.74</v>
      </c>
      <c r="AQ21" s="332"/>
      <c r="AR21" s="33">
        <v>-2373.23</v>
      </c>
      <c r="AS21" s="340">
        <v>1.5</v>
      </c>
      <c r="AT21" s="437"/>
      <c r="AU21" s="438"/>
      <c r="AV21" s="436"/>
      <c r="AW21" s="436"/>
      <c r="AX21" s="436"/>
      <c r="AY21" s="436"/>
      <c r="AZ21" s="436"/>
      <c r="BA21" s="436"/>
      <c r="BB21" s="436"/>
      <c r="BC21" s="436"/>
      <c r="BE21" s="383"/>
      <c r="BF21" s="383"/>
      <c r="BG21" s="383"/>
      <c r="BH21" s="383"/>
      <c r="BI21" s="383"/>
      <c r="BJ21" s="383"/>
      <c r="BK21" s="383"/>
      <c r="BL21" s="383"/>
      <c r="BM21" s="383"/>
      <c r="BN21" s="383"/>
      <c r="BO21" s="383"/>
    </row>
    <row r="22" spans="1:67" x14ac:dyDescent="0.25">
      <c r="A22" s="335">
        <v>5421</v>
      </c>
      <c r="B22" s="425" t="s">
        <v>73</v>
      </c>
      <c r="C22" s="446">
        <v>3785822.16</v>
      </c>
      <c r="D22" s="33">
        <v>670612.32999999996</v>
      </c>
      <c r="E22" s="448"/>
      <c r="F22" s="452">
        <v>0</v>
      </c>
      <c r="G22" s="452">
        <v>146500.5</v>
      </c>
      <c r="H22" s="453">
        <v>83025.5</v>
      </c>
      <c r="I22" s="451">
        <v>207722.4</v>
      </c>
      <c r="J22" s="448">
        <v>210910.43</v>
      </c>
      <c r="K22" s="453">
        <v>13150.65</v>
      </c>
      <c r="L22" s="448">
        <v>293890.75</v>
      </c>
      <c r="M22" s="422">
        <f t="shared" si="0"/>
        <v>5411634.7200000007</v>
      </c>
      <c r="N22" s="446">
        <v>26298.5</v>
      </c>
      <c r="O22" s="446">
        <v>69311.8</v>
      </c>
      <c r="P22" s="446">
        <v>149504.20000000001</v>
      </c>
      <c r="Q22" s="446">
        <v>1193.06</v>
      </c>
      <c r="R22" s="33">
        <v>158133.5</v>
      </c>
      <c r="S22" s="340"/>
      <c r="T22" s="446">
        <v>2112.1</v>
      </c>
      <c r="U22" s="33">
        <v>10200</v>
      </c>
      <c r="V22" s="446"/>
      <c r="W22" s="33"/>
      <c r="X22" s="417">
        <v>38553.15</v>
      </c>
      <c r="Y22" s="328">
        <f t="shared" si="1"/>
        <v>5866941.0300000003</v>
      </c>
      <c r="Z22" s="33">
        <v>8700</v>
      </c>
      <c r="AA22" s="33"/>
      <c r="AB22" s="33">
        <v>254747.4</v>
      </c>
      <c r="AC22" s="33"/>
      <c r="AD22" s="33">
        <v>212538.91</v>
      </c>
      <c r="AE22" s="33">
        <v>18480</v>
      </c>
      <c r="AF22" s="33"/>
      <c r="AG22" s="33"/>
      <c r="AH22" s="33"/>
      <c r="AI22" s="33"/>
      <c r="AJ22" s="33"/>
      <c r="AK22" s="33"/>
      <c r="AL22" s="33"/>
      <c r="AM22" s="328">
        <f t="shared" si="2"/>
        <v>494466.31000000006</v>
      </c>
      <c r="AN22" s="371">
        <v>76</v>
      </c>
      <c r="AO22" s="388">
        <v>1460</v>
      </c>
      <c r="AP22" s="33">
        <v>-80921.87</v>
      </c>
      <c r="AQ22" s="332"/>
      <c r="AR22" s="33">
        <v>-3935.15</v>
      </c>
      <c r="AS22" s="340">
        <v>1</v>
      </c>
      <c r="AT22" s="437"/>
      <c r="AU22" s="438"/>
      <c r="AV22" s="436"/>
      <c r="AW22" s="436"/>
      <c r="AX22" s="436"/>
      <c r="AY22" s="436"/>
      <c r="AZ22" s="436"/>
      <c r="BA22" s="436"/>
      <c r="BB22" s="436"/>
      <c r="BC22" s="436"/>
      <c r="BE22" s="383"/>
      <c r="BF22" s="383"/>
      <c r="BG22" s="383"/>
      <c r="BH22" s="383"/>
      <c r="BI22" s="383"/>
      <c r="BJ22" s="383"/>
      <c r="BK22" s="383"/>
      <c r="BL22" s="383"/>
      <c r="BM22" s="383"/>
      <c r="BN22" s="383"/>
      <c r="BO22" s="383"/>
    </row>
    <row r="23" spans="1:67" x14ac:dyDescent="0.25">
      <c r="A23" s="335">
        <v>5422</v>
      </c>
      <c r="B23" s="425" t="s">
        <v>74</v>
      </c>
      <c r="C23" s="446">
        <v>9272780.6599999908</v>
      </c>
      <c r="D23" s="33">
        <v>1574593.83</v>
      </c>
      <c r="E23" s="448"/>
      <c r="F23" s="452">
        <v>0</v>
      </c>
      <c r="G23" s="452">
        <v>2603946.5</v>
      </c>
      <c r="H23" s="453">
        <v>413430.4</v>
      </c>
      <c r="I23" s="451">
        <v>341926.40000000002</v>
      </c>
      <c r="J23" s="448">
        <v>433327.49</v>
      </c>
      <c r="K23" s="453">
        <v>138715.5</v>
      </c>
      <c r="L23" s="448">
        <v>988122.1</v>
      </c>
      <c r="M23" s="422">
        <f t="shared" si="0"/>
        <v>15766842.879999992</v>
      </c>
      <c r="N23" s="446">
        <v>892412.4</v>
      </c>
      <c r="O23" s="446">
        <v>335871.4</v>
      </c>
      <c r="P23" s="446">
        <v>292394.8</v>
      </c>
      <c r="Q23" s="446">
        <v>44684.31</v>
      </c>
      <c r="R23" s="33">
        <v>242260.6</v>
      </c>
      <c r="S23" s="340"/>
      <c r="T23" s="446">
        <v>16015.6</v>
      </c>
      <c r="U23" s="33">
        <v>24750</v>
      </c>
      <c r="V23" s="446"/>
      <c r="W23" s="33"/>
      <c r="X23" s="417">
        <v>506508.15</v>
      </c>
      <c r="Y23" s="328">
        <f t="shared" si="1"/>
        <v>18121740.139999993</v>
      </c>
      <c r="Z23" s="33">
        <v>20302.5</v>
      </c>
      <c r="AA23" s="33"/>
      <c r="AB23" s="33">
        <v>512913.84</v>
      </c>
      <c r="AC23" s="33"/>
      <c r="AD23" s="33">
        <v>268605.28000000003</v>
      </c>
      <c r="AE23" s="33">
        <v>15540</v>
      </c>
      <c r="AF23" s="33"/>
      <c r="AG23" s="33"/>
      <c r="AH23" s="33"/>
      <c r="AI23" s="33">
        <v>219131.65</v>
      </c>
      <c r="AJ23" s="33"/>
      <c r="AK23" s="33"/>
      <c r="AL23" s="33"/>
      <c r="AM23" s="328">
        <f t="shared" si="2"/>
        <v>1036493.2700000001</v>
      </c>
      <c r="AN23" s="371">
        <v>70</v>
      </c>
      <c r="AO23" s="388">
        <v>3276</v>
      </c>
      <c r="AP23" s="33">
        <v>-126606.97</v>
      </c>
      <c r="AQ23" s="332"/>
      <c r="AR23" s="33">
        <v>-9400</v>
      </c>
      <c r="AS23" s="340">
        <v>1</v>
      </c>
      <c r="AT23" s="437"/>
      <c r="AU23" s="438"/>
      <c r="AV23" s="436"/>
      <c r="AW23" s="436"/>
      <c r="AX23" s="436"/>
      <c r="AY23" s="436"/>
      <c r="AZ23" s="436"/>
      <c r="BA23" s="436"/>
      <c r="BB23" s="436"/>
      <c r="BC23" s="436"/>
      <c r="BE23" s="383"/>
      <c r="BF23" s="383"/>
      <c r="BG23" s="383"/>
      <c r="BH23" s="383"/>
      <c r="BI23" s="383"/>
      <c r="BJ23" s="383"/>
      <c r="BK23" s="383"/>
      <c r="BL23" s="383"/>
      <c r="BM23" s="383"/>
      <c r="BN23" s="383"/>
      <c r="BO23" s="383"/>
    </row>
    <row r="24" spans="1:67" x14ac:dyDescent="0.25">
      <c r="A24" s="335">
        <v>5423</v>
      </c>
      <c r="B24" s="425" t="s">
        <v>75</v>
      </c>
      <c r="C24" s="446">
        <v>1005834.53</v>
      </c>
      <c r="D24" s="33">
        <v>130595.98</v>
      </c>
      <c r="E24" s="448"/>
      <c r="F24" s="452">
        <v>2740</v>
      </c>
      <c r="G24" s="452">
        <v>47468.65</v>
      </c>
      <c r="H24" s="453">
        <v>1657</v>
      </c>
      <c r="I24" s="451">
        <v>0</v>
      </c>
      <c r="J24" s="448">
        <v>51188.04</v>
      </c>
      <c r="K24" s="453">
        <v>1932.85</v>
      </c>
      <c r="L24" s="448">
        <v>39220.25</v>
      </c>
      <c r="M24" s="422">
        <f t="shared" si="0"/>
        <v>1280637.3</v>
      </c>
      <c r="N24" s="446">
        <v>33405.599999999999</v>
      </c>
      <c r="O24" s="446">
        <v>0</v>
      </c>
      <c r="P24" s="446">
        <v>53755.5</v>
      </c>
      <c r="Q24" s="446">
        <v>243.38</v>
      </c>
      <c r="R24" s="33">
        <v>26298.799999999999</v>
      </c>
      <c r="S24" s="340">
        <v>200</v>
      </c>
      <c r="T24" s="446">
        <v>988.45</v>
      </c>
      <c r="U24" s="33">
        <v>1450</v>
      </c>
      <c r="V24" s="446"/>
      <c r="W24" s="33"/>
      <c r="X24" s="417">
        <v>2119.25</v>
      </c>
      <c r="Y24" s="328">
        <f t="shared" si="1"/>
        <v>1399098.28</v>
      </c>
      <c r="Z24" s="33">
        <v>19924.5</v>
      </c>
      <c r="AA24" s="33"/>
      <c r="AB24" s="33">
        <v>151569.75</v>
      </c>
      <c r="AC24" s="33" t="s">
        <v>599</v>
      </c>
      <c r="AD24" s="33">
        <v>26895</v>
      </c>
      <c r="AE24" s="33">
        <v>36536.5</v>
      </c>
      <c r="AF24" s="33"/>
      <c r="AG24" s="33" t="s">
        <v>599</v>
      </c>
      <c r="AH24" s="33" t="s">
        <v>599</v>
      </c>
      <c r="AI24" s="33">
        <v>15014.5</v>
      </c>
      <c r="AJ24" s="33"/>
      <c r="AK24" s="33"/>
      <c r="AL24" s="33"/>
      <c r="AM24" s="328">
        <f t="shared" si="2"/>
        <v>249940.25</v>
      </c>
      <c r="AN24" s="371">
        <v>73</v>
      </c>
      <c r="AO24" s="388">
        <v>545</v>
      </c>
      <c r="AP24" s="33">
        <v>-134669.19</v>
      </c>
      <c r="AQ24" s="332"/>
      <c r="AR24" s="33">
        <v>-393.83</v>
      </c>
      <c r="AS24" s="340">
        <v>0.5</v>
      </c>
      <c r="AT24" s="437"/>
      <c r="AU24" s="438"/>
      <c r="AV24" s="436"/>
      <c r="AW24" s="436"/>
      <c r="AX24" s="436"/>
      <c r="AY24" s="436"/>
      <c r="AZ24" s="436"/>
      <c r="BA24" s="436"/>
      <c r="BB24" s="436"/>
      <c r="BC24" s="436"/>
      <c r="BE24" s="383"/>
      <c r="BF24" s="383"/>
      <c r="BG24" s="383"/>
      <c r="BH24" s="383"/>
      <c r="BI24" s="383"/>
      <c r="BJ24" s="383"/>
      <c r="BK24" s="383"/>
      <c r="BL24" s="383"/>
      <c r="BM24" s="383"/>
      <c r="BN24" s="383"/>
      <c r="BO24" s="383"/>
    </row>
    <row r="25" spans="1:67" x14ac:dyDescent="0.25">
      <c r="A25" s="335">
        <v>5424</v>
      </c>
      <c r="B25" s="425" t="s">
        <v>76</v>
      </c>
      <c r="C25" s="446">
        <v>575056.89</v>
      </c>
      <c r="D25" s="33">
        <v>55766.479999999901</v>
      </c>
      <c r="E25" s="448"/>
      <c r="F25" s="452">
        <v>0</v>
      </c>
      <c r="G25" s="452">
        <v>-1629.75</v>
      </c>
      <c r="H25" s="453">
        <v>677.6</v>
      </c>
      <c r="I25" s="451">
        <v>30045.05</v>
      </c>
      <c r="J25" s="448">
        <v>14473.74</v>
      </c>
      <c r="K25" s="453">
        <v>766</v>
      </c>
      <c r="L25" s="448">
        <v>50145</v>
      </c>
      <c r="M25" s="422">
        <f t="shared" si="0"/>
        <v>725301.00999999989</v>
      </c>
      <c r="N25" s="446">
        <v>0</v>
      </c>
      <c r="O25" s="446">
        <v>0</v>
      </c>
      <c r="P25" s="446">
        <v>5830</v>
      </c>
      <c r="Q25" s="446">
        <v>2304.5700000000002</v>
      </c>
      <c r="R25" s="33">
        <v>4673.8999999999996</v>
      </c>
      <c r="S25" s="340"/>
      <c r="T25" s="446"/>
      <c r="U25" s="33">
        <v>1825</v>
      </c>
      <c r="V25" s="446"/>
      <c r="W25" s="33">
        <v>12064.14</v>
      </c>
      <c r="X25" s="417">
        <v>244.15</v>
      </c>
      <c r="Y25" s="328">
        <f t="shared" si="1"/>
        <v>752242.7699999999</v>
      </c>
      <c r="Z25" s="33"/>
      <c r="AA25" s="33"/>
      <c r="AB25" s="33">
        <v>44662.8</v>
      </c>
      <c r="AC25" s="33">
        <v>10250.200000000001</v>
      </c>
      <c r="AD25" s="33">
        <v>12814.95</v>
      </c>
      <c r="AE25" s="33"/>
      <c r="AF25" s="33"/>
      <c r="AG25" s="33"/>
      <c r="AH25" s="33"/>
      <c r="AI25" s="33">
        <v>7144.1</v>
      </c>
      <c r="AJ25" s="33"/>
      <c r="AK25" s="33"/>
      <c r="AL25" s="33"/>
      <c r="AM25" s="328">
        <f t="shared" si="2"/>
        <v>74872.05</v>
      </c>
      <c r="AN25" s="371">
        <v>77</v>
      </c>
      <c r="AO25" s="388">
        <v>300</v>
      </c>
      <c r="AP25" s="33">
        <v>-13155.55</v>
      </c>
      <c r="AQ25" s="332"/>
      <c r="AR25" s="33">
        <v>0</v>
      </c>
      <c r="AS25" s="340">
        <v>1</v>
      </c>
      <c r="AT25" s="437"/>
      <c r="AU25" s="438"/>
      <c r="AV25" s="436"/>
      <c r="AW25" s="436"/>
      <c r="AX25" s="436"/>
      <c r="AY25" s="436"/>
      <c r="AZ25" s="436"/>
      <c r="BA25" s="436"/>
      <c r="BB25" s="436"/>
      <c r="BC25" s="436"/>
      <c r="BE25" s="383"/>
      <c r="BF25" s="383"/>
      <c r="BG25" s="383"/>
      <c r="BH25" s="383"/>
      <c r="BI25" s="383"/>
      <c r="BJ25" s="383"/>
      <c r="BK25" s="383"/>
      <c r="BL25" s="383"/>
      <c r="BM25" s="383"/>
      <c r="BN25" s="383"/>
      <c r="BO25" s="383"/>
    </row>
    <row r="26" spans="1:67" x14ac:dyDescent="0.25">
      <c r="A26" s="335">
        <v>5425</v>
      </c>
      <c r="B26" s="425" t="s">
        <v>77</v>
      </c>
      <c r="C26" s="446">
        <v>2061875.52</v>
      </c>
      <c r="D26" s="33">
        <v>247348.07</v>
      </c>
      <c r="E26" s="448"/>
      <c r="F26" s="452">
        <v>0</v>
      </c>
      <c r="G26" s="452">
        <v>93672.25</v>
      </c>
      <c r="H26" s="453">
        <v>2058.25</v>
      </c>
      <c r="I26" s="451">
        <v>0</v>
      </c>
      <c r="J26" s="448">
        <v>149097.46</v>
      </c>
      <c r="K26" s="453">
        <v>14618.2</v>
      </c>
      <c r="L26" s="448">
        <v>116694.85</v>
      </c>
      <c r="M26" s="422">
        <f t="shared" si="0"/>
        <v>2685364.6</v>
      </c>
      <c r="N26" s="446">
        <v>59876.55</v>
      </c>
      <c r="O26" s="446">
        <v>29340.1</v>
      </c>
      <c r="P26" s="446">
        <v>215386.05</v>
      </c>
      <c r="Q26" s="446">
        <v>23735.45</v>
      </c>
      <c r="R26" s="33">
        <v>59819.3</v>
      </c>
      <c r="S26" s="340">
        <v>525</v>
      </c>
      <c r="T26" s="446">
        <v>4110.6499999999996</v>
      </c>
      <c r="U26" s="33">
        <v>12550</v>
      </c>
      <c r="V26" s="446">
        <v>4636</v>
      </c>
      <c r="W26" s="33"/>
      <c r="X26" s="417">
        <v>23641.599999999999</v>
      </c>
      <c r="Y26" s="328">
        <f t="shared" si="1"/>
        <v>3118985.3</v>
      </c>
      <c r="Z26" s="33">
        <v>25884.5</v>
      </c>
      <c r="AA26" s="33"/>
      <c r="AB26" s="33">
        <v>186265.95</v>
      </c>
      <c r="AC26" s="33"/>
      <c r="AD26" s="33">
        <v>161853.09</v>
      </c>
      <c r="AE26" s="33">
        <v>13609.4</v>
      </c>
      <c r="AF26" s="33"/>
      <c r="AG26" s="33"/>
      <c r="AH26" s="33"/>
      <c r="AI26" s="33">
        <v>56022.1</v>
      </c>
      <c r="AJ26" s="33"/>
      <c r="AK26" s="33"/>
      <c r="AL26" s="33"/>
      <c r="AM26" s="328">
        <f t="shared" si="2"/>
        <v>443635.04000000004</v>
      </c>
      <c r="AN26" s="371">
        <v>70</v>
      </c>
      <c r="AO26" s="388">
        <v>1596</v>
      </c>
      <c r="AP26" s="33">
        <v>-50620.28</v>
      </c>
      <c r="AQ26" s="332"/>
      <c r="AR26" s="33">
        <v>-67.75</v>
      </c>
      <c r="AS26" s="340">
        <v>0.57999999999999996</v>
      </c>
      <c r="AT26" s="437"/>
      <c r="AU26" s="438"/>
      <c r="AV26" s="436"/>
      <c r="AW26" s="436"/>
      <c r="AX26" s="436"/>
      <c r="AY26" s="436"/>
      <c r="AZ26" s="436"/>
      <c r="BA26" s="436"/>
      <c r="BB26" s="436"/>
      <c r="BC26" s="436"/>
      <c r="BE26" s="383"/>
      <c r="BF26" s="383"/>
      <c r="BG26" s="383"/>
      <c r="BH26" s="383"/>
      <c r="BI26" s="383"/>
      <c r="BJ26" s="383"/>
      <c r="BK26" s="383"/>
      <c r="BL26" s="383"/>
      <c r="BM26" s="383"/>
      <c r="BN26" s="383"/>
      <c r="BO26" s="383"/>
    </row>
    <row r="27" spans="1:67" x14ac:dyDescent="0.25">
      <c r="A27" s="335">
        <v>5426</v>
      </c>
      <c r="B27" s="425" t="s">
        <v>71</v>
      </c>
      <c r="C27" s="446">
        <v>2043600.42</v>
      </c>
      <c r="D27" s="33">
        <v>440790.86</v>
      </c>
      <c r="E27" s="448"/>
      <c r="F27" s="452">
        <v>0</v>
      </c>
      <c r="G27" s="452">
        <v>987.35</v>
      </c>
      <c r="H27" s="453">
        <v>2423.3000000000002</v>
      </c>
      <c r="I27" s="451">
        <v>691095.95</v>
      </c>
      <c r="J27" s="448">
        <v>3803.67</v>
      </c>
      <c r="K27" s="453">
        <v>6336.3</v>
      </c>
      <c r="L27" s="448">
        <v>288747.09999999998</v>
      </c>
      <c r="M27" s="422">
        <f t="shared" si="0"/>
        <v>3477784.9499999997</v>
      </c>
      <c r="N27" s="446">
        <v>720.4</v>
      </c>
      <c r="O27" s="446">
        <v>54938.9</v>
      </c>
      <c r="P27" s="446">
        <v>126338.5</v>
      </c>
      <c r="Q27" s="446">
        <v>7285.12</v>
      </c>
      <c r="R27" s="33">
        <v>134028.35</v>
      </c>
      <c r="S27" s="340"/>
      <c r="T27" s="446">
        <v>700</v>
      </c>
      <c r="U27" s="33">
        <v>4360</v>
      </c>
      <c r="V27" s="446">
        <v>48475.85</v>
      </c>
      <c r="W27" s="33"/>
      <c r="X27" s="417">
        <v>6974.2</v>
      </c>
      <c r="Y27" s="328">
        <f t="shared" si="1"/>
        <v>3861606.27</v>
      </c>
      <c r="Z27" s="33">
        <v>65069.45</v>
      </c>
      <c r="AA27" s="33"/>
      <c r="AB27" s="33">
        <v>260969.5</v>
      </c>
      <c r="AC27" s="33"/>
      <c r="AD27" s="33">
        <v>47450</v>
      </c>
      <c r="AE27" s="33">
        <v>0</v>
      </c>
      <c r="AF27" s="33"/>
      <c r="AG27" s="33"/>
      <c r="AH27" s="33"/>
      <c r="AI27" s="33"/>
      <c r="AJ27" s="33"/>
      <c r="AK27" s="33"/>
      <c r="AL27" s="33"/>
      <c r="AM27" s="328">
        <f t="shared" si="2"/>
        <v>373488.95</v>
      </c>
      <c r="AN27" s="371">
        <v>66</v>
      </c>
      <c r="AO27" s="388">
        <v>475</v>
      </c>
      <c r="AP27" s="33">
        <v>-2403.56</v>
      </c>
      <c r="AQ27" s="332"/>
      <c r="AR27" s="33">
        <v>-4687.6000000000004</v>
      </c>
      <c r="AS27" s="340">
        <v>1.2</v>
      </c>
      <c r="AT27" s="437"/>
      <c r="AU27" s="438"/>
      <c r="AV27" s="436"/>
      <c r="AW27" s="436"/>
      <c r="AX27" s="436"/>
      <c r="AY27" s="436"/>
      <c r="AZ27" s="436"/>
      <c r="BA27" s="436"/>
      <c r="BB27" s="436"/>
      <c r="BC27" s="436"/>
      <c r="BE27" s="383"/>
      <c r="BF27" s="383"/>
      <c r="BG27" s="383"/>
      <c r="BH27" s="383"/>
      <c r="BI27" s="383"/>
      <c r="BJ27" s="383"/>
      <c r="BK27" s="383"/>
      <c r="BL27" s="383"/>
      <c r="BM27" s="383"/>
      <c r="BN27" s="383"/>
      <c r="BO27" s="383"/>
    </row>
    <row r="28" spans="1:67" x14ac:dyDescent="0.25">
      <c r="A28" s="335">
        <v>5427</v>
      </c>
      <c r="B28" s="425" t="s">
        <v>342</v>
      </c>
      <c r="C28" s="446">
        <v>3611717.66</v>
      </c>
      <c r="D28" s="33">
        <v>1164774.55</v>
      </c>
      <c r="E28" s="448"/>
      <c r="F28" s="452">
        <v>0</v>
      </c>
      <c r="G28" s="452">
        <v>44843.85</v>
      </c>
      <c r="H28" s="453">
        <v>4794.75</v>
      </c>
      <c r="I28" s="451">
        <v>418429.95</v>
      </c>
      <c r="J28" s="448">
        <v>-49640.51</v>
      </c>
      <c r="K28" s="453">
        <v>3924.95</v>
      </c>
      <c r="L28" s="448">
        <v>454015.6</v>
      </c>
      <c r="M28" s="422">
        <f t="shared" si="0"/>
        <v>5652860.7999999998</v>
      </c>
      <c r="N28" s="446">
        <v>12002.5</v>
      </c>
      <c r="O28" s="446">
        <v>25012</v>
      </c>
      <c r="P28" s="446">
        <v>290164.34999999998</v>
      </c>
      <c r="Q28" s="446">
        <v>610.20000000000005</v>
      </c>
      <c r="R28" s="33">
        <v>145347</v>
      </c>
      <c r="S28" s="340"/>
      <c r="T28" s="446">
        <v>462</v>
      </c>
      <c r="U28" s="33">
        <v>4410</v>
      </c>
      <c r="V28" s="446"/>
      <c r="W28" s="33"/>
      <c r="X28" s="417">
        <v>9913.5</v>
      </c>
      <c r="Y28" s="328">
        <f t="shared" si="1"/>
        <v>6140782.3499999996</v>
      </c>
      <c r="Z28" s="33">
        <v>25180</v>
      </c>
      <c r="AA28" s="33"/>
      <c r="AB28" s="33">
        <v>274814.59999999998</v>
      </c>
      <c r="AC28" s="33"/>
      <c r="AD28" s="33">
        <v>110653.8</v>
      </c>
      <c r="AE28" s="33"/>
      <c r="AF28" s="33"/>
      <c r="AG28" s="33"/>
      <c r="AH28" s="33"/>
      <c r="AI28" s="33"/>
      <c r="AJ28" s="33"/>
      <c r="AK28" s="33"/>
      <c r="AL28" s="33"/>
      <c r="AM28" s="328">
        <f t="shared" si="2"/>
        <v>410648.39999999997</v>
      </c>
      <c r="AN28" s="371">
        <v>64</v>
      </c>
      <c r="AO28" s="388">
        <v>861</v>
      </c>
      <c r="AP28" s="33">
        <v>-6647.5</v>
      </c>
      <c r="AQ28" s="332"/>
      <c r="AR28" s="33">
        <v>0</v>
      </c>
      <c r="AS28" s="340">
        <v>1.3</v>
      </c>
      <c r="AT28" s="437"/>
      <c r="AU28" s="438"/>
      <c r="AV28" s="436"/>
      <c r="AW28" s="436"/>
      <c r="AX28" s="436"/>
      <c r="AY28" s="436"/>
      <c r="AZ28" s="436"/>
      <c r="BA28" s="436"/>
      <c r="BB28" s="436"/>
      <c r="BC28" s="436"/>
      <c r="BE28" s="383"/>
      <c r="BF28" s="383"/>
      <c r="BG28" s="383"/>
      <c r="BH28" s="383"/>
      <c r="BI28" s="383"/>
      <c r="BJ28" s="383"/>
      <c r="BK28" s="383"/>
      <c r="BL28" s="383"/>
      <c r="BM28" s="383"/>
      <c r="BN28" s="383"/>
      <c r="BO28" s="383"/>
    </row>
    <row r="29" spans="1:67" x14ac:dyDescent="0.25">
      <c r="A29" s="335">
        <v>5428</v>
      </c>
      <c r="B29" s="425" t="s">
        <v>343</v>
      </c>
      <c r="C29" s="446">
        <v>3733936.26</v>
      </c>
      <c r="D29" s="33">
        <v>468449.13</v>
      </c>
      <c r="E29" s="448"/>
      <c r="F29" s="452">
        <v>0</v>
      </c>
      <c r="G29" s="452">
        <v>253087.1</v>
      </c>
      <c r="H29" s="453">
        <v>5003.1000000000004</v>
      </c>
      <c r="I29" s="451">
        <v>-21355</v>
      </c>
      <c r="J29" s="448">
        <v>158174.44</v>
      </c>
      <c r="K29" s="453">
        <v>11690.15</v>
      </c>
      <c r="L29" s="448">
        <v>440026.65</v>
      </c>
      <c r="M29" s="422">
        <f t="shared" si="0"/>
        <v>5049011.83</v>
      </c>
      <c r="N29" s="446">
        <v>226233.85</v>
      </c>
      <c r="O29" s="446">
        <v>19249</v>
      </c>
      <c r="P29" s="446">
        <v>223194</v>
      </c>
      <c r="Q29" s="446">
        <v>8131.04</v>
      </c>
      <c r="R29" s="33">
        <v>120076.25</v>
      </c>
      <c r="S29" s="340">
        <v>725</v>
      </c>
      <c r="T29" s="446">
        <v>1850</v>
      </c>
      <c r="U29" s="33">
        <v>13450</v>
      </c>
      <c r="V29" s="446"/>
      <c r="W29" s="33"/>
      <c r="X29" s="417">
        <v>27359.05</v>
      </c>
      <c r="Y29" s="328">
        <f t="shared" si="1"/>
        <v>5689280.0199999996</v>
      </c>
      <c r="Z29" s="33">
        <v>24171.55</v>
      </c>
      <c r="AA29" s="33">
        <v>25338.2</v>
      </c>
      <c r="AB29" s="33">
        <v>277279.84000000003</v>
      </c>
      <c r="AC29" s="33"/>
      <c r="AD29" s="33">
        <v>219002.21</v>
      </c>
      <c r="AE29" s="33">
        <v>25372.3</v>
      </c>
      <c r="AF29" s="33">
        <v>24399.95</v>
      </c>
      <c r="AG29" s="33"/>
      <c r="AH29" s="33"/>
      <c r="AI29" s="33">
        <v>52259.1</v>
      </c>
      <c r="AJ29" s="33"/>
      <c r="AK29" s="33"/>
      <c r="AL29" s="33"/>
      <c r="AM29" s="328">
        <f t="shared" si="2"/>
        <v>647823.15</v>
      </c>
      <c r="AN29" s="371">
        <v>74.5</v>
      </c>
      <c r="AO29" s="388">
        <v>2238</v>
      </c>
      <c r="AP29" s="33">
        <v>-80876.649999999994</v>
      </c>
      <c r="AQ29" s="332"/>
      <c r="AR29" s="33">
        <v>-547.26</v>
      </c>
      <c r="AS29" s="340">
        <v>1.2</v>
      </c>
      <c r="AT29" s="437"/>
      <c r="AU29" s="438"/>
      <c r="AV29" s="436"/>
      <c r="AW29" s="436"/>
      <c r="AX29" s="436"/>
      <c r="AY29" s="436"/>
      <c r="AZ29" s="436"/>
      <c r="BA29" s="436"/>
      <c r="BB29" s="436"/>
      <c r="BC29" s="436"/>
      <c r="BE29" s="383"/>
      <c r="BF29" s="383"/>
      <c r="BG29" s="383"/>
      <c r="BH29" s="383"/>
      <c r="BI29" s="383"/>
      <c r="BJ29" s="383"/>
      <c r="BK29" s="383"/>
      <c r="BL29" s="383"/>
      <c r="BM29" s="383"/>
      <c r="BN29" s="383"/>
      <c r="BO29" s="383"/>
    </row>
    <row r="30" spans="1:67" x14ac:dyDescent="0.25">
      <c r="A30" s="335">
        <v>5429</v>
      </c>
      <c r="B30" s="425" t="s">
        <v>363</v>
      </c>
      <c r="C30" s="446">
        <v>1000212.95</v>
      </c>
      <c r="D30" s="33">
        <v>135257.04999999999</v>
      </c>
      <c r="E30" s="448"/>
      <c r="F30" s="452">
        <v>0</v>
      </c>
      <c r="G30" s="452">
        <v>-3265.4</v>
      </c>
      <c r="H30" s="453">
        <v>7219.7</v>
      </c>
      <c r="I30" s="451">
        <v>0</v>
      </c>
      <c r="J30" s="448">
        <v>6679.09</v>
      </c>
      <c r="K30" s="453">
        <v>1954.8</v>
      </c>
      <c r="L30" s="448">
        <v>98330.8</v>
      </c>
      <c r="M30" s="422">
        <f t="shared" si="0"/>
        <v>1246388.9900000002</v>
      </c>
      <c r="N30" s="446">
        <v>0</v>
      </c>
      <c r="O30" s="446">
        <v>5504</v>
      </c>
      <c r="P30" s="446">
        <v>37475.699999999997</v>
      </c>
      <c r="Q30" s="446">
        <v>0</v>
      </c>
      <c r="R30" s="33">
        <v>33964.35</v>
      </c>
      <c r="S30" s="340"/>
      <c r="T30" s="446"/>
      <c r="U30" s="33">
        <v>4905</v>
      </c>
      <c r="V30" s="446"/>
      <c r="W30" s="33"/>
      <c r="X30" s="417">
        <v>1449.35</v>
      </c>
      <c r="Y30" s="328">
        <f t="shared" si="1"/>
        <v>1329687.3900000004</v>
      </c>
      <c r="Z30" s="33">
        <v>9230</v>
      </c>
      <c r="AA30" s="33"/>
      <c r="AB30" s="33">
        <v>46659.199999999997</v>
      </c>
      <c r="AC30" s="33" t="s">
        <v>599</v>
      </c>
      <c r="AD30" s="33">
        <v>65440.6</v>
      </c>
      <c r="AE30" s="33">
        <v>9230</v>
      </c>
      <c r="AF30" s="33" t="s">
        <v>599</v>
      </c>
      <c r="AG30" s="33" t="s">
        <v>599</v>
      </c>
      <c r="AH30" s="33">
        <v>2291.6</v>
      </c>
      <c r="AI30" s="33"/>
      <c r="AJ30" s="33"/>
      <c r="AK30" s="33"/>
      <c r="AL30" s="33"/>
      <c r="AM30" s="328">
        <f t="shared" si="2"/>
        <v>132851.4</v>
      </c>
      <c r="AN30" s="371">
        <v>81</v>
      </c>
      <c r="AO30" s="388">
        <v>482</v>
      </c>
      <c r="AP30" s="33">
        <v>-7575.32</v>
      </c>
      <c r="AQ30" s="332"/>
      <c r="AR30" s="33">
        <v>-38.270000000000003</v>
      </c>
      <c r="AS30" s="340">
        <v>1</v>
      </c>
      <c r="AT30" s="437"/>
      <c r="AU30" s="438"/>
      <c r="AV30" s="436"/>
      <c r="AW30" s="436"/>
      <c r="AX30" s="436"/>
      <c r="AY30" s="436"/>
      <c r="AZ30" s="436"/>
      <c r="BA30" s="436"/>
      <c r="BB30" s="436"/>
      <c r="BC30" s="436"/>
      <c r="BE30" s="383"/>
      <c r="BF30" s="383"/>
      <c r="BG30" s="383"/>
      <c r="BH30" s="383"/>
      <c r="BI30" s="383"/>
      <c r="BJ30" s="383"/>
      <c r="BK30" s="383"/>
      <c r="BL30" s="383"/>
      <c r="BM30" s="383"/>
      <c r="BN30" s="383"/>
      <c r="BO30" s="383"/>
    </row>
    <row r="31" spans="1:67" x14ac:dyDescent="0.25">
      <c r="A31" s="335">
        <v>5430</v>
      </c>
      <c r="B31" s="425" t="s">
        <v>364</v>
      </c>
      <c r="C31" s="446">
        <v>930733.9</v>
      </c>
      <c r="D31" s="33">
        <v>129703.43</v>
      </c>
      <c r="E31" s="448"/>
      <c r="F31" s="452">
        <v>0</v>
      </c>
      <c r="G31" s="452">
        <v>44753</v>
      </c>
      <c r="H31" s="453">
        <v>2240.65</v>
      </c>
      <c r="I31" s="451">
        <v>0</v>
      </c>
      <c r="J31" s="448">
        <v>11615.48</v>
      </c>
      <c r="K31" s="453">
        <v>1059.8</v>
      </c>
      <c r="L31" s="448">
        <v>86256.7</v>
      </c>
      <c r="M31" s="422">
        <f t="shared" si="0"/>
        <v>1206362.96</v>
      </c>
      <c r="N31" s="446">
        <v>6850.45</v>
      </c>
      <c r="O31" s="446">
        <v>0</v>
      </c>
      <c r="P31" s="446">
        <v>45692.45</v>
      </c>
      <c r="Q31" s="446">
        <v>1302.25</v>
      </c>
      <c r="R31" s="33">
        <v>9945.85</v>
      </c>
      <c r="S31" s="340"/>
      <c r="T31" s="446"/>
      <c r="U31" s="33">
        <v>4320</v>
      </c>
      <c r="V31" s="446"/>
      <c r="W31" s="33"/>
      <c r="X31" s="417">
        <v>918.95</v>
      </c>
      <c r="Y31" s="328">
        <f t="shared" si="1"/>
        <v>1275392.9099999999</v>
      </c>
      <c r="Z31" s="33"/>
      <c r="AA31" s="33"/>
      <c r="AB31" s="33">
        <v>40238.35</v>
      </c>
      <c r="AC31" s="33"/>
      <c r="AD31" s="33">
        <v>42069.9</v>
      </c>
      <c r="AE31" s="33"/>
      <c r="AF31" s="33"/>
      <c r="AG31" s="33"/>
      <c r="AH31" s="33"/>
      <c r="AI31" s="33"/>
      <c r="AJ31" s="33"/>
      <c r="AK31" s="33"/>
      <c r="AL31" s="33"/>
      <c r="AM31" s="328">
        <f t="shared" si="2"/>
        <v>82308.25</v>
      </c>
      <c r="AN31" s="371">
        <v>79</v>
      </c>
      <c r="AO31" s="388">
        <v>472</v>
      </c>
      <c r="AP31" s="33">
        <v>-37073.4</v>
      </c>
      <c r="AQ31" s="332"/>
      <c r="AR31" s="33">
        <v>-146.71</v>
      </c>
      <c r="AS31" s="340">
        <v>1</v>
      </c>
      <c r="AT31" s="437"/>
      <c r="AU31" s="438"/>
      <c r="AV31" s="436"/>
      <c r="AW31" s="436"/>
      <c r="AX31" s="436"/>
      <c r="AY31" s="436"/>
      <c r="AZ31" s="436"/>
      <c r="BA31" s="436"/>
      <c r="BB31" s="436"/>
      <c r="BC31" s="436"/>
      <c r="BE31" s="383"/>
      <c r="BF31" s="383"/>
      <c r="BG31" s="383"/>
      <c r="BH31" s="383"/>
      <c r="BI31" s="383"/>
      <c r="BJ31" s="383"/>
      <c r="BK31" s="383"/>
      <c r="BL31" s="383"/>
      <c r="BM31" s="383"/>
      <c r="BN31" s="383"/>
      <c r="BO31" s="383"/>
    </row>
    <row r="32" spans="1:67" x14ac:dyDescent="0.25">
      <c r="A32" s="335">
        <v>5431</v>
      </c>
      <c r="B32" s="425" t="s">
        <v>365</v>
      </c>
      <c r="C32" s="446">
        <v>624586.41</v>
      </c>
      <c r="D32" s="33">
        <v>79211.02</v>
      </c>
      <c r="E32" s="448"/>
      <c r="F32" s="452">
        <v>0</v>
      </c>
      <c r="G32" s="452">
        <v>1107.9000000000001</v>
      </c>
      <c r="H32" s="453">
        <v>334.8</v>
      </c>
      <c r="I32" s="451">
        <v>0</v>
      </c>
      <c r="J32" s="448">
        <v>32397.55</v>
      </c>
      <c r="K32" s="453">
        <v>833.85</v>
      </c>
      <c r="L32" s="448">
        <v>51016.95</v>
      </c>
      <c r="M32" s="422">
        <f t="shared" si="0"/>
        <v>789488.4800000001</v>
      </c>
      <c r="N32" s="446">
        <v>292.05</v>
      </c>
      <c r="O32" s="446">
        <v>0</v>
      </c>
      <c r="P32" s="446">
        <v>33492.400000000001</v>
      </c>
      <c r="Q32" s="446">
        <v>1206.43</v>
      </c>
      <c r="R32" s="33">
        <v>82844.649999999994</v>
      </c>
      <c r="S32" s="340"/>
      <c r="T32" s="446"/>
      <c r="U32" s="33">
        <v>1775</v>
      </c>
      <c r="V32" s="446"/>
      <c r="W32" s="33"/>
      <c r="X32" s="417">
        <v>199.3</v>
      </c>
      <c r="Y32" s="328">
        <f t="shared" si="1"/>
        <v>909298.31000000029</v>
      </c>
      <c r="Z32" s="33"/>
      <c r="AA32" s="33"/>
      <c r="AB32" s="33">
        <v>95850</v>
      </c>
      <c r="AC32" s="33"/>
      <c r="AD32" s="33">
        <v>15323.35</v>
      </c>
      <c r="AE32" s="33"/>
      <c r="AF32" s="33"/>
      <c r="AG32" s="33"/>
      <c r="AH32" s="33"/>
      <c r="AI32" s="33"/>
      <c r="AJ32" s="33"/>
      <c r="AK32" s="33"/>
      <c r="AL32" s="33"/>
      <c r="AM32" s="328">
        <f t="shared" si="2"/>
        <v>111173.35</v>
      </c>
      <c r="AN32" s="371">
        <v>74</v>
      </c>
      <c r="AO32" s="388">
        <v>308</v>
      </c>
      <c r="AP32" s="33">
        <v>-4344.3999999999996</v>
      </c>
      <c r="AQ32" s="332"/>
      <c r="AR32" s="33">
        <v>-169.91</v>
      </c>
      <c r="AS32" s="340">
        <v>1</v>
      </c>
      <c r="AT32" s="437"/>
      <c r="AU32" s="438"/>
      <c r="AV32" s="436"/>
      <c r="AW32" s="436"/>
      <c r="AX32" s="436"/>
      <c r="AY32" s="436"/>
      <c r="AZ32" s="436"/>
      <c r="BA32" s="436"/>
      <c r="BB32" s="436"/>
      <c r="BC32" s="436"/>
      <c r="BE32" s="383"/>
      <c r="BF32" s="383"/>
      <c r="BG32" s="383"/>
      <c r="BH32" s="383"/>
      <c r="BI32" s="383"/>
      <c r="BJ32" s="383"/>
      <c r="BK32" s="383"/>
      <c r="BL32" s="383"/>
      <c r="BM32" s="383"/>
      <c r="BN32" s="383"/>
      <c r="BO32" s="383"/>
    </row>
    <row r="33" spans="1:67" x14ac:dyDescent="0.25">
      <c r="A33" s="335">
        <v>5432</v>
      </c>
      <c r="B33" s="425" t="s">
        <v>366</v>
      </c>
      <c r="C33" s="446">
        <v>1082556.49</v>
      </c>
      <c r="D33" s="33">
        <v>109450.43</v>
      </c>
      <c r="E33" s="448"/>
      <c r="F33" s="452">
        <v>0</v>
      </c>
      <c r="G33" s="452">
        <v>-9321.1</v>
      </c>
      <c r="H33" s="453">
        <v>721.85</v>
      </c>
      <c r="I33" s="451">
        <v>0</v>
      </c>
      <c r="J33" s="448">
        <v>11014.9</v>
      </c>
      <c r="K33" s="453">
        <v>5106.3</v>
      </c>
      <c r="L33" s="448">
        <v>94024.7</v>
      </c>
      <c r="M33" s="422">
        <f t="shared" si="0"/>
        <v>1293553.5699999998</v>
      </c>
      <c r="N33" s="446">
        <v>13497.2</v>
      </c>
      <c r="O33" s="446">
        <v>2876.6</v>
      </c>
      <c r="P33" s="446">
        <v>28094</v>
      </c>
      <c r="Q33" s="446">
        <v>1908.85</v>
      </c>
      <c r="R33" s="33">
        <v>10337.549999999999</v>
      </c>
      <c r="S33" s="340">
        <v>150</v>
      </c>
      <c r="T33" s="446">
        <v>180</v>
      </c>
      <c r="U33" s="33">
        <v>3810</v>
      </c>
      <c r="V33" s="446"/>
      <c r="W33" s="33"/>
      <c r="X33" s="417">
        <v>7580.6</v>
      </c>
      <c r="Y33" s="328">
        <f t="shared" si="1"/>
        <v>1361988.37</v>
      </c>
      <c r="Z33" s="33">
        <v>-2101.6999999999998</v>
      </c>
      <c r="AA33" s="33"/>
      <c r="AB33" s="33">
        <v>39074.449999999997</v>
      </c>
      <c r="AC33" s="33"/>
      <c r="AD33" s="33">
        <v>48550</v>
      </c>
      <c r="AE33" s="33">
        <v>-2101.6999999999998</v>
      </c>
      <c r="AF33" s="33"/>
      <c r="AG33" s="33"/>
      <c r="AH33" s="33"/>
      <c r="AI33" s="33">
        <v>10196.1</v>
      </c>
      <c r="AJ33" s="33"/>
      <c r="AK33" s="33"/>
      <c r="AL33" s="33"/>
      <c r="AM33" s="328">
        <f t="shared" si="2"/>
        <v>93617.150000000009</v>
      </c>
      <c r="AN33" s="371">
        <v>78</v>
      </c>
      <c r="AO33" s="388">
        <v>541</v>
      </c>
      <c r="AP33" s="33">
        <v>-48925.27</v>
      </c>
      <c r="AQ33" s="332"/>
      <c r="AR33" s="33">
        <v>-32.64</v>
      </c>
      <c r="AS33" s="340">
        <v>1</v>
      </c>
      <c r="AT33" s="437"/>
      <c r="AU33" s="438"/>
      <c r="AV33" s="436"/>
      <c r="AW33" s="436"/>
      <c r="AX33" s="436"/>
      <c r="AY33" s="436"/>
      <c r="AZ33" s="436"/>
      <c r="BA33" s="436"/>
      <c r="BB33" s="436"/>
      <c r="BC33" s="436"/>
      <c r="BE33" s="383"/>
      <c r="BF33" s="383"/>
      <c r="BG33" s="383"/>
      <c r="BH33" s="383"/>
      <c r="BI33" s="383"/>
      <c r="BJ33" s="383"/>
      <c r="BK33" s="383"/>
      <c r="BL33" s="383"/>
      <c r="BM33" s="383"/>
      <c r="BN33" s="383"/>
      <c r="BO33" s="383"/>
    </row>
    <row r="34" spans="1:67" x14ac:dyDescent="0.25">
      <c r="A34" s="335">
        <v>5434</v>
      </c>
      <c r="B34" s="425" t="s">
        <v>367</v>
      </c>
      <c r="C34" s="446">
        <v>2551543.2599999998</v>
      </c>
      <c r="D34" s="33">
        <v>0</v>
      </c>
      <c r="E34" s="448"/>
      <c r="F34" s="452">
        <v>0</v>
      </c>
      <c r="G34" s="452">
        <v>2628.9</v>
      </c>
      <c r="H34" s="453">
        <v>4720.8500000000004</v>
      </c>
      <c r="I34" s="451">
        <v>0</v>
      </c>
      <c r="J34" s="448">
        <v>52188.42</v>
      </c>
      <c r="K34" s="453">
        <v>3172.2</v>
      </c>
      <c r="L34" s="448">
        <v>277062.55</v>
      </c>
      <c r="M34" s="422">
        <f t="shared" si="0"/>
        <v>2891316.1799999997</v>
      </c>
      <c r="N34" s="446">
        <v>31108.400000000001</v>
      </c>
      <c r="O34" s="446">
        <v>1000</v>
      </c>
      <c r="P34" s="446">
        <v>115494.5</v>
      </c>
      <c r="Q34" s="446">
        <v>0</v>
      </c>
      <c r="R34" s="33">
        <v>95482.75</v>
      </c>
      <c r="S34" s="340">
        <v>1241.3499999999999</v>
      </c>
      <c r="T34" s="446"/>
      <c r="U34" s="33">
        <v>9160</v>
      </c>
      <c r="V34" s="446"/>
      <c r="W34" s="33"/>
      <c r="X34" s="417">
        <v>4983.7</v>
      </c>
      <c r="Y34" s="328">
        <f t="shared" si="1"/>
        <v>3149786.88</v>
      </c>
      <c r="Z34" s="33">
        <v>1994.35</v>
      </c>
      <c r="AA34" s="33"/>
      <c r="AB34" s="33">
        <v>104670.8</v>
      </c>
      <c r="AC34" s="33"/>
      <c r="AD34" s="33">
        <v>96859.05</v>
      </c>
      <c r="AE34" s="33">
        <v>6802.4</v>
      </c>
      <c r="AF34" s="33"/>
      <c r="AG34" s="33"/>
      <c r="AH34" s="33">
        <v>12473.7</v>
      </c>
      <c r="AI34" s="33"/>
      <c r="AJ34" s="33"/>
      <c r="AK34" s="33"/>
      <c r="AL34" s="33"/>
      <c r="AM34" s="328">
        <f t="shared" si="2"/>
        <v>222800.30000000002</v>
      </c>
      <c r="AN34" s="371">
        <v>71</v>
      </c>
      <c r="AO34" s="388">
        <v>1063</v>
      </c>
      <c r="AP34" s="33">
        <v>-16799.5</v>
      </c>
      <c r="AQ34" s="332"/>
      <c r="AR34" s="33">
        <v>0</v>
      </c>
      <c r="AS34" s="340">
        <v>1.2</v>
      </c>
      <c r="AT34" s="437"/>
      <c r="AU34" s="438"/>
      <c r="AV34" s="436"/>
      <c r="AW34" s="436"/>
      <c r="AX34" s="436"/>
      <c r="AY34" s="436"/>
      <c r="AZ34" s="436"/>
      <c r="BA34" s="436"/>
      <c r="BB34" s="436"/>
      <c r="BC34" s="436"/>
      <c r="BE34" s="383"/>
      <c r="BF34" s="383"/>
      <c r="BG34" s="383"/>
      <c r="BH34" s="383"/>
      <c r="BI34" s="383"/>
      <c r="BJ34" s="383"/>
      <c r="BK34" s="383"/>
      <c r="BL34" s="383"/>
      <c r="BM34" s="383"/>
      <c r="BN34" s="383"/>
      <c r="BO34" s="383"/>
    </row>
    <row r="35" spans="1:67" x14ac:dyDescent="0.25">
      <c r="A35" s="335">
        <v>5435</v>
      </c>
      <c r="B35" s="425" t="s">
        <v>344</v>
      </c>
      <c r="C35" s="446">
        <v>1383439.89</v>
      </c>
      <c r="D35" s="33">
        <v>150094.76999999999</v>
      </c>
      <c r="E35" s="448"/>
      <c r="F35" s="452">
        <v>0</v>
      </c>
      <c r="G35" s="452">
        <v>-2703.45</v>
      </c>
      <c r="H35" s="453">
        <v>384.8</v>
      </c>
      <c r="I35" s="451">
        <v>0</v>
      </c>
      <c r="J35" s="448">
        <v>40445.19</v>
      </c>
      <c r="K35" s="453">
        <v>0</v>
      </c>
      <c r="L35" s="448">
        <v>123320.5</v>
      </c>
      <c r="M35" s="422">
        <f t="shared" si="0"/>
        <v>1694981.7</v>
      </c>
      <c r="N35" s="446">
        <v>1807.7</v>
      </c>
      <c r="O35" s="446">
        <v>0</v>
      </c>
      <c r="P35" s="446">
        <v>30489.4</v>
      </c>
      <c r="Q35" s="446">
        <v>15215.4</v>
      </c>
      <c r="R35" s="33">
        <v>35673</v>
      </c>
      <c r="S35" s="340"/>
      <c r="T35" s="446">
        <v>300</v>
      </c>
      <c r="U35" s="33">
        <v>5680</v>
      </c>
      <c r="V35" s="446"/>
      <c r="W35" s="33"/>
      <c r="X35" s="417">
        <v>2744.55</v>
      </c>
      <c r="Y35" s="328">
        <f t="shared" si="1"/>
        <v>1786891.7499999998</v>
      </c>
      <c r="Z35" s="33">
        <v>1050.8499999999999</v>
      </c>
      <c r="AA35" s="33"/>
      <c r="AB35" s="33">
        <v>85269.41</v>
      </c>
      <c r="AC35" s="33"/>
      <c r="AD35" s="33">
        <v>57400</v>
      </c>
      <c r="AE35" s="33">
        <v>4503.6499999999996</v>
      </c>
      <c r="AF35" s="33"/>
      <c r="AG35" s="33"/>
      <c r="AH35" s="33"/>
      <c r="AI35" s="33">
        <v>11401.8</v>
      </c>
      <c r="AJ35" s="33"/>
      <c r="AK35" s="33"/>
      <c r="AL35" s="33"/>
      <c r="AM35" s="328">
        <f t="shared" si="2"/>
        <v>159625.71</v>
      </c>
      <c r="AN35" s="371">
        <v>69</v>
      </c>
      <c r="AO35" s="388">
        <v>691</v>
      </c>
      <c r="AP35" s="33">
        <v>-33838.49</v>
      </c>
      <c r="AQ35" s="332"/>
      <c r="AR35" s="33">
        <v>-214.69</v>
      </c>
      <c r="AS35" s="340">
        <v>1</v>
      </c>
      <c r="AT35" s="437"/>
      <c r="AU35" s="438"/>
      <c r="AV35" s="436"/>
      <c r="AW35" s="436"/>
      <c r="AX35" s="436"/>
      <c r="AY35" s="436"/>
      <c r="AZ35" s="436"/>
      <c r="BA35" s="436"/>
      <c r="BB35" s="436"/>
      <c r="BC35" s="436"/>
      <c r="BE35" s="383"/>
      <c r="BF35" s="383"/>
      <c r="BG35" s="383"/>
      <c r="BH35" s="383"/>
      <c r="BI35" s="383"/>
      <c r="BJ35" s="383"/>
      <c r="BK35" s="383"/>
      <c r="BL35" s="383"/>
      <c r="BM35" s="383"/>
      <c r="BN35" s="383"/>
      <c r="BO35" s="383"/>
    </row>
    <row r="36" spans="1:67" x14ac:dyDescent="0.25">
      <c r="A36" s="335">
        <v>5436</v>
      </c>
      <c r="B36" s="425" t="s">
        <v>345</v>
      </c>
      <c r="C36" s="446">
        <v>1146145.98</v>
      </c>
      <c r="D36" s="33">
        <v>88187.67</v>
      </c>
      <c r="E36" s="448"/>
      <c r="F36" s="452">
        <v>0</v>
      </c>
      <c r="G36" s="452">
        <v>57668.85</v>
      </c>
      <c r="H36" s="453">
        <v>708.05</v>
      </c>
      <c r="I36" s="451">
        <v>0</v>
      </c>
      <c r="J36" s="448">
        <v>-342.01</v>
      </c>
      <c r="K36" s="453">
        <v>0</v>
      </c>
      <c r="L36" s="448">
        <v>64602.6</v>
      </c>
      <c r="M36" s="422">
        <f t="shared" si="0"/>
        <v>1356971.1400000001</v>
      </c>
      <c r="N36" s="446">
        <v>1201.0999999999999</v>
      </c>
      <c r="O36" s="446">
        <v>0</v>
      </c>
      <c r="P36" s="446">
        <v>10560</v>
      </c>
      <c r="Q36" s="446">
        <v>12295.81</v>
      </c>
      <c r="R36" s="33">
        <v>36984.050000000003</v>
      </c>
      <c r="S36" s="340"/>
      <c r="T36" s="446"/>
      <c r="U36" s="33">
        <v>3337.5</v>
      </c>
      <c r="V36" s="446"/>
      <c r="W36" s="33"/>
      <c r="X36" s="417">
        <v>143.6</v>
      </c>
      <c r="Y36" s="328">
        <f t="shared" si="1"/>
        <v>1421493.2000000004</v>
      </c>
      <c r="Z36" s="33">
        <v>18777.599999999999</v>
      </c>
      <c r="AA36" s="33"/>
      <c r="AB36" s="33">
        <v>69193.75</v>
      </c>
      <c r="AC36" s="33"/>
      <c r="AD36" s="33">
        <v>29321.25</v>
      </c>
      <c r="AE36" s="33">
        <v>18777.599999999999</v>
      </c>
      <c r="AF36" s="33"/>
      <c r="AG36" s="33"/>
      <c r="AH36" s="33"/>
      <c r="AI36" s="33"/>
      <c r="AJ36" s="33"/>
      <c r="AK36" s="33"/>
      <c r="AL36" s="33"/>
      <c r="AM36" s="328">
        <f t="shared" si="2"/>
        <v>136070.20000000001</v>
      </c>
      <c r="AN36" s="371">
        <v>81</v>
      </c>
      <c r="AO36" s="388">
        <v>447</v>
      </c>
      <c r="AP36" s="33">
        <v>-43021.440000000002</v>
      </c>
      <c r="AQ36" s="332"/>
      <c r="AR36" s="33">
        <v>-787.67</v>
      </c>
      <c r="AS36" s="340">
        <v>0.8</v>
      </c>
      <c r="AT36" s="437"/>
      <c r="AU36" s="438"/>
      <c r="AV36" s="436"/>
      <c r="AW36" s="436"/>
      <c r="AX36" s="436"/>
      <c r="AY36" s="436"/>
      <c r="AZ36" s="436"/>
      <c r="BA36" s="436"/>
      <c r="BB36" s="436"/>
      <c r="BC36" s="436"/>
      <c r="BE36" s="383"/>
      <c r="BF36" s="383"/>
      <c r="BG36" s="383"/>
      <c r="BH36" s="383"/>
      <c r="BI36" s="383"/>
      <c r="BJ36" s="383"/>
      <c r="BK36" s="383"/>
      <c r="BL36" s="383"/>
      <c r="BM36" s="383"/>
      <c r="BN36" s="383"/>
      <c r="BO36" s="383"/>
    </row>
    <row r="37" spans="1:67" x14ac:dyDescent="0.25">
      <c r="A37" s="335">
        <v>5437</v>
      </c>
      <c r="B37" s="425" t="s">
        <v>346</v>
      </c>
      <c r="C37" s="446">
        <v>894901.2</v>
      </c>
      <c r="D37" s="33">
        <v>68795.3</v>
      </c>
      <c r="E37" s="448"/>
      <c r="F37" s="452">
        <v>0</v>
      </c>
      <c r="G37" s="452">
        <v>8295.75</v>
      </c>
      <c r="H37" s="453">
        <v>374</v>
      </c>
      <c r="I37" s="451">
        <v>0</v>
      </c>
      <c r="J37" s="448">
        <v>21981.59</v>
      </c>
      <c r="K37" s="453">
        <v>746.35</v>
      </c>
      <c r="L37" s="448">
        <v>66546.149999999994</v>
      </c>
      <c r="M37" s="422">
        <f t="shared" si="0"/>
        <v>1061640.3399999999</v>
      </c>
      <c r="N37" s="446">
        <v>0</v>
      </c>
      <c r="O37" s="446">
        <v>5326</v>
      </c>
      <c r="P37" s="446">
        <v>16835</v>
      </c>
      <c r="Q37" s="446">
        <v>0</v>
      </c>
      <c r="R37" s="33">
        <v>24357.75</v>
      </c>
      <c r="S37" s="340"/>
      <c r="T37" s="446"/>
      <c r="U37" s="33">
        <v>6900</v>
      </c>
      <c r="V37" s="446"/>
      <c r="W37" s="33"/>
      <c r="X37" s="417">
        <v>1139</v>
      </c>
      <c r="Y37" s="328">
        <f t="shared" si="1"/>
        <v>1116198.0899999999</v>
      </c>
      <c r="Z37" s="33"/>
      <c r="AA37" s="33">
        <v>46638.65</v>
      </c>
      <c r="AB37" s="33"/>
      <c r="AC37" s="33"/>
      <c r="AD37" s="33">
        <v>41710</v>
      </c>
      <c r="AE37" s="33"/>
      <c r="AF37" s="33"/>
      <c r="AG37" s="33"/>
      <c r="AH37" s="33"/>
      <c r="AI37" s="33"/>
      <c r="AJ37" s="33"/>
      <c r="AK37" s="33"/>
      <c r="AL37" s="33"/>
      <c r="AM37" s="328">
        <f t="shared" si="2"/>
        <v>88348.65</v>
      </c>
      <c r="AN37" s="371">
        <v>80</v>
      </c>
      <c r="AO37" s="388">
        <v>423</v>
      </c>
      <c r="AP37" s="33">
        <v>-10280.5</v>
      </c>
      <c r="AQ37" s="332"/>
      <c r="AR37" s="33">
        <v>-36.03</v>
      </c>
      <c r="AS37" s="340">
        <v>1</v>
      </c>
      <c r="AT37" s="437"/>
      <c r="AU37" s="438"/>
      <c r="AV37" s="436"/>
      <c r="AW37" s="436"/>
      <c r="AX37" s="436"/>
      <c r="AY37" s="436"/>
      <c r="AZ37" s="436"/>
      <c r="BA37" s="436"/>
      <c r="BB37" s="436"/>
      <c r="BC37" s="436"/>
      <c r="BE37" s="383"/>
      <c r="BF37" s="383"/>
      <c r="BG37" s="383"/>
      <c r="BH37" s="383"/>
      <c r="BI37" s="383"/>
      <c r="BJ37" s="383"/>
      <c r="BK37" s="383"/>
      <c r="BL37" s="383"/>
      <c r="BM37" s="383"/>
      <c r="BN37" s="383"/>
      <c r="BO37" s="383"/>
    </row>
    <row r="38" spans="1:67" x14ac:dyDescent="0.25">
      <c r="A38" s="335">
        <v>5451</v>
      </c>
      <c r="B38" s="425" t="s">
        <v>347</v>
      </c>
      <c r="C38" s="446">
        <v>5415667.3500000099</v>
      </c>
      <c r="D38" s="33">
        <v>558063.25</v>
      </c>
      <c r="E38" s="448"/>
      <c r="F38" s="452">
        <v>0</v>
      </c>
      <c r="G38" s="452">
        <v>1431136.15</v>
      </c>
      <c r="H38" s="453">
        <v>47727.25</v>
      </c>
      <c r="I38" s="451">
        <v>0</v>
      </c>
      <c r="J38" s="448">
        <v>464364.16</v>
      </c>
      <c r="K38" s="453">
        <v>91632.6</v>
      </c>
      <c r="L38" s="448">
        <v>1342235.85</v>
      </c>
      <c r="M38" s="422">
        <f t="shared" si="0"/>
        <v>9350826.6100000087</v>
      </c>
      <c r="N38" s="446">
        <v>402168.8</v>
      </c>
      <c r="O38" s="446">
        <v>224785.7</v>
      </c>
      <c r="P38" s="446">
        <v>202624.35</v>
      </c>
      <c r="Q38" s="446">
        <v>120910.04</v>
      </c>
      <c r="R38" s="33">
        <v>328947.95</v>
      </c>
      <c r="S38" s="340">
        <v>38370.300000000003</v>
      </c>
      <c r="T38" s="446"/>
      <c r="U38" s="33">
        <v>21400</v>
      </c>
      <c r="V38" s="446"/>
      <c r="W38" s="33"/>
      <c r="X38" s="417">
        <v>75529.2</v>
      </c>
      <c r="Y38" s="328">
        <f t="shared" si="1"/>
        <v>10765562.950000007</v>
      </c>
      <c r="Z38" s="33">
        <v>61368.05</v>
      </c>
      <c r="AA38" s="33">
        <v>69532.5</v>
      </c>
      <c r="AB38" s="33">
        <v>931266.65</v>
      </c>
      <c r="AC38" s="33"/>
      <c r="AD38" s="33">
        <v>449781.29</v>
      </c>
      <c r="AE38" s="33">
        <v>66664.2</v>
      </c>
      <c r="AF38" s="33">
        <v>32210.2</v>
      </c>
      <c r="AG38" s="33"/>
      <c r="AH38" s="33">
        <v>312040</v>
      </c>
      <c r="AI38" s="33"/>
      <c r="AJ38" s="33"/>
      <c r="AK38" s="33"/>
      <c r="AL38" s="33"/>
      <c r="AM38" s="328">
        <f t="shared" si="2"/>
        <v>1922862.89</v>
      </c>
      <c r="AN38" s="371">
        <v>68</v>
      </c>
      <c r="AO38" s="388">
        <v>4305</v>
      </c>
      <c r="AP38" s="33">
        <v>-301966.33</v>
      </c>
      <c r="AQ38" s="332"/>
      <c r="AR38" s="33">
        <v>-170.09</v>
      </c>
      <c r="AS38" s="340">
        <v>1.5</v>
      </c>
      <c r="AT38" s="437"/>
      <c r="AU38" s="438"/>
      <c r="AV38" s="436"/>
      <c r="AW38" s="436"/>
      <c r="AX38" s="436"/>
      <c r="AY38" s="436"/>
      <c r="AZ38" s="436"/>
      <c r="BA38" s="436"/>
      <c r="BB38" s="436"/>
      <c r="BC38" s="436"/>
      <c r="BE38" s="383"/>
      <c r="BF38" s="383"/>
      <c r="BG38" s="383"/>
      <c r="BH38" s="383"/>
      <c r="BI38" s="383"/>
      <c r="BJ38" s="383"/>
      <c r="BK38" s="383"/>
      <c r="BL38" s="383"/>
      <c r="BM38" s="383"/>
      <c r="BN38" s="383"/>
      <c r="BO38" s="383"/>
    </row>
    <row r="39" spans="1:67" x14ac:dyDescent="0.25">
      <c r="A39" s="335">
        <v>5456</v>
      </c>
      <c r="B39" s="425" t="s">
        <v>348</v>
      </c>
      <c r="C39" s="446">
        <v>2789431.83</v>
      </c>
      <c r="D39" s="33">
        <v>294189.69</v>
      </c>
      <c r="E39" s="448"/>
      <c r="F39" s="452">
        <v>0</v>
      </c>
      <c r="G39" s="452">
        <v>-1241.8</v>
      </c>
      <c r="H39" s="453">
        <v>1250.9000000000001</v>
      </c>
      <c r="I39" s="451">
        <v>0</v>
      </c>
      <c r="J39" s="448">
        <v>67135.63</v>
      </c>
      <c r="K39" s="453">
        <v>2771.55</v>
      </c>
      <c r="L39" s="448">
        <v>478838.8</v>
      </c>
      <c r="M39" s="422">
        <f t="shared" si="0"/>
        <v>3632376.5999999996</v>
      </c>
      <c r="N39" s="446">
        <v>11939.5</v>
      </c>
      <c r="O39" s="446">
        <v>681046.3</v>
      </c>
      <c r="P39" s="446">
        <v>304460.90000000002</v>
      </c>
      <c r="Q39" s="446">
        <v>38447.99</v>
      </c>
      <c r="R39" s="33">
        <v>162443.25</v>
      </c>
      <c r="S39" s="340"/>
      <c r="T39" s="446"/>
      <c r="U39" s="33">
        <v>6975</v>
      </c>
      <c r="V39" s="446"/>
      <c r="W39" s="33"/>
      <c r="X39" s="417">
        <v>16009.7</v>
      </c>
      <c r="Y39" s="328">
        <f t="shared" si="1"/>
        <v>4853699.24</v>
      </c>
      <c r="Z39" s="33">
        <v>89739.6</v>
      </c>
      <c r="AA39" s="33" t="s">
        <v>599</v>
      </c>
      <c r="AB39" s="33">
        <v>155728.9</v>
      </c>
      <c r="AC39" s="33" t="s">
        <v>599</v>
      </c>
      <c r="AD39" s="33">
        <v>234912.73</v>
      </c>
      <c r="AE39" s="33">
        <v>18194.34</v>
      </c>
      <c r="AF39" s="33" t="s">
        <v>599</v>
      </c>
      <c r="AG39" s="33" t="s">
        <v>599</v>
      </c>
      <c r="AH39" s="33">
        <v>122314.2</v>
      </c>
      <c r="AI39" s="33"/>
      <c r="AJ39" s="33"/>
      <c r="AK39" s="33"/>
      <c r="AL39" s="33"/>
      <c r="AM39" s="328">
        <f t="shared" si="2"/>
        <v>620889.77</v>
      </c>
      <c r="AN39" s="371">
        <v>59</v>
      </c>
      <c r="AO39" s="388">
        <v>1735</v>
      </c>
      <c r="AP39" s="33">
        <v>-119613.65</v>
      </c>
      <c r="AQ39" s="332"/>
      <c r="AR39" s="33">
        <v>-47.91</v>
      </c>
      <c r="AS39" s="340">
        <v>1.5</v>
      </c>
      <c r="AT39" s="437"/>
      <c r="AU39" s="438"/>
      <c r="AV39" s="436"/>
      <c r="AW39" s="436"/>
      <c r="AX39" s="436"/>
      <c r="AY39" s="436"/>
      <c r="AZ39" s="436"/>
      <c r="BA39" s="436"/>
      <c r="BB39" s="436"/>
      <c r="BC39" s="436"/>
      <c r="BE39" s="383"/>
      <c r="BF39" s="383"/>
      <c r="BG39" s="383"/>
      <c r="BH39" s="383"/>
      <c r="BI39" s="383"/>
      <c r="BJ39" s="383"/>
      <c r="BK39" s="383"/>
      <c r="BL39" s="383"/>
      <c r="BM39" s="383"/>
      <c r="BN39" s="383"/>
      <c r="BO39" s="383"/>
    </row>
    <row r="40" spans="1:67" x14ac:dyDescent="0.25">
      <c r="A40" s="335">
        <v>5458</v>
      </c>
      <c r="B40" s="425" t="s">
        <v>349</v>
      </c>
      <c r="C40" s="446">
        <v>1690515.01</v>
      </c>
      <c r="D40" s="33">
        <v>263678.48</v>
      </c>
      <c r="E40" s="448"/>
      <c r="F40" s="452">
        <v>0</v>
      </c>
      <c r="G40" s="452">
        <v>37058.85</v>
      </c>
      <c r="H40" s="453">
        <v>1439.4</v>
      </c>
      <c r="I40" s="451">
        <v>0</v>
      </c>
      <c r="J40" s="448">
        <v>28629.64</v>
      </c>
      <c r="K40" s="453">
        <v>9743.9500000000007</v>
      </c>
      <c r="L40" s="448">
        <v>259558.55</v>
      </c>
      <c r="M40" s="422">
        <f t="shared" si="0"/>
        <v>2290623.88</v>
      </c>
      <c r="N40" s="446">
        <v>0</v>
      </c>
      <c r="O40" s="446">
        <v>280454.40000000002</v>
      </c>
      <c r="P40" s="446">
        <v>104340.15</v>
      </c>
      <c r="Q40" s="446">
        <v>184.73</v>
      </c>
      <c r="R40" s="33">
        <v>64511.4</v>
      </c>
      <c r="S40" s="340"/>
      <c r="T40" s="446"/>
      <c r="U40" s="33">
        <v>10600</v>
      </c>
      <c r="V40" s="446"/>
      <c r="W40" s="33"/>
      <c r="X40" s="417">
        <v>7609.65</v>
      </c>
      <c r="Y40" s="328">
        <f t="shared" si="1"/>
        <v>2758324.2099999995</v>
      </c>
      <c r="Z40" s="33">
        <v>630.4</v>
      </c>
      <c r="AA40" s="33">
        <v>3632.45</v>
      </c>
      <c r="AB40" s="33">
        <v>171757.55</v>
      </c>
      <c r="AC40" s="33" t="s">
        <v>599</v>
      </c>
      <c r="AD40" s="33">
        <v>86019.9</v>
      </c>
      <c r="AE40" s="33">
        <v>630.4</v>
      </c>
      <c r="AF40" s="33">
        <v>3632.45</v>
      </c>
      <c r="AG40" s="33" t="s">
        <v>599</v>
      </c>
      <c r="AH40" s="33">
        <v>30335.9</v>
      </c>
      <c r="AI40" s="33">
        <v>25947.45</v>
      </c>
      <c r="AJ40" s="33"/>
      <c r="AK40" s="33"/>
      <c r="AL40" s="33"/>
      <c r="AM40" s="328">
        <f t="shared" si="2"/>
        <v>322586.50000000006</v>
      </c>
      <c r="AN40" s="371">
        <v>66</v>
      </c>
      <c r="AO40" s="388">
        <v>884</v>
      </c>
      <c r="AP40" s="33">
        <v>-24362.9</v>
      </c>
      <c r="AQ40" s="332"/>
      <c r="AR40" s="33">
        <v>-57.87</v>
      </c>
      <c r="AS40" s="340">
        <v>1.5</v>
      </c>
      <c r="AT40" s="437"/>
      <c r="AU40" s="438"/>
      <c r="AV40" s="436"/>
      <c r="AW40" s="436"/>
      <c r="AX40" s="436"/>
      <c r="AY40" s="436"/>
      <c r="AZ40" s="436"/>
      <c r="BA40" s="436"/>
      <c r="BB40" s="436"/>
      <c r="BC40" s="436"/>
      <c r="BE40" s="383"/>
      <c r="BF40" s="383"/>
      <c r="BG40" s="383"/>
      <c r="BH40" s="383"/>
      <c r="BI40" s="383"/>
      <c r="BJ40" s="383"/>
      <c r="BK40" s="383"/>
      <c r="BL40" s="383"/>
      <c r="BM40" s="383"/>
      <c r="BN40" s="383"/>
      <c r="BO40" s="383"/>
    </row>
    <row r="41" spans="1:67" x14ac:dyDescent="0.25">
      <c r="A41" s="335">
        <v>5464</v>
      </c>
      <c r="B41" s="425" t="s">
        <v>430</v>
      </c>
      <c r="C41" s="446">
        <v>5755034.6100000003</v>
      </c>
      <c r="D41" s="33">
        <v>997097.46</v>
      </c>
      <c r="E41" s="448"/>
      <c r="F41" s="452">
        <v>0</v>
      </c>
      <c r="G41" s="452">
        <v>59478.85</v>
      </c>
      <c r="H41" s="453">
        <v>5990.8</v>
      </c>
      <c r="I41" s="451">
        <v>0</v>
      </c>
      <c r="J41" s="448">
        <v>160750.89000000001</v>
      </c>
      <c r="K41" s="453">
        <v>20222.349999999999</v>
      </c>
      <c r="L41" s="448">
        <v>981578.15</v>
      </c>
      <c r="M41" s="422">
        <f t="shared" si="0"/>
        <v>7980153.1099999994</v>
      </c>
      <c r="N41" s="446">
        <v>0</v>
      </c>
      <c r="O41" s="446">
        <v>62828.1</v>
      </c>
      <c r="P41" s="446">
        <v>448485.55</v>
      </c>
      <c r="Q41" s="446">
        <v>14133.69</v>
      </c>
      <c r="R41" s="33">
        <v>250527.75</v>
      </c>
      <c r="S41" s="340">
        <v>450</v>
      </c>
      <c r="T41" s="446">
        <v>5174.6000000000004</v>
      </c>
      <c r="U41" s="33">
        <v>24900</v>
      </c>
      <c r="V41" s="446"/>
      <c r="W41" s="33"/>
      <c r="X41" s="417">
        <v>10729.95</v>
      </c>
      <c r="Y41" s="328">
        <f t="shared" si="1"/>
        <v>8797382.7499999981</v>
      </c>
      <c r="Z41" s="33">
        <v>276755.84999999998</v>
      </c>
      <c r="AA41" s="33">
        <v>185186.4</v>
      </c>
      <c r="AB41" s="33">
        <v>469864.2</v>
      </c>
      <c r="AC41" s="33"/>
      <c r="AD41" s="33">
        <v>325229.61</v>
      </c>
      <c r="AE41" s="33">
        <v>312292.40000000002</v>
      </c>
      <c r="AF41" s="33"/>
      <c r="AG41" s="33"/>
      <c r="AH41" s="33">
        <v>213093.2</v>
      </c>
      <c r="AI41" s="33"/>
      <c r="AJ41" s="33">
        <v>79315.899999999994</v>
      </c>
      <c r="AK41" s="33"/>
      <c r="AL41" s="33"/>
      <c r="AM41" s="328">
        <f t="shared" si="2"/>
        <v>1861737.5599999998</v>
      </c>
      <c r="AN41" s="371">
        <v>67</v>
      </c>
      <c r="AO41" s="388">
        <v>3278</v>
      </c>
      <c r="AP41" s="33">
        <v>-118992.82</v>
      </c>
      <c r="AQ41" s="332"/>
      <c r="AR41" s="33">
        <v>-5168.91</v>
      </c>
      <c r="AS41" s="340">
        <v>1.5</v>
      </c>
      <c r="AT41" s="437"/>
      <c r="AU41" s="438"/>
      <c r="AV41" s="436"/>
      <c r="AW41" s="436"/>
      <c r="AX41" s="436"/>
      <c r="AY41" s="436"/>
      <c r="AZ41" s="436"/>
      <c r="BA41" s="436"/>
      <c r="BB41" s="436"/>
      <c r="BC41" s="436"/>
      <c r="BE41" s="383"/>
      <c r="BF41" s="383"/>
      <c r="BG41" s="383"/>
      <c r="BH41" s="383"/>
      <c r="BI41" s="383"/>
      <c r="BJ41" s="383"/>
      <c r="BK41" s="383"/>
      <c r="BL41" s="383"/>
      <c r="BM41" s="383"/>
      <c r="BN41" s="383"/>
      <c r="BO41" s="383"/>
    </row>
    <row r="42" spans="1:67" x14ac:dyDescent="0.25">
      <c r="A42" s="335">
        <v>5471</v>
      </c>
      <c r="B42" s="425" t="s">
        <v>350</v>
      </c>
      <c r="C42" s="446">
        <v>1210400.19</v>
      </c>
      <c r="D42" s="33">
        <v>138479.41</v>
      </c>
      <c r="E42" s="448"/>
      <c r="F42" s="452">
        <v>0</v>
      </c>
      <c r="G42" s="452">
        <v>1913.4</v>
      </c>
      <c r="H42" s="453">
        <v>2298.0500000000002</v>
      </c>
      <c r="I42" s="451">
        <v>0</v>
      </c>
      <c r="J42" s="448">
        <v>44654.19</v>
      </c>
      <c r="K42" s="453">
        <v>3613.25</v>
      </c>
      <c r="L42" s="448">
        <v>105020.45</v>
      </c>
      <c r="M42" s="422">
        <f t="shared" si="0"/>
        <v>1506378.9399999997</v>
      </c>
      <c r="N42" s="446">
        <v>45443.55</v>
      </c>
      <c r="O42" s="446">
        <v>0</v>
      </c>
      <c r="P42" s="446">
        <v>28213.9</v>
      </c>
      <c r="Q42" s="446">
        <v>1540.64</v>
      </c>
      <c r="R42" s="33">
        <v>5701.55</v>
      </c>
      <c r="S42" s="340"/>
      <c r="T42" s="446"/>
      <c r="U42" s="33">
        <v>4800</v>
      </c>
      <c r="V42" s="446"/>
      <c r="W42" s="33"/>
      <c r="X42" s="417">
        <v>3209.8</v>
      </c>
      <c r="Y42" s="328">
        <f t="shared" si="1"/>
        <v>1595288.3799999997</v>
      </c>
      <c r="Z42" s="33">
        <v>10944.5</v>
      </c>
      <c r="AA42" s="33"/>
      <c r="AB42" s="33">
        <v>80069.5</v>
      </c>
      <c r="AC42" s="33"/>
      <c r="AD42" s="33">
        <v>22542.95</v>
      </c>
      <c r="AE42" s="33">
        <v>3283.35</v>
      </c>
      <c r="AF42" s="33"/>
      <c r="AG42" s="33"/>
      <c r="AH42" s="33"/>
      <c r="AI42" s="33"/>
      <c r="AJ42" s="33"/>
      <c r="AK42" s="33"/>
      <c r="AL42" s="33"/>
      <c r="AM42" s="328">
        <f t="shared" si="2"/>
        <v>116840.3</v>
      </c>
      <c r="AN42" s="371">
        <v>70</v>
      </c>
      <c r="AO42" s="388">
        <v>650</v>
      </c>
      <c r="AP42" s="33">
        <v>-2781.29</v>
      </c>
      <c r="AQ42" s="332"/>
      <c r="AR42" s="33">
        <v>-455.63</v>
      </c>
      <c r="AS42" s="340">
        <v>0.9</v>
      </c>
      <c r="AT42" s="437"/>
      <c r="AU42" s="438"/>
      <c r="AV42" s="436"/>
      <c r="AW42" s="436"/>
      <c r="AX42" s="436"/>
      <c r="AY42" s="436"/>
      <c r="AZ42" s="436"/>
      <c r="BA42" s="436"/>
      <c r="BB42" s="436"/>
      <c r="BC42" s="436"/>
      <c r="BE42" s="383"/>
      <c r="BF42" s="383"/>
      <c r="BG42" s="383"/>
      <c r="BH42" s="383"/>
      <c r="BI42" s="383"/>
      <c r="BJ42" s="383"/>
      <c r="BK42" s="383"/>
      <c r="BL42" s="383"/>
      <c r="BM42" s="383"/>
      <c r="BN42" s="383"/>
      <c r="BO42" s="383"/>
    </row>
    <row r="43" spans="1:67" x14ac:dyDescent="0.25">
      <c r="A43" s="335">
        <v>5472</v>
      </c>
      <c r="B43" s="425" t="s">
        <v>351</v>
      </c>
      <c r="C43" s="446">
        <v>914712.49</v>
      </c>
      <c r="D43" s="33">
        <v>125813.62</v>
      </c>
      <c r="E43" s="448"/>
      <c r="F43" s="452">
        <v>0</v>
      </c>
      <c r="G43" s="452">
        <v>1734.4</v>
      </c>
      <c r="H43" s="453">
        <v>151.69999999999999</v>
      </c>
      <c r="I43" s="451">
        <v>0</v>
      </c>
      <c r="J43" s="448">
        <v>28961.4</v>
      </c>
      <c r="K43" s="453">
        <v>1226</v>
      </c>
      <c r="L43" s="448">
        <v>90315.35</v>
      </c>
      <c r="M43" s="422">
        <f t="shared" si="0"/>
        <v>1162914.96</v>
      </c>
      <c r="N43" s="446">
        <v>0</v>
      </c>
      <c r="O43" s="446">
        <v>0</v>
      </c>
      <c r="P43" s="446">
        <v>56723.15</v>
      </c>
      <c r="Q43" s="446">
        <v>528.5</v>
      </c>
      <c r="R43" s="33">
        <v>3524.15</v>
      </c>
      <c r="S43" s="340"/>
      <c r="T43" s="446">
        <v>172.25</v>
      </c>
      <c r="U43" s="33">
        <v>1530</v>
      </c>
      <c r="V43" s="446"/>
      <c r="W43" s="33"/>
      <c r="X43" s="417">
        <v>3716.75</v>
      </c>
      <c r="Y43" s="328">
        <f t="shared" si="1"/>
        <v>1229109.7599999998</v>
      </c>
      <c r="Z43" s="33">
        <v>33216</v>
      </c>
      <c r="AA43" s="33">
        <v>77691.899999999994</v>
      </c>
      <c r="AB43" s="33"/>
      <c r="AC43" s="33"/>
      <c r="AD43" s="33">
        <v>42515</v>
      </c>
      <c r="AE43" s="33">
        <v>35670</v>
      </c>
      <c r="AF43" s="33"/>
      <c r="AG43" s="33"/>
      <c r="AH43" s="33"/>
      <c r="AI43" s="33"/>
      <c r="AJ43" s="33"/>
      <c r="AK43" s="33"/>
      <c r="AL43" s="33"/>
      <c r="AM43" s="328">
        <f t="shared" si="2"/>
        <v>189092.9</v>
      </c>
      <c r="AN43" s="371">
        <v>76</v>
      </c>
      <c r="AO43" s="388">
        <v>422</v>
      </c>
      <c r="AP43" s="33">
        <v>-21571.81</v>
      </c>
      <c r="AQ43" s="332"/>
      <c r="AR43" s="33">
        <v>-598.23</v>
      </c>
      <c r="AS43" s="340">
        <v>1</v>
      </c>
      <c r="AT43" s="437"/>
      <c r="AU43" s="438"/>
      <c r="AV43" s="436"/>
      <c r="AW43" s="436"/>
      <c r="AX43" s="436"/>
      <c r="AY43" s="436"/>
      <c r="AZ43" s="436"/>
      <c r="BA43" s="436"/>
      <c r="BB43" s="436"/>
      <c r="BC43" s="436"/>
      <c r="BE43" s="383"/>
      <c r="BF43" s="383"/>
      <c r="BG43" s="383"/>
      <c r="BH43" s="383"/>
      <c r="BI43" s="383"/>
      <c r="BJ43" s="383"/>
      <c r="BK43" s="383"/>
      <c r="BL43" s="383"/>
      <c r="BM43" s="383"/>
      <c r="BN43" s="383"/>
      <c r="BO43" s="383"/>
    </row>
    <row r="44" spans="1:67" x14ac:dyDescent="0.25">
      <c r="A44" s="335">
        <v>5473</v>
      </c>
      <c r="B44" s="425" t="s">
        <v>209</v>
      </c>
      <c r="C44" s="446">
        <v>1974456.12</v>
      </c>
      <c r="D44" s="33">
        <v>197407.54</v>
      </c>
      <c r="E44" s="448"/>
      <c r="F44" s="452">
        <v>0</v>
      </c>
      <c r="G44" s="452">
        <v>28304.05</v>
      </c>
      <c r="H44" s="453">
        <v>1361</v>
      </c>
      <c r="I44" s="451">
        <v>0</v>
      </c>
      <c r="J44" s="448">
        <v>1623.33</v>
      </c>
      <c r="K44" s="453">
        <v>6149.2</v>
      </c>
      <c r="L44" s="448">
        <v>176502.7</v>
      </c>
      <c r="M44" s="422">
        <f t="shared" si="0"/>
        <v>2385803.9400000004</v>
      </c>
      <c r="N44" s="446">
        <v>329.95</v>
      </c>
      <c r="O44" s="446">
        <v>0</v>
      </c>
      <c r="P44" s="446">
        <v>74223.199999999997</v>
      </c>
      <c r="Q44" s="446">
        <v>7184.7</v>
      </c>
      <c r="R44" s="33">
        <v>16353.8</v>
      </c>
      <c r="S44" s="340"/>
      <c r="T44" s="446">
        <v>730</v>
      </c>
      <c r="U44" s="33">
        <v>4840</v>
      </c>
      <c r="V44" s="446"/>
      <c r="W44" s="33"/>
      <c r="X44" s="417">
        <v>8532</v>
      </c>
      <c r="Y44" s="328">
        <f t="shared" si="1"/>
        <v>2497997.5900000008</v>
      </c>
      <c r="Z44" s="33">
        <v>4075.02</v>
      </c>
      <c r="AA44" s="33"/>
      <c r="AB44" s="33">
        <v>171457.99</v>
      </c>
      <c r="AC44" s="33"/>
      <c r="AD44" s="33">
        <v>103906.55</v>
      </c>
      <c r="AE44" s="33"/>
      <c r="AF44" s="33"/>
      <c r="AG44" s="33"/>
      <c r="AH44" s="33"/>
      <c r="AI44" s="33"/>
      <c r="AJ44" s="33"/>
      <c r="AK44" s="33"/>
      <c r="AL44" s="33"/>
      <c r="AM44" s="328">
        <f t="shared" si="2"/>
        <v>279439.56</v>
      </c>
      <c r="AN44" s="371">
        <v>69</v>
      </c>
      <c r="AO44" s="388">
        <v>993</v>
      </c>
      <c r="AP44" s="33">
        <v>-31230.52</v>
      </c>
      <c r="AQ44" s="332"/>
      <c r="AR44" s="33">
        <v>-92.89</v>
      </c>
      <c r="AS44" s="340">
        <v>1</v>
      </c>
      <c r="AT44" s="437"/>
      <c r="AU44" s="438"/>
      <c r="AV44" s="436"/>
      <c r="AW44" s="436"/>
      <c r="AX44" s="436"/>
      <c r="AY44" s="436"/>
      <c r="AZ44" s="436"/>
      <c r="BA44" s="436"/>
      <c r="BB44" s="436"/>
      <c r="BC44" s="436"/>
      <c r="BE44" s="383"/>
      <c r="BF44" s="383"/>
      <c r="BG44" s="383"/>
      <c r="BH44" s="383"/>
      <c r="BI44" s="383"/>
      <c r="BJ44" s="383"/>
      <c r="BK44" s="383"/>
      <c r="BL44" s="383"/>
      <c r="BM44" s="383"/>
      <c r="BN44" s="383"/>
      <c r="BO44" s="383"/>
    </row>
    <row r="45" spans="1:67" x14ac:dyDescent="0.25">
      <c r="A45" s="335">
        <v>5474</v>
      </c>
      <c r="B45" s="425" t="s">
        <v>210</v>
      </c>
      <c r="C45" s="446">
        <v>1004873.67</v>
      </c>
      <c r="D45" s="33">
        <v>83910.780000000101</v>
      </c>
      <c r="E45" s="448"/>
      <c r="F45" s="452">
        <v>0</v>
      </c>
      <c r="G45" s="452">
        <v>-368</v>
      </c>
      <c r="H45" s="453">
        <v>105.15</v>
      </c>
      <c r="I45" s="451">
        <v>39282.400000000001</v>
      </c>
      <c r="J45" s="448">
        <v>-6348.54</v>
      </c>
      <c r="K45" s="453">
        <v>665</v>
      </c>
      <c r="L45" s="448">
        <v>84019.4</v>
      </c>
      <c r="M45" s="422">
        <f t="shared" si="0"/>
        <v>1206139.8599999999</v>
      </c>
      <c r="N45" s="446">
        <v>2824.35</v>
      </c>
      <c r="O45" s="446">
        <v>47196.9</v>
      </c>
      <c r="P45" s="446">
        <v>42106.7</v>
      </c>
      <c r="Q45" s="446">
        <v>0</v>
      </c>
      <c r="R45" s="33">
        <v>11852.5</v>
      </c>
      <c r="S45" s="340"/>
      <c r="T45" s="446"/>
      <c r="U45" s="33">
        <v>1400</v>
      </c>
      <c r="V45" s="446"/>
      <c r="W45" s="33"/>
      <c r="X45" s="417">
        <v>814.3</v>
      </c>
      <c r="Y45" s="328">
        <f t="shared" si="1"/>
        <v>1312334.6099999999</v>
      </c>
      <c r="Z45" s="33">
        <v>74116</v>
      </c>
      <c r="AA45" s="33"/>
      <c r="AB45" s="33">
        <v>68428.3</v>
      </c>
      <c r="AC45" s="33"/>
      <c r="AD45" s="33">
        <v>34796.699999999997</v>
      </c>
      <c r="AE45" s="33">
        <v>12851</v>
      </c>
      <c r="AF45" s="33"/>
      <c r="AG45" s="33"/>
      <c r="AH45" s="33"/>
      <c r="AI45" s="33"/>
      <c r="AJ45" s="33"/>
      <c r="AK45" s="33"/>
      <c r="AL45" s="33"/>
      <c r="AM45" s="328">
        <f t="shared" si="2"/>
        <v>190192</v>
      </c>
      <c r="AN45" s="371">
        <v>77</v>
      </c>
      <c r="AO45" s="388">
        <v>395</v>
      </c>
      <c r="AP45" s="33">
        <v>-13043.6</v>
      </c>
      <c r="AQ45" s="332"/>
      <c r="AR45" s="33">
        <v>-3.75</v>
      </c>
      <c r="AS45" s="340">
        <v>1.2</v>
      </c>
      <c r="AT45" s="437"/>
      <c r="AU45" s="438"/>
      <c r="AV45" s="436"/>
      <c r="AW45" s="436"/>
      <c r="AX45" s="436"/>
      <c r="AY45" s="436"/>
      <c r="AZ45" s="436"/>
      <c r="BA45" s="436"/>
      <c r="BB45" s="436"/>
      <c r="BC45" s="436"/>
      <c r="BE45" s="383"/>
      <c r="BF45" s="383"/>
      <c r="BG45" s="383"/>
      <c r="BH45" s="383"/>
      <c r="BI45" s="383"/>
      <c r="BJ45" s="383"/>
      <c r="BK45" s="383"/>
      <c r="BL45" s="383"/>
      <c r="BM45" s="383"/>
      <c r="BN45" s="383"/>
      <c r="BO45" s="383"/>
    </row>
    <row r="46" spans="1:67" x14ac:dyDescent="0.25">
      <c r="A46" s="335">
        <v>5475</v>
      </c>
      <c r="B46" s="425" t="s">
        <v>373</v>
      </c>
      <c r="C46" s="33">
        <v>218344.49</v>
      </c>
      <c r="D46" s="33">
        <v>37190.32</v>
      </c>
      <c r="E46" s="448"/>
      <c r="F46" s="452">
        <v>0</v>
      </c>
      <c r="G46" s="452">
        <v>-777.55</v>
      </c>
      <c r="H46" s="453">
        <v>226.55</v>
      </c>
      <c r="I46" s="451">
        <v>0</v>
      </c>
      <c r="J46" s="448">
        <v>6656.56</v>
      </c>
      <c r="K46" s="453">
        <v>0</v>
      </c>
      <c r="L46" s="448">
        <v>22550.3</v>
      </c>
      <c r="M46" s="422">
        <f t="shared" si="0"/>
        <v>284190.67</v>
      </c>
      <c r="N46" s="446">
        <v>0</v>
      </c>
      <c r="O46" s="446">
        <v>0</v>
      </c>
      <c r="P46" s="446">
        <v>20647</v>
      </c>
      <c r="Q46" s="446">
        <v>7620.32</v>
      </c>
      <c r="R46" s="33">
        <v>4993.8999999999996</v>
      </c>
      <c r="S46" s="340"/>
      <c r="T46" s="446"/>
      <c r="U46" s="33">
        <v>435</v>
      </c>
      <c r="V46" s="446"/>
      <c r="W46" s="33"/>
      <c r="X46" s="417">
        <v>209.1</v>
      </c>
      <c r="Y46" s="328">
        <f t="shared" si="1"/>
        <v>318095.99</v>
      </c>
      <c r="Z46" s="33"/>
      <c r="AA46" s="33"/>
      <c r="AB46" s="33">
        <v>24965.7</v>
      </c>
      <c r="AC46" s="33"/>
      <c r="AD46" s="33">
        <v>17309</v>
      </c>
      <c r="AE46" s="33"/>
      <c r="AF46" s="33"/>
      <c r="AG46" s="33"/>
      <c r="AH46" s="33"/>
      <c r="AI46" s="33"/>
      <c r="AJ46" s="33"/>
      <c r="AK46" s="33"/>
      <c r="AL46" s="33"/>
      <c r="AM46" s="328">
        <f t="shared" si="2"/>
        <v>42274.7</v>
      </c>
      <c r="AN46" s="371">
        <v>77</v>
      </c>
      <c r="AO46" s="388">
        <v>152</v>
      </c>
      <c r="AP46" s="33">
        <v>-57483.12</v>
      </c>
      <c r="AQ46" s="332"/>
      <c r="AR46" s="33">
        <v>0</v>
      </c>
      <c r="AS46" s="340">
        <v>1</v>
      </c>
      <c r="AT46" s="437"/>
      <c r="AU46" s="438"/>
      <c r="AV46" s="436"/>
      <c r="AW46" s="436"/>
      <c r="AX46" s="436"/>
      <c r="AY46" s="436"/>
      <c r="AZ46" s="436"/>
      <c r="BA46" s="436"/>
      <c r="BB46" s="436"/>
      <c r="BC46" s="436"/>
      <c r="BE46" s="383"/>
      <c r="BF46" s="383"/>
      <c r="BG46" s="383"/>
      <c r="BH46" s="383"/>
      <c r="BI46" s="383"/>
      <c r="BJ46" s="383"/>
      <c r="BK46" s="383"/>
      <c r="BL46" s="383"/>
      <c r="BM46" s="383"/>
      <c r="BN46" s="383"/>
      <c r="BO46" s="383"/>
    </row>
    <row r="47" spans="1:67" x14ac:dyDescent="0.25">
      <c r="A47" s="335">
        <v>5476</v>
      </c>
      <c r="B47" s="425" t="s">
        <v>374</v>
      </c>
      <c r="C47" s="446">
        <v>743584.82</v>
      </c>
      <c r="D47" s="33">
        <v>121594.7</v>
      </c>
      <c r="E47" s="448"/>
      <c r="F47" s="452">
        <v>0</v>
      </c>
      <c r="G47" s="452">
        <v>1703.6</v>
      </c>
      <c r="H47" s="453">
        <v>5840.35</v>
      </c>
      <c r="I47" s="451">
        <v>0</v>
      </c>
      <c r="J47" s="448">
        <v>9859.86</v>
      </c>
      <c r="K47" s="453">
        <v>0</v>
      </c>
      <c r="L47" s="448">
        <v>59238.7</v>
      </c>
      <c r="M47" s="422">
        <f t="shared" si="0"/>
        <v>941822.0299999998</v>
      </c>
      <c r="N47" s="446">
        <v>0</v>
      </c>
      <c r="O47" s="446">
        <v>0</v>
      </c>
      <c r="P47" s="446">
        <v>0</v>
      </c>
      <c r="Q47" s="446">
        <v>-953.4</v>
      </c>
      <c r="R47" s="33">
        <v>0</v>
      </c>
      <c r="S47" s="340"/>
      <c r="T47" s="446"/>
      <c r="U47" s="33">
        <v>2850</v>
      </c>
      <c r="V47" s="446"/>
      <c r="W47" s="33"/>
      <c r="X47" s="417">
        <v>662.55</v>
      </c>
      <c r="Y47" s="328">
        <f t="shared" si="1"/>
        <v>944381.17999999982</v>
      </c>
      <c r="Z47" s="33">
        <v>2761.25</v>
      </c>
      <c r="AA47" s="33"/>
      <c r="AB47" s="33">
        <v>16567.5</v>
      </c>
      <c r="AC47" s="33"/>
      <c r="AD47" s="33">
        <v>16672.45</v>
      </c>
      <c r="AE47" s="33">
        <v>4602</v>
      </c>
      <c r="AF47" s="33"/>
      <c r="AG47" s="33"/>
      <c r="AH47" s="33"/>
      <c r="AI47" s="33"/>
      <c r="AJ47" s="33"/>
      <c r="AK47" s="33"/>
      <c r="AL47" s="33"/>
      <c r="AM47" s="328">
        <f t="shared" si="2"/>
        <v>40603.199999999997</v>
      </c>
      <c r="AN47" s="371">
        <v>74</v>
      </c>
      <c r="AO47" s="388">
        <v>317</v>
      </c>
      <c r="AP47" s="33">
        <v>-6646.67</v>
      </c>
      <c r="AQ47" s="332"/>
      <c r="AR47" s="33">
        <v>-76.180000000000007</v>
      </c>
      <c r="AS47" s="340">
        <v>1</v>
      </c>
      <c r="AT47" s="437"/>
      <c r="AU47" s="438"/>
      <c r="AV47" s="436"/>
      <c r="AW47" s="436"/>
      <c r="AX47" s="436"/>
      <c r="AY47" s="436"/>
      <c r="AZ47" s="436"/>
      <c r="BA47" s="436"/>
      <c r="BB47" s="436"/>
      <c r="BC47" s="436"/>
      <c r="BE47" s="383"/>
      <c r="BF47" s="383"/>
      <c r="BG47" s="383"/>
      <c r="BH47" s="383"/>
      <c r="BI47" s="383"/>
      <c r="BJ47" s="383"/>
      <c r="BK47" s="383"/>
      <c r="BL47" s="383"/>
      <c r="BM47" s="383"/>
      <c r="BN47" s="383"/>
      <c r="BO47" s="383"/>
    </row>
    <row r="48" spans="1:67" x14ac:dyDescent="0.25">
      <c r="A48" s="335">
        <v>5477</v>
      </c>
      <c r="B48" s="425" t="s">
        <v>375</v>
      </c>
      <c r="C48" s="446">
        <v>8268682.9500000002</v>
      </c>
      <c r="D48" s="33">
        <v>580100.94999999995</v>
      </c>
      <c r="E48" s="448"/>
      <c r="F48" s="452">
        <v>0</v>
      </c>
      <c r="G48" s="452">
        <v>519011.7</v>
      </c>
      <c r="H48" s="453">
        <v>-16973.25</v>
      </c>
      <c r="I48" s="451">
        <v>0</v>
      </c>
      <c r="J48" s="448">
        <v>190554.98</v>
      </c>
      <c r="K48" s="453">
        <v>29786.65</v>
      </c>
      <c r="L48" s="448">
        <v>651385.15</v>
      </c>
      <c r="M48" s="422">
        <f t="shared" si="0"/>
        <v>10222549.130000001</v>
      </c>
      <c r="N48" s="446">
        <v>71916.55</v>
      </c>
      <c r="O48" s="446">
        <v>2864.4</v>
      </c>
      <c r="P48" s="446">
        <v>305863.84999999998</v>
      </c>
      <c r="Q48" s="446">
        <v>18381.79</v>
      </c>
      <c r="R48" s="33">
        <v>158034.20000000001</v>
      </c>
      <c r="S48" s="340"/>
      <c r="T48" s="446"/>
      <c r="U48" s="33">
        <v>20350</v>
      </c>
      <c r="V48" s="446"/>
      <c r="W48" s="33"/>
      <c r="X48" s="417">
        <v>71033.399999999994</v>
      </c>
      <c r="Y48" s="328">
        <f t="shared" si="1"/>
        <v>10870993.32</v>
      </c>
      <c r="Z48" s="33">
        <v>975506.3</v>
      </c>
      <c r="AA48" s="33">
        <v>259806</v>
      </c>
      <c r="AB48" s="33">
        <v>496480.6</v>
      </c>
      <c r="AC48" s="33">
        <v>559017.15</v>
      </c>
      <c r="AD48" s="33">
        <v>358365</v>
      </c>
      <c r="AE48" s="33">
        <v>390238.45</v>
      </c>
      <c r="AF48" s="33"/>
      <c r="AG48" s="33"/>
      <c r="AH48" s="33">
        <v>1334.1</v>
      </c>
      <c r="AI48" s="33">
        <v>87624.25</v>
      </c>
      <c r="AJ48" s="33"/>
      <c r="AK48" s="33"/>
      <c r="AL48" s="33">
        <v>18776.650000000001</v>
      </c>
      <c r="AM48" s="328">
        <f t="shared" si="2"/>
        <v>3147148.5</v>
      </c>
      <c r="AN48" s="371">
        <v>71</v>
      </c>
      <c r="AO48" s="388">
        <v>4045</v>
      </c>
      <c r="AP48" s="33">
        <v>-58674.95</v>
      </c>
      <c r="AQ48" s="332"/>
      <c r="AR48" s="33">
        <v>-1652.27</v>
      </c>
      <c r="AS48" s="340">
        <v>1</v>
      </c>
      <c r="AT48" s="437"/>
      <c r="AU48" s="438"/>
      <c r="AV48" s="436"/>
      <c r="AW48" s="436"/>
      <c r="AX48" s="436"/>
      <c r="AY48" s="436"/>
      <c r="AZ48" s="436"/>
      <c r="BA48" s="436"/>
      <c r="BB48" s="436"/>
      <c r="BC48" s="436"/>
      <c r="BE48" s="383"/>
      <c r="BF48" s="383"/>
      <c r="BG48" s="383"/>
      <c r="BH48" s="383"/>
      <c r="BI48" s="383"/>
      <c r="BJ48" s="383"/>
      <c r="BK48" s="383"/>
      <c r="BL48" s="383"/>
      <c r="BM48" s="383"/>
      <c r="BN48" s="383"/>
      <c r="BO48" s="383"/>
    </row>
    <row r="49" spans="1:67" x14ac:dyDescent="0.25">
      <c r="A49" s="335">
        <v>5478</v>
      </c>
      <c r="B49" s="425" t="s">
        <v>241</v>
      </c>
      <c r="C49" s="446">
        <v>1036519.9</v>
      </c>
      <c r="D49" s="33">
        <v>157573.76999999999</v>
      </c>
      <c r="E49" s="448"/>
      <c r="F49" s="452">
        <v>0</v>
      </c>
      <c r="G49" s="452">
        <v>7407.05</v>
      </c>
      <c r="H49" s="453">
        <v>191.7</v>
      </c>
      <c r="I49" s="451">
        <v>0</v>
      </c>
      <c r="J49" s="448">
        <v>23370.23</v>
      </c>
      <c r="K49" s="453">
        <v>250</v>
      </c>
      <c r="L49" s="448">
        <v>80059.25</v>
      </c>
      <c r="M49" s="422">
        <f t="shared" si="0"/>
        <v>1305371.8999999999</v>
      </c>
      <c r="N49" s="446">
        <v>0</v>
      </c>
      <c r="O49" s="446">
        <v>0</v>
      </c>
      <c r="P49" s="446">
        <v>57615.75</v>
      </c>
      <c r="Q49" s="446">
        <v>0</v>
      </c>
      <c r="R49" s="33">
        <v>47468.35</v>
      </c>
      <c r="S49" s="340"/>
      <c r="T49" s="446"/>
      <c r="U49" s="33">
        <v>2075</v>
      </c>
      <c r="V49" s="446"/>
      <c r="W49" s="33"/>
      <c r="X49" s="417">
        <v>4379.8999999999996</v>
      </c>
      <c r="Y49" s="328">
        <f t="shared" si="1"/>
        <v>1416910.9</v>
      </c>
      <c r="Z49" s="33">
        <v>1540</v>
      </c>
      <c r="AA49" s="33"/>
      <c r="AB49" s="33">
        <v>30703.1</v>
      </c>
      <c r="AC49" s="33"/>
      <c r="AD49" s="33">
        <v>28633</v>
      </c>
      <c r="AE49" s="33">
        <v>1940</v>
      </c>
      <c r="AF49" s="33"/>
      <c r="AG49" s="33"/>
      <c r="AH49" s="33"/>
      <c r="AI49" s="33"/>
      <c r="AJ49" s="33"/>
      <c r="AK49" s="33"/>
      <c r="AL49" s="33"/>
      <c r="AM49" s="328">
        <f t="shared" si="2"/>
        <v>62816.1</v>
      </c>
      <c r="AN49" s="371">
        <v>74</v>
      </c>
      <c r="AO49" s="388">
        <v>487</v>
      </c>
      <c r="AP49" s="33">
        <v>-9840.49</v>
      </c>
      <c r="AQ49" s="332"/>
      <c r="AR49" s="33">
        <v>-1.71</v>
      </c>
      <c r="AS49" s="340">
        <v>1</v>
      </c>
      <c r="AT49" s="437"/>
      <c r="AU49" s="438"/>
      <c r="AV49" s="436"/>
      <c r="AW49" s="436"/>
      <c r="AX49" s="436"/>
      <c r="AY49" s="436"/>
      <c r="AZ49" s="436"/>
      <c r="BA49" s="436"/>
      <c r="BB49" s="436"/>
      <c r="BC49" s="436"/>
      <c r="BE49" s="383"/>
      <c r="BF49" s="383"/>
      <c r="BG49" s="383"/>
      <c r="BH49" s="383"/>
      <c r="BI49" s="383"/>
      <c r="BJ49" s="383"/>
      <c r="BK49" s="383"/>
      <c r="BL49" s="383"/>
      <c r="BM49" s="383"/>
      <c r="BN49" s="383"/>
      <c r="BO49" s="383"/>
    </row>
    <row r="50" spans="1:67" x14ac:dyDescent="0.25">
      <c r="A50" s="335">
        <v>5479</v>
      </c>
      <c r="B50" s="425" t="s">
        <v>242</v>
      </c>
      <c r="C50" s="446">
        <v>963240.92</v>
      </c>
      <c r="D50" s="33">
        <v>88713.44</v>
      </c>
      <c r="E50" s="448"/>
      <c r="F50" s="452">
        <v>0</v>
      </c>
      <c r="G50" s="452">
        <v>5774.2</v>
      </c>
      <c r="H50" s="453">
        <v>980.7</v>
      </c>
      <c r="I50" s="451">
        <v>202768</v>
      </c>
      <c r="J50" s="448">
        <v>6401.87</v>
      </c>
      <c r="K50" s="453">
        <v>1768</v>
      </c>
      <c r="L50" s="448">
        <v>81992.649999999994</v>
      </c>
      <c r="M50" s="422">
        <f t="shared" si="0"/>
        <v>1351639.78</v>
      </c>
      <c r="N50" s="446">
        <v>6580.5</v>
      </c>
      <c r="O50" s="446">
        <v>12338.1</v>
      </c>
      <c r="P50" s="446">
        <v>49843.05</v>
      </c>
      <c r="Q50" s="446">
        <v>875.68</v>
      </c>
      <c r="R50" s="33">
        <v>-16270.85</v>
      </c>
      <c r="S50" s="340"/>
      <c r="T50" s="446">
        <v>953.45</v>
      </c>
      <c r="U50" s="33">
        <v>1820</v>
      </c>
      <c r="V50" s="446"/>
      <c r="W50" s="33"/>
      <c r="X50" s="417">
        <v>1139.7</v>
      </c>
      <c r="Y50" s="328">
        <f t="shared" si="1"/>
        <v>1408919.41</v>
      </c>
      <c r="Z50" s="33">
        <v>28521.9</v>
      </c>
      <c r="AA50" s="33"/>
      <c r="AB50" s="33">
        <v>52130</v>
      </c>
      <c r="AC50" s="33"/>
      <c r="AD50" s="33">
        <v>66419.25</v>
      </c>
      <c r="AE50" s="33"/>
      <c r="AF50" s="33">
        <v>12181.6</v>
      </c>
      <c r="AG50" s="33"/>
      <c r="AH50" s="33"/>
      <c r="AI50" s="33">
        <v>14095.95</v>
      </c>
      <c r="AJ50" s="33"/>
      <c r="AK50" s="33"/>
      <c r="AL50" s="33"/>
      <c r="AM50" s="328">
        <f t="shared" si="2"/>
        <v>173348.7</v>
      </c>
      <c r="AN50" s="371">
        <v>77</v>
      </c>
      <c r="AO50" s="388">
        <v>486</v>
      </c>
      <c r="AP50" s="33">
        <v>-23324.34</v>
      </c>
      <c r="AQ50" s="332"/>
      <c r="AR50" s="33">
        <v>0</v>
      </c>
      <c r="AS50" s="340">
        <v>1</v>
      </c>
      <c r="AT50" s="437"/>
      <c r="AU50" s="438"/>
      <c r="AV50" s="436"/>
      <c r="AW50" s="436"/>
      <c r="AX50" s="436"/>
      <c r="AY50" s="436"/>
      <c r="AZ50" s="436"/>
      <c r="BA50" s="436"/>
      <c r="BB50" s="436"/>
      <c r="BC50" s="436"/>
      <c r="BE50" s="383"/>
      <c r="BF50" s="383"/>
      <c r="BG50" s="383"/>
      <c r="BH50" s="383"/>
      <c r="BI50" s="383"/>
      <c r="BJ50" s="383"/>
      <c r="BK50" s="383"/>
      <c r="BL50" s="383"/>
      <c r="BM50" s="383"/>
      <c r="BN50" s="383"/>
      <c r="BO50" s="383"/>
    </row>
    <row r="51" spans="1:67" x14ac:dyDescent="0.25">
      <c r="A51" s="335">
        <v>5480</v>
      </c>
      <c r="B51" s="425" t="s">
        <v>243</v>
      </c>
      <c r="C51" s="446">
        <v>2070154.66</v>
      </c>
      <c r="D51" s="33">
        <v>310610.03999999998</v>
      </c>
      <c r="E51" s="448"/>
      <c r="F51" s="452">
        <v>0</v>
      </c>
      <c r="G51" s="452">
        <v>-45167.1</v>
      </c>
      <c r="H51" s="453">
        <v>14133.35</v>
      </c>
      <c r="I51" s="451">
        <v>0</v>
      </c>
      <c r="J51" s="448">
        <v>25542.68</v>
      </c>
      <c r="K51" s="453">
        <v>-23704.85</v>
      </c>
      <c r="L51" s="448">
        <v>361513.1</v>
      </c>
      <c r="M51" s="422">
        <f t="shared" si="0"/>
        <v>2713081.88</v>
      </c>
      <c r="N51" s="446">
        <v>124620.8</v>
      </c>
      <c r="O51" s="446">
        <v>0</v>
      </c>
      <c r="P51" s="446">
        <v>51315</v>
      </c>
      <c r="Q51" s="446">
        <v>18225.18</v>
      </c>
      <c r="R51" s="33">
        <v>83477.55</v>
      </c>
      <c r="S51" s="340"/>
      <c r="T51" s="446"/>
      <c r="U51" s="33">
        <v>10050</v>
      </c>
      <c r="V51" s="446"/>
      <c r="W51" s="33">
        <v>1624.4</v>
      </c>
      <c r="X51" s="417">
        <v>22956.7</v>
      </c>
      <c r="Y51" s="328">
        <f t="shared" si="1"/>
        <v>3025351.51</v>
      </c>
      <c r="Z51" s="33">
        <v>5178</v>
      </c>
      <c r="AA51" s="33"/>
      <c r="AB51" s="33">
        <v>100560.61</v>
      </c>
      <c r="AC51" s="33">
        <v>141975.65</v>
      </c>
      <c r="AD51" s="33">
        <v>80871.850000000006</v>
      </c>
      <c r="AE51" s="33">
        <v>698.45</v>
      </c>
      <c r="AF51" s="33"/>
      <c r="AG51" s="33"/>
      <c r="AH51" s="33">
        <v>5579.8</v>
      </c>
      <c r="AI51" s="33">
        <v>67816.399999999994</v>
      </c>
      <c r="AJ51" s="33"/>
      <c r="AK51" s="33"/>
      <c r="AL51" s="33"/>
      <c r="AM51" s="328">
        <f t="shared" si="2"/>
        <v>402680.76</v>
      </c>
      <c r="AN51" s="371">
        <v>66</v>
      </c>
      <c r="AO51" s="388">
        <v>1034</v>
      </c>
      <c r="AP51" s="33">
        <v>-11703.86</v>
      </c>
      <c r="AQ51" s="332"/>
      <c r="AR51" s="33">
        <v>-4766.63</v>
      </c>
      <c r="AS51" s="340">
        <v>1.2</v>
      </c>
      <c r="AT51" s="437"/>
      <c r="AU51" s="438"/>
      <c r="AV51" s="436"/>
      <c r="AW51" s="436"/>
      <c r="AX51" s="436"/>
      <c r="AY51" s="436"/>
      <c r="AZ51" s="436"/>
      <c r="BA51" s="436"/>
      <c r="BB51" s="436"/>
      <c r="BC51" s="436"/>
      <c r="BE51" s="383"/>
      <c r="BF51" s="383"/>
      <c r="BG51" s="383"/>
      <c r="BH51" s="383"/>
      <c r="BI51" s="383"/>
      <c r="BJ51" s="383"/>
      <c r="BK51" s="383"/>
      <c r="BL51" s="383"/>
      <c r="BM51" s="383"/>
      <c r="BN51" s="383"/>
      <c r="BO51" s="383"/>
    </row>
    <row r="52" spans="1:67" x14ac:dyDescent="0.25">
      <c r="A52" s="335">
        <v>5481</v>
      </c>
      <c r="B52" s="425" t="s">
        <v>244</v>
      </c>
      <c r="C52" s="446">
        <v>657897.18000000005</v>
      </c>
      <c r="D52" s="33">
        <v>7829.52</v>
      </c>
      <c r="E52" s="448"/>
      <c r="F52" s="452">
        <v>0</v>
      </c>
      <c r="G52" s="452">
        <v>50118.6</v>
      </c>
      <c r="H52" s="453">
        <v>319.89999999999998</v>
      </c>
      <c r="I52" s="451">
        <v>0</v>
      </c>
      <c r="J52" s="448">
        <v>9876.1200000000008</v>
      </c>
      <c r="K52" s="453">
        <v>0</v>
      </c>
      <c r="L52" s="448">
        <v>36349.65</v>
      </c>
      <c r="M52" s="422">
        <f t="shared" si="0"/>
        <v>762390.97000000009</v>
      </c>
      <c r="N52" s="446">
        <v>0</v>
      </c>
      <c r="O52" s="446">
        <v>0</v>
      </c>
      <c r="P52" s="446">
        <v>135.65</v>
      </c>
      <c r="Q52" s="446">
        <v>1558.25</v>
      </c>
      <c r="R52" s="33">
        <v>0</v>
      </c>
      <c r="S52" s="340"/>
      <c r="T52" s="446"/>
      <c r="U52" s="33">
        <v>750</v>
      </c>
      <c r="V52" s="446"/>
      <c r="W52" s="33"/>
      <c r="X52" s="417">
        <v>3059.55</v>
      </c>
      <c r="Y52" s="328">
        <f t="shared" si="1"/>
        <v>767894.42000000016</v>
      </c>
      <c r="Z52" s="33"/>
      <c r="AA52" s="33"/>
      <c r="AB52" s="33">
        <v>58210</v>
      </c>
      <c r="AC52" s="33"/>
      <c r="AD52" s="33">
        <v>16324</v>
      </c>
      <c r="AE52" s="33"/>
      <c r="AF52" s="33"/>
      <c r="AG52" s="33"/>
      <c r="AH52" s="33"/>
      <c r="AI52" s="33"/>
      <c r="AJ52" s="33"/>
      <c r="AK52" s="33"/>
      <c r="AL52" s="33"/>
      <c r="AM52" s="328">
        <f t="shared" si="2"/>
        <v>74534</v>
      </c>
      <c r="AN52" s="371">
        <v>79</v>
      </c>
      <c r="AO52" s="388">
        <v>234</v>
      </c>
      <c r="AP52" s="33">
        <v>-3961.46</v>
      </c>
      <c r="AQ52" s="332"/>
      <c r="AR52" s="33">
        <v>0</v>
      </c>
      <c r="AS52" s="340">
        <v>1</v>
      </c>
      <c r="AT52" s="437"/>
      <c r="AU52" s="438"/>
      <c r="AV52" s="436"/>
      <c r="AW52" s="436"/>
      <c r="AX52" s="436"/>
      <c r="AY52" s="436"/>
      <c r="AZ52" s="436"/>
      <c r="BA52" s="436"/>
      <c r="BB52" s="436"/>
      <c r="BC52" s="436"/>
      <c r="BE52" s="383"/>
      <c r="BF52" s="383"/>
      <c r="BG52" s="383"/>
      <c r="BH52" s="383"/>
      <c r="BI52" s="383"/>
      <c r="BJ52" s="383"/>
      <c r="BK52" s="383"/>
      <c r="BL52" s="383"/>
      <c r="BM52" s="383"/>
      <c r="BN52" s="383"/>
      <c r="BO52" s="383"/>
    </row>
    <row r="53" spans="1:67" x14ac:dyDescent="0.25">
      <c r="A53" s="335">
        <v>5482</v>
      </c>
      <c r="B53" s="425" t="s">
        <v>245</v>
      </c>
      <c r="C53" s="446">
        <v>1390854.97</v>
      </c>
      <c r="D53" s="33">
        <v>213828.84</v>
      </c>
      <c r="E53" s="448"/>
      <c r="F53" s="452">
        <v>0</v>
      </c>
      <c r="G53" s="452">
        <v>507592.6</v>
      </c>
      <c r="H53" s="453">
        <v>10002.75</v>
      </c>
      <c r="I53" s="451">
        <v>0</v>
      </c>
      <c r="J53" s="448">
        <v>125724.95</v>
      </c>
      <c r="K53" s="453">
        <v>44205.9</v>
      </c>
      <c r="L53" s="448">
        <v>425425.95</v>
      </c>
      <c r="M53" s="422">
        <f t="shared" si="0"/>
        <v>2717635.9600000004</v>
      </c>
      <c r="N53" s="446">
        <v>339856.8</v>
      </c>
      <c r="O53" s="446">
        <v>38895.4</v>
      </c>
      <c r="P53" s="446">
        <v>38336.75</v>
      </c>
      <c r="Q53" s="446">
        <v>3492.72</v>
      </c>
      <c r="R53" s="33">
        <v>28800.15</v>
      </c>
      <c r="S53" s="340"/>
      <c r="T53" s="446"/>
      <c r="U53" s="33">
        <v>12000</v>
      </c>
      <c r="V53" s="446"/>
      <c r="W53" s="33"/>
      <c r="X53" s="417">
        <v>53981.85</v>
      </c>
      <c r="Y53" s="328">
        <f t="shared" si="1"/>
        <v>3232999.6300000004</v>
      </c>
      <c r="Z53" s="33">
        <v>46923.75</v>
      </c>
      <c r="AA53" s="33"/>
      <c r="AB53" s="33">
        <v>270000</v>
      </c>
      <c r="AC53" s="33"/>
      <c r="AD53" s="33">
        <v>118626.65</v>
      </c>
      <c r="AE53" s="33"/>
      <c r="AF53" s="33"/>
      <c r="AG53" s="33"/>
      <c r="AH53" s="33"/>
      <c r="AI53" s="33"/>
      <c r="AJ53" s="33"/>
      <c r="AK53" s="33"/>
      <c r="AL53" s="33"/>
      <c r="AM53" s="328">
        <f t="shared" si="2"/>
        <v>435550.4</v>
      </c>
      <c r="AN53" s="371">
        <v>46</v>
      </c>
      <c r="AO53" s="388">
        <v>1222</v>
      </c>
      <c r="AP53" s="33">
        <v>-9374.34</v>
      </c>
      <c r="AQ53" s="332"/>
      <c r="AR53" s="33">
        <v>-368.21</v>
      </c>
      <c r="AS53" s="340">
        <v>1</v>
      </c>
      <c r="AT53" s="437"/>
      <c r="AU53" s="438"/>
      <c r="AV53" s="436"/>
      <c r="AW53" s="436"/>
      <c r="AX53" s="436"/>
      <c r="AY53" s="436"/>
      <c r="AZ53" s="436"/>
      <c r="BA53" s="436"/>
      <c r="BB53" s="436"/>
      <c r="BC53" s="436"/>
      <c r="BE53" s="383"/>
      <c r="BF53" s="383"/>
      <c r="BG53" s="383"/>
      <c r="BH53" s="383"/>
      <c r="BI53" s="383"/>
      <c r="BJ53" s="383"/>
      <c r="BK53" s="383"/>
      <c r="BL53" s="383"/>
      <c r="BM53" s="383"/>
      <c r="BN53" s="383"/>
      <c r="BO53" s="383"/>
    </row>
    <row r="54" spans="1:67" x14ac:dyDescent="0.25">
      <c r="A54" s="335">
        <v>5483</v>
      </c>
      <c r="B54" s="425" t="s">
        <v>140</v>
      </c>
      <c r="C54" s="446">
        <v>678862.54</v>
      </c>
      <c r="D54" s="33">
        <v>100641.37</v>
      </c>
      <c r="E54" s="448"/>
      <c r="F54" s="452">
        <v>0</v>
      </c>
      <c r="G54" s="452">
        <v>5111.8</v>
      </c>
      <c r="H54" s="453">
        <v>2860.35</v>
      </c>
      <c r="I54" s="451">
        <v>0</v>
      </c>
      <c r="J54" s="448">
        <v>5010.99</v>
      </c>
      <c r="K54" s="453">
        <v>0</v>
      </c>
      <c r="L54" s="448">
        <v>53939.15</v>
      </c>
      <c r="M54" s="422">
        <f t="shared" si="0"/>
        <v>846426.20000000007</v>
      </c>
      <c r="N54" s="446">
        <v>0</v>
      </c>
      <c r="O54" s="446">
        <v>0</v>
      </c>
      <c r="P54" s="446">
        <v>-4070.4</v>
      </c>
      <c r="Q54" s="446">
        <v>0</v>
      </c>
      <c r="R54" s="33">
        <v>63917.7</v>
      </c>
      <c r="S54" s="340"/>
      <c r="T54" s="446"/>
      <c r="U54" s="33">
        <v>1380</v>
      </c>
      <c r="V54" s="446"/>
      <c r="W54" s="33"/>
      <c r="X54" s="417">
        <v>1956.2</v>
      </c>
      <c r="Y54" s="328">
        <f t="shared" si="1"/>
        <v>909609.7</v>
      </c>
      <c r="Z54" s="33">
        <v>1400</v>
      </c>
      <c r="AA54" s="33"/>
      <c r="AB54" s="33">
        <v>48952.9</v>
      </c>
      <c r="AC54" s="33"/>
      <c r="AD54" s="33">
        <v>31883.4</v>
      </c>
      <c r="AE54" s="33"/>
      <c r="AF54" s="33"/>
      <c r="AG54" s="33"/>
      <c r="AH54" s="33"/>
      <c r="AI54" s="33"/>
      <c r="AJ54" s="33"/>
      <c r="AK54" s="33"/>
      <c r="AL54" s="33"/>
      <c r="AM54" s="328">
        <f t="shared" si="2"/>
        <v>82236.3</v>
      </c>
      <c r="AN54" s="371">
        <v>76</v>
      </c>
      <c r="AO54" s="388">
        <v>320</v>
      </c>
      <c r="AP54" s="33">
        <v>384.11</v>
      </c>
      <c r="AQ54" s="332"/>
      <c r="AR54" s="33">
        <v>0</v>
      </c>
      <c r="AS54" s="340">
        <v>1</v>
      </c>
      <c r="AT54" s="437"/>
      <c r="AU54" s="438"/>
      <c r="AV54" s="436"/>
      <c r="AW54" s="436"/>
      <c r="AX54" s="436"/>
      <c r="AY54" s="436"/>
      <c r="AZ54" s="436"/>
      <c r="BA54" s="436"/>
      <c r="BB54" s="436"/>
      <c r="BC54" s="436"/>
      <c r="BE54" s="383"/>
      <c r="BF54" s="383"/>
      <c r="BG54" s="383"/>
      <c r="BH54" s="383"/>
      <c r="BI54" s="383"/>
      <c r="BJ54" s="383"/>
      <c r="BK54" s="383"/>
      <c r="BL54" s="383"/>
      <c r="BM54" s="383"/>
      <c r="BN54" s="383"/>
      <c r="BO54" s="383"/>
    </row>
    <row r="55" spans="1:67" x14ac:dyDescent="0.25">
      <c r="A55" s="335">
        <v>5484</v>
      </c>
      <c r="B55" s="425" t="s">
        <v>141</v>
      </c>
      <c r="C55" s="446">
        <v>2081750.76</v>
      </c>
      <c r="D55" s="33">
        <v>230252.32</v>
      </c>
      <c r="E55" s="448"/>
      <c r="F55" s="452">
        <v>0</v>
      </c>
      <c r="G55" s="452">
        <v>6109.74999999999</v>
      </c>
      <c r="H55" s="453">
        <v>2165.4</v>
      </c>
      <c r="I55" s="451">
        <v>0</v>
      </c>
      <c r="J55" s="448">
        <v>34740.699999999997</v>
      </c>
      <c r="K55" s="453">
        <v>7312.15</v>
      </c>
      <c r="L55" s="448">
        <v>175766.3</v>
      </c>
      <c r="M55" s="422">
        <f t="shared" si="0"/>
        <v>2538097.38</v>
      </c>
      <c r="N55" s="446">
        <v>16240.15</v>
      </c>
      <c r="O55" s="446">
        <v>1445.9</v>
      </c>
      <c r="P55" s="446">
        <v>154587</v>
      </c>
      <c r="Q55" s="446">
        <v>7285.35</v>
      </c>
      <c r="R55" s="33">
        <v>115139.95</v>
      </c>
      <c r="S55" s="340"/>
      <c r="T55" s="446"/>
      <c r="U55" s="33">
        <v>7940</v>
      </c>
      <c r="V55" s="446"/>
      <c r="W55" s="33"/>
      <c r="X55" s="417">
        <v>18280.599999999999</v>
      </c>
      <c r="Y55" s="328">
        <f t="shared" si="1"/>
        <v>2859016.33</v>
      </c>
      <c r="Z55" s="33">
        <v>48798</v>
      </c>
      <c r="AA55" s="33" t="s">
        <v>599</v>
      </c>
      <c r="AB55" s="33">
        <v>127270.95</v>
      </c>
      <c r="AC55" s="33" t="s">
        <v>599</v>
      </c>
      <c r="AD55" s="33">
        <v>71044.05</v>
      </c>
      <c r="AE55" s="33">
        <v>55514.65</v>
      </c>
      <c r="AF55" s="33"/>
      <c r="AG55" s="33"/>
      <c r="AH55" s="33"/>
      <c r="AI55" s="33"/>
      <c r="AJ55" s="33"/>
      <c r="AK55" s="33"/>
      <c r="AL55" s="33"/>
      <c r="AM55" s="328">
        <f t="shared" si="2"/>
        <v>302627.65000000002</v>
      </c>
      <c r="AN55" s="371">
        <v>74</v>
      </c>
      <c r="AO55" s="388">
        <v>939</v>
      </c>
      <c r="AP55" s="33">
        <v>-47868.38</v>
      </c>
      <c r="AQ55" s="332"/>
      <c r="AR55" s="33">
        <v>-124.71</v>
      </c>
      <c r="AS55" s="340">
        <v>1</v>
      </c>
      <c r="AT55" s="437"/>
      <c r="AU55" s="438"/>
      <c r="AV55" s="436"/>
      <c r="AW55" s="436"/>
      <c r="AX55" s="436"/>
      <c r="AY55" s="436"/>
      <c r="AZ55" s="436"/>
      <c r="BA55" s="436"/>
      <c r="BB55" s="436"/>
      <c r="BC55" s="436"/>
      <c r="BE55" s="383"/>
      <c r="BF55" s="383"/>
      <c r="BG55" s="383"/>
      <c r="BH55" s="383"/>
      <c r="BI55" s="383"/>
      <c r="BJ55" s="383"/>
      <c r="BK55" s="383"/>
      <c r="BL55" s="383"/>
      <c r="BM55" s="383"/>
      <c r="BN55" s="383"/>
      <c r="BO55" s="383"/>
    </row>
    <row r="56" spans="1:67" x14ac:dyDescent="0.25">
      <c r="A56" s="335">
        <v>5485</v>
      </c>
      <c r="B56" s="425" t="s">
        <v>142</v>
      </c>
      <c r="C56" s="446">
        <v>924134.61</v>
      </c>
      <c r="D56" s="33">
        <v>180472.64</v>
      </c>
      <c r="E56" s="448"/>
      <c r="F56" s="452">
        <v>0</v>
      </c>
      <c r="G56" s="452">
        <v>4549.7</v>
      </c>
      <c r="H56" s="453">
        <v>259.60000000000002</v>
      </c>
      <c r="I56" s="451">
        <v>0</v>
      </c>
      <c r="J56" s="448">
        <v>10419.08</v>
      </c>
      <c r="K56" s="453">
        <v>0</v>
      </c>
      <c r="L56" s="448">
        <v>73462.850000000006</v>
      </c>
      <c r="M56" s="422">
        <f t="shared" si="0"/>
        <v>1193298.4800000002</v>
      </c>
      <c r="N56" s="446">
        <v>6450.2</v>
      </c>
      <c r="O56" s="446">
        <v>19303.900000000001</v>
      </c>
      <c r="P56" s="446">
        <v>53043.35</v>
      </c>
      <c r="Q56" s="446">
        <v>0</v>
      </c>
      <c r="R56" s="33">
        <v>12904.55</v>
      </c>
      <c r="S56" s="340"/>
      <c r="T56" s="446"/>
      <c r="U56" s="33">
        <v>1360</v>
      </c>
      <c r="V56" s="446"/>
      <c r="W56" s="33"/>
      <c r="X56" s="417">
        <v>3624.1</v>
      </c>
      <c r="Y56" s="328">
        <f t="shared" si="1"/>
        <v>1289984.5800000003</v>
      </c>
      <c r="Z56" s="33">
        <v>32650</v>
      </c>
      <c r="AA56" s="33"/>
      <c r="AB56" s="33">
        <v>78145.399999999994</v>
      </c>
      <c r="AC56" s="33"/>
      <c r="AD56" s="33">
        <v>27718.799999999999</v>
      </c>
      <c r="AE56" s="33">
        <v>20390</v>
      </c>
      <c r="AF56" s="33"/>
      <c r="AG56" s="33"/>
      <c r="AH56" s="33"/>
      <c r="AI56" s="33"/>
      <c r="AJ56" s="33"/>
      <c r="AK56" s="33"/>
      <c r="AL56" s="33"/>
      <c r="AM56" s="328">
        <f t="shared" si="2"/>
        <v>158904.19999999998</v>
      </c>
      <c r="AN56" s="371">
        <v>70</v>
      </c>
      <c r="AO56" s="388">
        <v>397</v>
      </c>
      <c r="AP56" s="33">
        <v>-9583.86</v>
      </c>
      <c r="AQ56" s="332"/>
      <c r="AR56" s="33">
        <v>-345.3</v>
      </c>
      <c r="AS56" s="340">
        <v>1</v>
      </c>
      <c r="AT56" s="437"/>
      <c r="AU56" s="438"/>
      <c r="AV56" s="436"/>
      <c r="AW56" s="436"/>
      <c r="AX56" s="436"/>
      <c r="AY56" s="436"/>
      <c r="AZ56" s="436"/>
      <c r="BA56" s="436"/>
      <c r="BB56" s="436"/>
      <c r="BC56" s="436"/>
      <c r="BE56" s="383"/>
      <c r="BF56" s="383"/>
      <c r="BG56" s="383"/>
      <c r="BH56" s="383"/>
      <c r="BI56" s="383"/>
      <c r="BJ56" s="383"/>
      <c r="BK56" s="383"/>
      <c r="BL56" s="383"/>
      <c r="BM56" s="383"/>
      <c r="BN56" s="383"/>
      <c r="BO56" s="383"/>
    </row>
    <row r="57" spans="1:67" x14ac:dyDescent="0.25">
      <c r="A57" s="335">
        <v>5486</v>
      </c>
      <c r="B57" s="425" t="s">
        <v>1</v>
      </c>
      <c r="C57" s="446">
        <v>2017129.9</v>
      </c>
      <c r="D57" s="33">
        <v>280103.87</v>
      </c>
      <c r="E57" s="448"/>
      <c r="F57" s="452">
        <v>0</v>
      </c>
      <c r="G57" s="452">
        <v>163619.70000000001</v>
      </c>
      <c r="H57" s="453">
        <v>2800.8</v>
      </c>
      <c r="I57" s="451">
        <v>34900.199999999997</v>
      </c>
      <c r="J57" s="448">
        <v>19241.990000000002</v>
      </c>
      <c r="K57" s="453">
        <v>7888.8</v>
      </c>
      <c r="L57" s="448">
        <v>182570.75</v>
      </c>
      <c r="M57" s="422">
        <f t="shared" si="0"/>
        <v>2708256.0100000002</v>
      </c>
      <c r="N57" s="446">
        <v>53112.2</v>
      </c>
      <c r="O57" s="446">
        <v>258862.5</v>
      </c>
      <c r="P57" s="446">
        <v>159535.70000000001</v>
      </c>
      <c r="Q57" s="446">
        <v>10598.58</v>
      </c>
      <c r="R57" s="33">
        <v>189195.6</v>
      </c>
      <c r="S57" s="340"/>
      <c r="T57" s="446"/>
      <c r="U57" s="33">
        <v>12450</v>
      </c>
      <c r="V57" s="446"/>
      <c r="W57" s="33"/>
      <c r="X57" s="417">
        <v>14377.1</v>
      </c>
      <c r="Y57" s="328">
        <f t="shared" si="1"/>
        <v>3406387.6900000009</v>
      </c>
      <c r="Z57" s="33">
        <v>14335.35</v>
      </c>
      <c r="AA57" s="33"/>
      <c r="AB57" s="33">
        <v>242632.8</v>
      </c>
      <c r="AC57" s="33"/>
      <c r="AD57" s="33">
        <v>87962.7</v>
      </c>
      <c r="AE57" s="33">
        <v>13825.35</v>
      </c>
      <c r="AF57" s="33"/>
      <c r="AG57" s="33"/>
      <c r="AH57" s="33"/>
      <c r="AI57" s="33"/>
      <c r="AJ57" s="33">
        <v>36890.800000000003</v>
      </c>
      <c r="AK57" s="33"/>
      <c r="AL57" s="33"/>
      <c r="AM57" s="328">
        <f t="shared" si="2"/>
        <v>395646.99999999994</v>
      </c>
      <c r="AN57" s="371">
        <v>76</v>
      </c>
      <c r="AO57" s="388">
        <v>1011</v>
      </c>
      <c r="AP57" s="33">
        <v>-22295.27</v>
      </c>
      <c r="AQ57" s="332"/>
      <c r="AR57" s="33">
        <v>-195.17</v>
      </c>
      <c r="AS57" s="340">
        <v>1</v>
      </c>
      <c r="AT57" s="437"/>
      <c r="AU57" s="438"/>
      <c r="AV57" s="436"/>
      <c r="AW57" s="436"/>
      <c r="AX57" s="436"/>
      <c r="AY57" s="436"/>
      <c r="AZ57" s="436"/>
      <c r="BA57" s="436"/>
      <c r="BB57" s="436"/>
      <c r="BC57" s="436"/>
      <c r="BE57" s="383"/>
      <c r="BF57" s="383"/>
      <c r="BG57" s="383"/>
      <c r="BH57" s="383"/>
      <c r="BI57" s="383"/>
      <c r="BJ57" s="383"/>
      <c r="BK57" s="383"/>
      <c r="BL57" s="383"/>
      <c r="BM57" s="383"/>
      <c r="BN57" s="383"/>
      <c r="BO57" s="383"/>
    </row>
    <row r="58" spans="1:67" x14ac:dyDescent="0.25">
      <c r="A58" s="335">
        <v>5487</v>
      </c>
      <c r="B58" s="425" t="s">
        <v>2</v>
      </c>
      <c r="C58" s="446">
        <v>967599.19</v>
      </c>
      <c r="D58" s="33">
        <v>117639.39</v>
      </c>
      <c r="E58" s="448"/>
      <c r="F58" s="452">
        <v>0</v>
      </c>
      <c r="G58" s="452">
        <v>3441.85</v>
      </c>
      <c r="H58" s="453">
        <v>104.1</v>
      </c>
      <c r="I58" s="451">
        <v>0</v>
      </c>
      <c r="J58" s="448">
        <v>4292.26</v>
      </c>
      <c r="K58" s="453">
        <v>992.5</v>
      </c>
      <c r="L58" s="448">
        <v>76437.8</v>
      </c>
      <c r="M58" s="422">
        <f t="shared" si="0"/>
        <v>1170507.0900000001</v>
      </c>
      <c r="N58" s="446">
        <v>0</v>
      </c>
      <c r="O58" s="446">
        <v>32528.6</v>
      </c>
      <c r="P58" s="446">
        <v>31405</v>
      </c>
      <c r="Q58" s="446">
        <v>0</v>
      </c>
      <c r="R58" s="33">
        <v>6280.05</v>
      </c>
      <c r="S58" s="340">
        <v>75</v>
      </c>
      <c r="T58" s="446"/>
      <c r="U58" s="33">
        <v>2700</v>
      </c>
      <c r="V58" s="446"/>
      <c r="W58" s="33"/>
      <c r="X58" s="417">
        <v>1148.5999999999999</v>
      </c>
      <c r="Y58" s="328">
        <f t="shared" si="1"/>
        <v>1244644.3400000003</v>
      </c>
      <c r="Z58" s="33"/>
      <c r="AA58" s="33"/>
      <c r="AB58" s="33">
        <v>40415.550000000003</v>
      </c>
      <c r="AC58" s="33"/>
      <c r="AD58" s="33">
        <v>38900</v>
      </c>
      <c r="AE58" s="33"/>
      <c r="AF58" s="33"/>
      <c r="AG58" s="33"/>
      <c r="AH58" s="33">
        <v>343</v>
      </c>
      <c r="AI58" s="33">
        <v>7804.15</v>
      </c>
      <c r="AJ58" s="33"/>
      <c r="AK58" s="33"/>
      <c r="AL58" s="33"/>
      <c r="AM58" s="328">
        <f t="shared" si="2"/>
        <v>87462.7</v>
      </c>
      <c r="AN58" s="371">
        <v>75</v>
      </c>
      <c r="AO58" s="388">
        <v>459</v>
      </c>
      <c r="AP58" s="33">
        <v>-8785.9699999999993</v>
      </c>
      <c r="AQ58" s="332"/>
      <c r="AR58" s="33">
        <v>-62.59</v>
      </c>
      <c r="AS58" s="340">
        <v>1</v>
      </c>
      <c r="AT58" s="437"/>
      <c r="AU58" s="438"/>
      <c r="AV58" s="436"/>
      <c r="AW58" s="436"/>
      <c r="AX58" s="436"/>
      <c r="AY58" s="436"/>
      <c r="AZ58" s="436"/>
      <c r="BA58" s="436"/>
      <c r="BB58" s="436"/>
      <c r="BC58" s="436"/>
      <c r="BE58" s="383"/>
      <c r="BF58" s="383"/>
      <c r="BG58" s="383"/>
      <c r="BH58" s="383"/>
      <c r="BI58" s="383"/>
      <c r="BJ58" s="383"/>
      <c r="BK58" s="383"/>
      <c r="BL58" s="383"/>
      <c r="BM58" s="383"/>
      <c r="BN58" s="383"/>
      <c r="BO58" s="383"/>
    </row>
    <row r="59" spans="1:67" x14ac:dyDescent="0.25">
      <c r="A59" s="335">
        <v>5488</v>
      </c>
      <c r="B59" s="425" t="s">
        <v>3</v>
      </c>
      <c r="C59" s="446">
        <v>116953.25</v>
      </c>
      <c r="D59" s="33">
        <v>13136.57</v>
      </c>
      <c r="E59" s="448"/>
      <c r="F59" s="452">
        <v>0</v>
      </c>
      <c r="G59" s="452">
        <v>-458.3</v>
      </c>
      <c r="H59" s="453">
        <v>304.85000000000002</v>
      </c>
      <c r="I59" s="451">
        <v>0</v>
      </c>
      <c r="J59" s="448">
        <v>15.8</v>
      </c>
      <c r="K59" s="453">
        <v>0</v>
      </c>
      <c r="L59" s="448">
        <v>8426</v>
      </c>
      <c r="M59" s="422">
        <f t="shared" si="0"/>
        <v>138378.17000000001</v>
      </c>
      <c r="N59" s="446">
        <v>0</v>
      </c>
      <c r="O59" s="446">
        <v>0</v>
      </c>
      <c r="P59" s="446">
        <v>0</v>
      </c>
      <c r="Q59" s="446">
        <v>0</v>
      </c>
      <c r="R59" s="33">
        <v>0</v>
      </c>
      <c r="S59" s="340"/>
      <c r="T59" s="446"/>
      <c r="U59" s="33">
        <v>120</v>
      </c>
      <c r="V59" s="446"/>
      <c r="W59" s="33"/>
      <c r="X59" s="417">
        <v>97.55</v>
      </c>
      <c r="Y59" s="328">
        <f t="shared" si="1"/>
        <v>138595.72</v>
      </c>
      <c r="Z59" s="33"/>
      <c r="AA59" s="33"/>
      <c r="AB59" s="33">
        <v>6496</v>
      </c>
      <c r="AC59" s="33"/>
      <c r="AD59" s="33">
        <v>5471</v>
      </c>
      <c r="AE59" s="33"/>
      <c r="AF59" s="33"/>
      <c r="AG59" s="33"/>
      <c r="AH59" s="33"/>
      <c r="AI59" s="33">
        <v>1209.3499999999999</v>
      </c>
      <c r="AJ59" s="33"/>
      <c r="AK59" s="33"/>
      <c r="AL59" s="33"/>
      <c r="AM59" s="328">
        <f t="shared" si="2"/>
        <v>13176.35</v>
      </c>
      <c r="AN59" s="371">
        <v>78</v>
      </c>
      <c r="AO59" s="388">
        <v>57</v>
      </c>
      <c r="AP59" s="33">
        <v>-1830.47</v>
      </c>
      <c r="AQ59" s="332"/>
      <c r="AR59" s="33">
        <v>0</v>
      </c>
      <c r="AS59" s="340">
        <v>1</v>
      </c>
      <c r="AT59" s="437"/>
      <c r="AU59" s="438"/>
      <c r="AV59" s="436"/>
      <c r="AW59" s="436"/>
      <c r="AX59" s="436"/>
      <c r="AY59" s="436"/>
      <c r="AZ59" s="436"/>
      <c r="BA59" s="436"/>
      <c r="BB59" s="436"/>
      <c r="BC59" s="436"/>
      <c r="BE59" s="383"/>
      <c r="BF59" s="383"/>
      <c r="BG59" s="383"/>
      <c r="BH59" s="383"/>
      <c r="BI59" s="383"/>
      <c r="BJ59" s="383"/>
      <c r="BK59" s="383"/>
      <c r="BL59" s="383"/>
      <c r="BM59" s="383"/>
      <c r="BN59" s="383"/>
      <c r="BO59" s="383"/>
    </row>
    <row r="60" spans="1:67" x14ac:dyDescent="0.25">
      <c r="A60" s="335">
        <v>5489</v>
      </c>
      <c r="B60" s="425" t="s">
        <v>4</v>
      </c>
      <c r="C60" s="446">
        <v>1797351.57</v>
      </c>
      <c r="D60" s="33">
        <v>580676.56999999995</v>
      </c>
      <c r="E60" s="448"/>
      <c r="F60" s="452">
        <v>0</v>
      </c>
      <c r="G60" s="452">
        <v>994436.85</v>
      </c>
      <c r="H60" s="453">
        <v>32222.799999999999</v>
      </c>
      <c r="I60" s="451">
        <v>0</v>
      </c>
      <c r="J60" s="448">
        <v>107093.58</v>
      </c>
      <c r="K60" s="453">
        <v>6591.5</v>
      </c>
      <c r="L60" s="448">
        <v>285308.75</v>
      </c>
      <c r="M60" s="422">
        <f t="shared" si="0"/>
        <v>3803681.62</v>
      </c>
      <c r="N60" s="446">
        <v>144968</v>
      </c>
      <c r="O60" s="446">
        <v>0</v>
      </c>
      <c r="P60" s="446">
        <v>45107.35</v>
      </c>
      <c r="Q60" s="446">
        <v>2220.9499999999998</v>
      </c>
      <c r="R60" s="33">
        <v>26931.7</v>
      </c>
      <c r="S60" s="340"/>
      <c r="T60" s="446"/>
      <c r="U60" s="33">
        <v>4890</v>
      </c>
      <c r="V60" s="446"/>
      <c r="W60" s="33"/>
      <c r="X60" s="417">
        <v>48426.2</v>
      </c>
      <c r="Y60" s="328">
        <f t="shared" si="1"/>
        <v>4076225.8200000008</v>
      </c>
      <c r="Z60" s="33">
        <v>24577.25</v>
      </c>
      <c r="AA60" s="33"/>
      <c r="AB60" s="33">
        <v>119122.7</v>
      </c>
      <c r="AC60" s="33"/>
      <c r="AD60" s="33">
        <v>76911.94</v>
      </c>
      <c r="AE60" s="33">
        <v>125392.9</v>
      </c>
      <c r="AF60" s="33"/>
      <c r="AG60" s="33"/>
      <c r="AH60" s="33"/>
      <c r="AI60" s="33"/>
      <c r="AJ60" s="33"/>
      <c r="AK60" s="33"/>
      <c r="AL60" s="33"/>
      <c r="AM60" s="328">
        <f t="shared" si="2"/>
        <v>346004.79000000004</v>
      </c>
      <c r="AN60" s="371">
        <v>61</v>
      </c>
      <c r="AO60" s="388">
        <v>718</v>
      </c>
      <c r="AP60" s="33">
        <v>-13158.24</v>
      </c>
      <c r="AQ60" s="332"/>
      <c r="AR60" s="33">
        <v>-1021.17</v>
      </c>
      <c r="AS60" s="340">
        <v>1</v>
      </c>
      <c r="AT60" s="437"/>
      <c r="AU60" s="438"/>
      <c r="AV60" s="439"/>
      <c r="AW60" s="439"/>
      <c r="AX60" s="439"/>
      <c r="AY60" s="436"/>
      <c r="AZ60" s="436"/>
      <c r="BA60" s="436"/>
      <c r="BB60" s="436"/>
      <c r="BC60" s="436"/>
      <c r="BE60" s="383"/>
      <c r="BF60" s="383"/>
      <c r="BG60" s="383"/>
      <c r="BH60" s="383"/>
      <c r="BI60" s="383"/>
      <c r="BJ60" s="383"/>
      <c r="BK60" s="383"/>
      <c r="BL60" s="383"/>
      <c r="BM60" s="383"/>
      <c r="BN60" s="383"/>
      <c r="BO60" s="383"/>
    </row>
    <row r="61" spans="1:67" x14ac:dyDescent="0.25">
      <c r="A61" s="335">
        <v>5490</v>
      </c>
      <c r="B61" s="425" t="s">
        <v>5</v>
      </c>
      <c r="C61" s="446">
        <v>547896.81000000006</v>
      </c>
      <c r="D61" s="33">
        <v>67899.520000000106</v>
      </c>
      <c r="E61" s="448"/>
      <c r="F61" s="452">
        <v>0</v>
      </c>
      <c r="G61" s="452">
        <v>1402.3</v>
      </c>
      <c r="H61" s="453">
        <v>109.3</v>
      </c>
      <c r="I61" s="451">
        <v>0</v>
      </c>
      <c r="J61" s="448">
        <v>3922.89</v>
      </c>
      <c r="K61" s="453">
        <v>0</v>
      </c>
      <c r="L61" s="448">
        <v>45067.25</v>
      </c>
      <c r="M61" s="422">
        <f t="shared" si="0"/>
        <v>666298.0700000003</v>
      </c>
      <c r="N61" s="446">
        <v>0</v>
      </c>
      <c r="O61" s="446">
        <v>0</v>
      </c>
      <c r="P61" s="446">
        <v>5258</v>
      </c>
      <c r="Q61" s="446">
        <v>12153.32</v>
      </c>
      <c r="R61" s="33">
        <v>13264.35</v>
      </c>
      <c r="S61" s="340"/>
      <c r="T61" s="446"/>
      <c r="U61" s="33">
        <v>1240</v>
      </c>
      <c r="V61" s="446"/>
      <c r="W61" s="33"/>
      <c r="X61" s="417">
        <v>822.65</v>
      </c>
      <c r="Y61" s="328">
        <f t="shared" si="1"/>
        <v>699036.39000000025</v>
      </c>
      <c r="Z61" s="33"/>
      <c r="AA61" s="33">
        <v>2054.25</v>
      </c>
      <c r="AB61" s="33">
        <v>29432.55</v>
      </c>
      <c r="AC61" s="33"/>
      <c r="AD61" s="33">
        <v>27753.599999999999</v>
      </c>
      <c r="AE61" s="33"/>
      <c r="AF61" s="33">
        <v>1237</v>
      </c>
      <c r="AG61" s="33"/>
      <c r="AH61" s="33"/>
      <c r="AI61" s="33">
        <v>7458.75</v>
      </c>
      <c r="AJ61" s="33"/>
      <c r="AK61" s="33"/>
      <c r="AL61" s="33"/>
      <c r="AM61" s="328">
        <f t="shared" si="2"/>
        <v>67936.149999999994</v>
      </c>
      <c r="AN61" s="371">
        <v>78.5</v>
      </c>
      <c r="AO61" s="388">
        <v>310</v>
      </c>
      <c r="AP61" s="33">
        <v>-23373.06</v>
      </c>
      <c r="AQ61" s="332"/>
      <c r="AR61" s="33">
        <v>-714.55</v>
      </c>
      <c r="AS61" s="340">
        <v>1</v>
      </c>
      <c r="AT61" s="437"/>
      <c r="AU61" s="438"/>
      <c r="AV61" s="436"/>
      <c r="AW61" s="436"/>
      <c r="AX61" s="436"/>
      <c r="AY61" s="436"/>
      <c r="AZ61" s="436"/>
      <c r="BA61" s="436"/>
      <c r="BB61" s="436"/>
      <c r="BC61" s="436"/>
      <c r="BE61" s="383"/>
      <c r="BF61" s="383"/>
      <c r="BG61" s="383"/>
      <c r="BH61" s="383"/>
      <c r="BI61" s="383"/>
      <c r="BJ61" s="383"/>
      <c r="BK61" s="383"/>
      <c r="BL61" s="383"/>
      <c r="BM61" s="383"/>
      <c r="BN61" s="383"/>
      <c r="BO61" s="383"/>
    </row>
    <row r="62" spans="1:67" x14ac:dyDescent="0.25">
      <c r="A62" s="335">
        <v>5491</v>
      </c>
      <c r="B62" s="425" t="s">
        <v>164</v>
      </c>
      <c r="C62" s="446">
        <v>861931.75</v>
      </c>
      <c r="D62" s="33">
        <v>97944.8299999999</v>
      </c>
      <c r="E62" s="448"/>
      <c r="F62" s="452">
        <v>0</v>
      </c>
      <c r="G62" s="452">
        <v>22888.2</v>
      </c>
      <c r="H62" s="453">
        <v>2064.9</v>
      </c>
      <c r="I62" s="451">
        <v>0</v>
      </c>
      <c r="J62" s="448">
        <v>10466.219999999999</v>
      </c>
      <c r="K62" s="453">
        <v>986.75</v>
      </c>
      <c r="L62" s="448">
        <v>81407.850000000006</v>
      </c>
      <c r="M62" s="422">
        <f t="shared" si="0"/>
        <v>1077690.4999999998</v>
      </c>
      <c r="N62" s="446">
        <v>1991.25</v>
      </c>
      <c r="O62" s="446">
        <v>0</v>
      </c>
      <c r="P62" s="446">
        <v>12867.8</v>
      </c>
      <c r="Q62" s="446">
        <v>2209.84</v>
      </c>
      <c r="R62" s="33">
        <v>12585.7</v>
      </c>
      <c r="S62" s="340"/>
      <c r="T62" s="446"/>
      <c r="U62" s="33">
        <v>6650</v>
      </c>
      <c r="V62" s="446"/>
      <c r="W62" s="33"/>
      <c r="X62" s="417">
        <v>460.45</v>
      </c>
      <c r="Y62" s="328">
        <f t="shared" si="1"/>
        <v>1114455.5399999998</v>
      </c>
      <c r="Z62" s="33"/>
      <c r="AA62" s="33"/>
      <c r="AB62" s="33">
        <v>63353.2</v>
      </c>
      <c r="AC62" s="33"/>
      <c r="AD62" s="33">
        <v>39082</v>
      </c>
      <c r="AE62" s="33">
        <v>56747.199999999997</v>
      </c>
      <c r="AF62" s="33"/>
      <c r="AG62" s="33"/>
      <c r="AH62" s="33"/>
      <c r="AI62" s="33">
        <v>12204.9</v>
      </c>
      <c r="AJ62" s="33"/>
      <c r="AK62" s="33"/>
      <c r="AL62" s="33"/>
      <c r="AM62" s="328">
        <f t="shared" si="2"/>
        <v>171387.3</v>
      </c>
      <c r="AN62" s="371">
        <v>76</v>
      </c>
      <c r="AO62" s="388">
        <v>478</v>
      </c>
      <c r="AP62" s="33">
        <v>-8335.15</v>
      </c>
      <c r="AQ62" s="332"/>
      <c r="AR62" s="33">
        <v>0.01</v>
      </c>
      <c r="AS62" s="340">
        <v>1</v>
      </c>
      <c r="AT62" s="437"/>
      <c r="AU62" s="438"/>
      <c r="AV62" s="436"/>
      <c r="AW62" s="436"/>
      <c r="AX62" s="436"/>
      <c r="AY62" s="436"/>
      <c r="AZ62" s="436"/>
      <c r="BA62" s="436"/>
      <c r="BB62" s="436"/>
      <c r="BC62" s="436"/>
      <c r="BE62" s="383"/>
      <c r="BF62" s="383"/>
      <c r="BG62" s="383"/>
      <c r="BH62" s="383"/>
      <c r="BI62" s="383"/>
      <c r="BJ62" s="383"/>
      <c r="BK62" s="383"/>
      <c r="BL62" s="383"/>
      <c r="BM62" s="383"/>
      <c r="BN62" s="383"/>
      <c r="BO62" s="383"/>
    </row>
    <row r="63" spans="1:67" x14ac:dyDescent="0.25">
      <c r="A63" s="335">
        <v>5492</v>
      </c>
      <c r="B63" s="425" t="s">
        <v>165</v>
      </c>
      <c r="C63" s="446">
        <v>5771014.3600000003</v>
      </c>
      <c r="D63" s="33">
        <v>6087112.8799999999</v>
      </c>
      <c r="E63" s="448"/>
      <c r="F63" s="452">
        <v>0</v>
      </c>
      <c r="G63" s="452">
        <v>-17550.900000000001</v>
      </c>
      <c r="H63" s="453">
        <v>2168.6</v>
      </c>
      <c r="I63" s="451">
        <v>0</v>
      </c>
      <c r="J63" s="448">
        <v>61592.37</v>
      </c>
      <c r="K63" s="453">
        <v>4136.95</v>
      </c>
      <c r="L63" s="448">
        <v>72099.25</v>
      </c>
      <c r="M63" s="422">
        <f t="shared" si="0"/>
        <v>11980573.509999998</v>
      </c>
      <c r="N63" s="446">
        <v>4397.25</v>
      </c>
      <c r="O63" s="446">
        <v>0</v>
      </c>
      <c r="P63" s="446">
        <v>81997.55</v>
      </c>
      <c r="Q63" s="446">
        <v>19146.689999999999</v>
      </c>
      <c r="R63" s="33">
        <v>51307.7</v>
      </c>
      <c r="S63" s="340"/>
      <c r="T63" s="446"/>
      <c r="U63" s="33">
        <v>7740</v>
      </c>
      <c r="V63" s="446"/>
      <c r="W63" s="33"/>
      <c r="X63" s="417">
        <v>23197.1</v>
      </c>
      <c r="Y63" s="328">
        <f t="shared" si="1"/>
        <v>12168359.799999997</v>
      </c>
      <c r="Z63" s="33">
        <v>12925.1</v>
      </c>
      <c r="AA63" s="33"/>
      <c r="AB63" s="33">
        <v>9370</v>
      </c>
      <c r="AC63" s="33"/>
      <c r="AD63" s="33">
        <v>42931.35</v>
      </c>
      <c r="AE63" s="33">
        <v>12875.1</v>
      </c>
      <c r="AF63" s="33"/>
      <c r="AG63" s="33"/>
      <c r="AH63" s="33"/>
      <c r="AI63" s="33">
        <v>44330.3</v>
      </c>
      <c r="AJ63" s="33"/>
      <c r="AK63" s="33"/>
      <c r="AL63" s="33"/>
      <c r="AM63" s="328">
        <f t="shared" si="2"/>
        <v>122431.85</v>
      </c>
      <c r="AN63" s="371">
        <v>64</v>
      </c>
      <c r="AO63" s="388">
        <v>964</v>
      </c>
      <c r="AP63" s="33">
        <v>-15069.2</v>
      </c>
      <c r="AQ63" s="332"/>
      <c r="AR63" s="33">
        <v>-10136.86</v>
      </c>
      <c r="AS63" s="340">
        <v>0.3</v>
      </c>
      <c r="AT63" s="437"/>
      <c r="AU63" s="438"/>
      <c r="AV63" s="436"/>
      <c r="AW63" s="436"/>
      <c r="AX63" s="436"/>
      <c r="AY63" s="436"/>
      <c r="AZ63" s="436"/>
      <c r="BA63" s="436"/>
      <c r="BB63" s="436"/>
      <c r="BC63" s="436"/>
      <c r="BE63" s="383"/>
      <c r="BF63" s="383"/>
      <c r="BG63" s="383"/>
      <c r="BH63" s="383"/>
      <c r="BI63" s="383"/>
      <c r="BJ63" s="383"/>
      <c r="BK63" s="383"/>
      <c r="BL63" s="383"/>
      <c r="BM63" s="383"/>
      <c r="BN63" s="383"/>
      <c r="BO63" s="383"/>
    </row>
    <row r="64" spans="1:67" x14ac:dyDescent="0.25">
      <c r="A64" s="335">
        <v>5493</v>
      </c>
      <c r="B64" s="425" t="s">
        <v>166</v>
      </c>
      <c r="C64" s="446">
        <v>655461.80000000005</v>
      </c>
      <c r="D64" s="33">
        <v>84534.28</v>
      </c>
      <c r="E64" s="448"/>
      <c r="F64" s="452">
        <v>0</v>
      </c>
      <c r="G64" s="452">
        <v>5554.5</v>
      </c>
      <c r="H64" s="453">
        <v>1123.3499999999999</v>
      </c>
      <c r="I64" s="451">
        <v>0</v>
      </c>
      <c r="J64" s="448">
        <v>535</v>
      </c>
      <c r="K64" s="453">
        <v>493.85</v>
      </c>
      <c r="L64" s="448">
        <v>35340.699999999997</v>
      </c>
      <c r="M64" s="422">
        <f t="shared" si="0"/>
        <v>783043.48</v>
      </c>
      <c r="N64" s="446">
        <v>60984.2</v>
      </c>
      <c r="O64" s="446">
        <v>0</v>
      </c>
      <c r="P64" s="446">
        <v>68974.399999999994</v>
      </c>
      <c r="Q64" s="446">
        <v>-13295.07</v>
      </c>
      <c r="R64" s="33">
        <v>65216.95</v>
      </c>
      <c r="S64" s="340"/>
      <c r="T64" s="446"/>
      <c r="U64" s="33">
        <v>1700</v>
      </c>
      <c r="V64" s="446"/>
      <c r="W64" s="33"/>
      <c r="X64" s="417">
        <v>744</v>
      </c>
      <c r="Y64" s="328">
        <f t="shared" si="1"/>
        <v>967367.96</v>
      </c>
      <c r="Z64" s="33">
        <v>66870.7</v>
      </c>
      <c r="AA64" s="33"/>
      <c r="AB64" s="33">
        <v>50473.2</v>
      </c>
      <c r="AC64" s="33"/>
      <c r="AD64" s="33">
        <v>23517.5</v>
      </c>
      <c r="AE64" s="33"/>
      <c r="AF64" s="33"/>
      <c r="AG64" s="33"/>
      <c r="AH64" s="33"/>
      <c r="AI64" s="33"/>
      <c r="AJ64" s="33"/>
      <c r="AK64" s="33"/>
      <c r="AL64" s="33"/>
      <c r="AM64" s="328">
        <f t="shared" si="2"/>
        <v>140861.4</v>
      </c>
      <c r="AN64" s="371">
        <v>73</v>
      </c>
      <c r="AO64" s="388">
        <v>416</v>
      </c>
      <c r="AP64" s="33">
        <v>-10640.7</v>
      </c>
      <c r="AQ64" s="332"/>
      <c r="AR64" s="33">
        <v>-10.91</v>
      </c>
      <c r="AS64" s="340">
        <v>0.65</v>
      </c>
      <c r="AT64" s="437"/>
      <c r="AU64" s="438"/>
      <c r="AV64" s="436"/>
      <c r="AW64" s="436"/>
      <c r="AX64" s="436"/>
      <c r="AY64" s="436"/>
      <c r="AZ64" s="436"/>
      <c r="BA64" s="436"/>
      <c r="BB64" s="436"/>
      <c r="BC64" s="436"/>
      <c r="BE64" s="383"/>
      <c r="BF64" s="383"/>
      <c r="BG64" s="383"/>
      <c r="BH64" s="383"/>
      <c r="BI64" s="383"/>
      <c r="BJ64" s="383"/>
      <c r="BK64" s="383"/>
      <c r="BL64" s="383"/>
      <c r="BM64" s="383"/>
      <c r="BN64" s="383"/>
      <c r="BO64" s="383"/>
    </row>
    <row r="65" spans="1:67" x14ac:dyDescent="0.25">
      <c r="A65" s="335">
        <v>5494</v>
      </c>
      <c r="B65" s="425" t="s">
        <v>167</v>
      </c>
      <c r="C65" s="446">
        <v>2190260.59</v>
      </c>
      <c r="D65" s="33">
        <v>316179.21000000002</v>
      </c>
      <c r="E65" s="448"/>
      <c r="F65" s="452">
        <v>0</v>
      </c>
      <c r="G65" s="452">
        <v>22083</v>
      </c>
      <c r="H65" s="453">
        <v>3348.85</v>
      </c>
      <c r="I65" s="451">
        <v>0</v>
      </c>
      <c r="J65" s="448">
        <v>57927.27</v>
      </c>
      <c r="K65" s="453">
        <v>2544.5500000000002</v>
      </c>
      <c r="L65" s="448">
        <v>222574.9</v>
      </c>
      <c r="M65" s="422">
        <f t="shared" si="0"/>
        <v>2814918.3699999996</v>
      </c>
      <c r="N65" s="446">
        <v>30402.1</v>
      </c>
      <c r="O65" s="446">
        <v>112000</v>
      </c>
      <c r="P65" s="446">
        <v>58784.3</v>
      </c>
      <c r="Q65" s="446">
        <v>469.33</v>
      </c>
      <c r="R65" s="33">
        <v>8655.5</v>
      </c>
      <c r="S65" s="340"/>
      <c r="T65" s="446">
        <v>4253.6000000000004</v>
      </c>
      <c r="U65" s="33">
        <v>6760</v>
      </c>
      <c r="V65" s="446"/>
      <c r="W65" s="33"/>
      <c r="X65" s="417">
        <v>6355.55</v>
      </c>
      <c r="Y65" s="328">
        <f t="shared" si="1"/>
        <v>3042598.7499999995</v>
      </c>
      <c r="Z65" s="33">
        <v>70132.039999999994</v>
      </c>
      <c r="AA65" s="33">
        <v>4233.33</v>
      </c>
      <c r="AB65" s="33">
        <v>149846.41</v>
      </c>
      <c r="AC65" s="33">
        <v>0</v>
      </c>
      <c r="AD65" s="33">
        <v>121588.76</v>
      </c>
      <c r="AE65" s="33">
        <v>68209.03</v>
      </c>
      <c r="AF65" s="33">
        <v>1556.83</v>
      </c>
      <c r="AG65" s="33">
        <v>0</v>
      </c>
      <c r="AH65" s="33">
        <v>0</v>
      </c>
      <c r="AI65" s="33">
        <v>0</v>
      </c>
      <c r="AJ65" s="33">
        <v>0</v>
      </c>
      <c r="AK65" s="33">
        <v>0</v>
      </c>
      <c r="AL65" s="33">
        <v>0</v>
      </c>
      <c r="AM65" s="328">
        <f t="shared" si="2"/>
        <v>415566.39999999997</v>
      </c>
      <c r="AN65" s="371">
        <v>75</v>
      </c>
      <c r="AO65" s="388">
        <v>1103</v>
      </c>
      <c r="AP65" s="33">
        <v>-34901.949999999997</v>
      </c>
      <c r="AQ65" s="332"/>
      <c r="AR65" s="33">
        <v>-571.75</v>
      </c>
      <c r="AS65" s="340">
        <v>1.05</v>
      </c>
      <c r="AT65" s="437"/>
      <c r="AU65" s="438"/>
      <c r="AV65" s="436"/>
      <c r="AW65" s="436"/>
      <c r="AX65" s="436"/>
      <c r="AY65" s="436"/>
      <c r="AZ65" s="436"/>
      <c r="BA65" s="436"/>
      <c r="BB65" s="436"/>
      <c r="BC65" s="436"/>
      <c r="BE65" s="383"/>
      <c r="BF65" s="383"/>
      <c r="BG65" s="383"/>
      <c r="BH65" s="383"/>
      <c r="BI65" s="383"/>
      <c r="BJ65" s="383"/>
      <c r="BK65" s="383"/>
      <c r="BL65" s="383"/>
      <c r="BM65" s="383"/>
      <c r="BN65" s="383"/>
      <c r="BO65" s="383"/>
    </row>
    <row r="66" spans="1:67" x14ac:dyDescent="0.25">
      <c r="A66" s="335">
        <v>5495</v>
      </c>
      <c r="B66" s="425" t="s">
        <v>168</v>
      </c>
      <c r="C66" s="446">
        <v>5513577.4100000001</v>
      </c>
      <c r="D66" s="33">
        <v>628520.80000000005</v>
      </c>
      <c r="E66" s="448"/>
      <c r="F66" s="452">
        <v>0</v>
      </c>
      <c r="G66" s="452">
        <v>130709</v>
      </c>
      <c r="H66" s="453">
        <v>3846.8</v>
      </c>
      <c r="I66" s="451">
        <v>74140.240000000005</v>
      </c>
      <c r="J66" s="448">
        <v>191151.18</v>
      </c>
      <c r="K66" s="453">
        <v>73744.45</v>
      </c>
      <c r="L66" s="448">
        <v>480901.45</v>
      </c>
      <c r="M66" s="422">
        <f t="shared" si="0"/>
        <v>7096591.3300000001</v>
      </c>
      <c r="N66" s="446">
        <v>195025.4</v>
      </c>
      <c r="O66" s="446">
        <v>61758.3</v>
      </c>
      <c r="P66" s="446">
        <v>193102.2</v>
      </c>
      <c r="Q66" s="446">
        <v>62267.76</v>
      </c>
      <c r="R66" s="33">
        <v>64511.6</v>
      </c>
      <c r="S66" s="340">
        <v>10649.65</v>
      </c>
      <c r="T66" s="446"/>
      <c r="U66" s="33">
        <v>11580</v>
      </c>
      <c r="V66" s="446"/>
      <c r="W66" s="33"/>
      <c r="X66" s="417">
        <v>35569.199999999997</v>
      </c>
      <c r="Y66" s="328">
        <f t="shared" si="1"/>
        <v>7731055.4400000004</v>
      </c>
      <c r="Z66" s="33">
        <v>6734.05</v>
      </c>
      <c r="AA66" s="33"/>
      <c r="AB66" s="33">
        <v>76946.45</v>
      </c>
      <c r="AC66" s="33">
        <v>472407.15</v>
      </c>
      <c r="AD66" s="33">
        <v>256538.65</v>
      </c>
      <c r="AE66" s="33">
        <v>2975.1</v>
      </c>
      <c r="AF66" s="33"/>
      <c r="AG66" s="33"/>
      <c r="AH66" s="33">
        <v>8818.5</v>
      </c>
      <c r="AI66" s="33">
        <v>74669.2</v>
      </c>
      <c r="AJ66" s="33"/>
      <c r="AK66" s="33"/>
      <c r="AL66" s="33">
        <v>21334.05</v>
      </c>
      <c r="AM66" s="328">
        <f t="shared" si="2"/>
        <v>920423.15</v>
      </c>
      <c r="AN66" s="371">
        <v>74</v>
      </c>
      <c r="AO66" s="388">
        <v>3257</v>
      </c>
      <c r="AP66" s="33">
        <v>-138234.69</v>
      </c>
      <c r="AQ66" s="332"/>
      <c r="AR66" s="33">
        <v>-1455.81</v>
      </c>
      <c r="AS66" s="340">
        <v>1</v>
      </c>
      <c r="AT66" s="437"/>
      <c r="AU66" s="438"/>
      <c r="AV66" s="436"/>
      <c r="AW66" s="436"/>
      <c r="AX66" s="436"/>
      <c r="AY66" s="436"/>
      <c r="AZ66" s="436"/>
      <c r="BA66" s="436"/>
      <c r="BB66" s="436"/>
      <c r="BC66" s="436"/>
      <c r="BE66" s="383"/>
      <c r="BF66" s="383"/>
      <c r="BG66" s="383"/>
      <c r="BH66" s="383"/>
      <c r="BI66" s="383"/>
      <c r="BJ66" s="383"/>
      <c r="BK66" s="383"/>
      <c r="BL66" s="383"/>
      <c r="BM66" s="383"/>
      <c r="BN66" s="383"/>
      <c r="BO66" s="383"/>
    </row>
    <row r="67" spans="1:67" x14ac:dyDescent="0.25">
      <c r="A67" s="335">
        <v>5496</v>
      </c>
      <c r="B67" s="425" t="s">
        <v>169</v>
      </c>
      <c r="C67" s="446">
        <v>3415816.46</v>
      </c>
      <c r="D67" s="33">
        <v>347147.15</v>
      </c>
      <c r="E67" s="448"/>
      <c r="F67" s="452">
        <v>0</v>
      </c>
      <c r="G67" s="452">
        <v>93534.399999999994</v>
      </c>
      <c r="H67" s="453">
        <v>12553.05</v>
      </c>
      <c r="I67" s="451">
        <v>0</v>
      </c>
      <c r="J67" s="448">
        <v>99718.43</v>
      </c>
      <c r="K67" s="453">
        <v>19664.349999999999</v>
      </c>
      <c r="L67" s="448">
        <v>317459.15000000002</v>
      </c>
      <c r="M67" s="422">
        <f t="shared" si="0"/>
        <v>4305892.99</v>
      </c>
      <c r="N67" s="446">
        <v>81094.8</v>
      </c>
      <c r="O67" s="446">
        <v>3099.4</v>
      </c>
      <c r="P67" s="446">
        <v>206416.85</v>
      </c>
      <c r="Q67" s="446">
        <v>6115.95</v>
      </c>
      <c r="R67" s="33">
        <v>176577.95</v>
      </c>
      <c r="S67" s="340">
        <v>250</v>
      </c>
      <c r="T67" s="446"/>
      <c r="U67" s="33">
        <v>12700</v>
      </c>
      <c r="V67" s="446"/>
      <c r="W67" s="33"/>
      <c r="X67" s="417">
        <v>23081.1</v>
      </c>
      <c r="Y67" s="328">
        <f t="shared" si="1"/>
        <v>4815229.04</v>
      </c>
      <c r="Z67" s="33">
        <v>83348.25</v>
      </c>
      <c r="AA67" s="33">
        <v>0</v>
      </c>
      <c r="AB67" s="33">
        <v>0</v>
      </c>
      <c r="AC67" s="33">
        <v>234131.6</v>
      </c>
      <c r="AD67" s="33">
        <v>105475</v>
      </c>
      <c r="AE67" s="33">
        <v>81008.25</v>
      </c>
      <c r="AF67" s="33">
        <v>0</v>
      </c>
      <c r="AG67" s="33">
        <v>0</v>
      </c>
      <c r="AH67" s="33">
        <v>5779.6</v>
      </c>
      <c r="AI67" s="33">
        <v>48060.55</v>
      </c>
      <c r="AJ67" s="33">
        <v>0</v>
      </c>
      <c r="AK67" s="33">
        <v>0</v>
      </c>
      <c r="AL67" s="33">
        <v>0</v>
      </c>
      <c r="AM67" s="328">
        <f t="shared" si="2"/>
        <v>557803.25</v>
      </c>
      <c r="AN67" s="371">
        <v>71</v>
      </c>
      <c r="AO67" s="388">
        <v>1760</v>
      </c>
      <c r="AP67" s="33">
        <v>-112333.43</v>
      </c>
      <c r="AQ67" s="332"/>
      <c r="AR67" s="33">
        <v>-332.66</v>
      </c>
      <c r="AS67" s="340">
        <v>1</v>
      </c>
      <c r="AT67" s="437"/>
      <c r="AU67" s="438"/>
      <c r="AV67" s="436"/>
      <c r="AW67" s="436"/>
      <c r="AX67" s="436"/>
      <c r="AY67" s="436"/>
      <c r="AZ67" s="436"/>
      <c r="BA67" s="436"/>
      <c r="BB67" s="436"/>
      <c r="BC67" s="436"/>
      <c r="BE67" s="383"/>
      <c r="BF67" s="383"/>
      <c r="BG67" s="383"/>
      <c r="BH67" s="383"/>
      <c r="BI67" s="383"/>
      <c r="BJ67" s="383"/>
      <c r="BK67" s="383"/>
      <c r="BL67" s="383"/>
      <c r="BM67" s="383"/>
      <c r="BN67" s="383"/>
      <c r="BO67" s="383"/>
    </row>
    <row r="68" spans="1:67" x14ac:dyDescent="0.25">
      <c r="A68" s="335">
        <v>5497</v>
      </c>
      <c r="B68" s="425" t="s">
        <v>170</v>
      </c>
      <c r="C68" s="446">
        <v>1024834.16</v>
      </c>
      <c r="D68" s="33">
        <v>144199</v>
      </c>
      <c r="E68" s="448"/>
      <c r="F68" s="452">
        <v>0</v>
      </c>
      <c r="G68" s="452">
        <v>201736.55</v>
      </c>
      <c r="H68" s="453">
        <v>1834.5</v>
      </c>
      <c r="I68" s="451">
        <v>0</v>
      </c>
      <c r="J68" s="448">
        <v>33423.17</v>
      </c>
      <c r="K68" s="453">
        <v>-19719.25</v>
      </c>
      <c r="L68" s="448">
        <v>128371.85</v>
      </c>
      <c r="M68" s="422">
        <f t="shared" si="0"/>
        <v>1514679.9800000002</v>
      </c>
      <c r="N68" s="446">
        <v>197354.2</v>
      </c>
      <c r="O68" s="446">
        <v>25970.9</v>
      </c>
      <c r="P68" s="446">
        <v>21630.5</v>
      </c>
      <c r="Q68" s="446">
        <v>2138.46</v>
      </c>
      <c r="R68" s="33">
        <v>74622.350000000006</v>
      </c>
      <c r="S68" s="340"/>
      <c r="T68" s="446"/>
      <c r="U68" s="33">
        <v>3250</v>
      </c>
      <c r="V68" s="446"/>
      <c r="W68" s="33"/>
      <c r="X68" s="417">
        <v>1594.3</v>
      </c>
      <c r="Y68" s="328">
        <f t="shared" si="1"/>
        <v>1841240.6900000002</v>
      </c>
      <c r="Z68" s="33">
        <v>15410</v>
      </c>
      <c r="AA68" s="33" t="s">
        <v>599</v>
      </c>
      <c r="AB68" s="33">
        <v>94236.15</v>
      </c>
      <c r="AC68" s="33" t="s">
        <v>599</v>
      </c>
      <c r="AD68" s="33">
        <v>94378</v>
      </c>
      <c r="AE68" s="33" t="s">
        <v>599</v>
      </c>
      <c r="AF68" s="33" t="s">
        <v>599</v>
      </c>
      <c r="AG68" s="33" t="s">
        <v>599</v>
      </c>
      <c r="AH68" s="33" t="s">
        <v>599</v>
      </c>
      <c r="AI68" s="33">
        <v>31268.7</v>
      </c>
      <c r="AJ68" s="33"/>
      <c r="AK68" s="33"/>
      <c r="AL68" s="33"/>
      <c r="AM68" s="328">
        <f t="shared" si="2"/>
        <v>235292.85</v>
      </c>
      <c r="AN68" s="371">
        <v>66</v>
      </c>
      <c r="AO68" s="388">
        <v>851</v>
      </c>
      <c r="AP68" s="33">
        <v>-46507.19</v>
      </c>
      <c r="AQ68" s="332"/>
      <c r="AR68" s="33">
        <v>-48.89</v>
      </c>
      <c r="AS68" s="340">
        <v>1</v>
      </c>
      <c r="AT68" s="437"/>
      <c r="AU68" s="438"/>
      <c r="AV68" s="436"/>
      <c r="AW68" s="436"/>
      <c r="AX68" s="436"/>
      <c r="AY68" s="436"/>
      <c r="AZ68" s="436"/>
      <c r="BA68" s="436"/>
      <c r="BB68" s="436"/>
      <c r="BC68" s="436"/>
      <c r="BE68" s="383"/>
      <c r="BF68" s="383"/>
      <c r="BG68" s="383"/>
      <c r="BH68" s="383"/>
      <c r="BI68" s="383"/>
      <c r="BJ68" s="383"/>
      <c r="BK68" s="383"/>
      <c r="BL68" s="383"/>
      <c r="BM68" s="383"/>
      <c r="BN68" s="383"/>
      <c r="BO68" s="383"/>
    </row>
    <row r="69" spans="1:67" x14ac:dyDescent="0.25">
      <c r="A69" s="335">
        <v>5498</v>
      </c>
      <c r="B69" s="425" t="s">
        <v>171</v>
      </c>
      <c r="C69" s="446">
        <v>4135695.08</v>
      </c>
      <c r="D69" s="33">
        <v>464808.07</v>
      </c>
      <c r="E69" s="448"/>
      <c r="F69" s="452">
        <v>0</v>
      </c>
      <c r="G69" s="452">
        <v>62863</v>
      </c>
      <c r="H69" s="453">
        <v>4705.1499999999996</v>
      </c>
      <c r="I69" s="451">
        <v>0</v>
      </c>
      <c r="J69" s="448">
        <v>119831.07</v>
      </c>
      <c r="K69" s="453">
        <v>17932.150000000001</v>
      </c>
      <c r="L69" s="448">
        <v>389845.35</v>
      </c>
      <c r="M69" s="422">
        <f t="shared" si="0"/>
        <v>5195679.870000001</v>
      </c>
      <c r="N69" s="446">
        <v>75092.25</v>
      </c>
      <c r="O69" s="446">
        <v>0</v>
      </c>
      <c r="P69" s="446">
        <v>240098.25</v>
      </c>
      <c r="Q69" s="446">
        <v>15298.33</v>
      </c>
      <c r="R69" s="33">
        <v>278979.7</v>
      </c>
      <c r="S69" s="340">
        <v>1150</v>
      </c>
      <c r="T69" s="446">
        <v>9871.4500000000007</v>
      </c>
      <c r="U69" s="33">
        <v>19000</v>
      </c>
      <c r="V69" s="446"/>
      <c r="W69" s="33"/>
      <c r="X69" s="417">
        <v>24219.8</v>
      </c>
      <c r="Y69" s="328">
        <f t="shared" si="1"/>
        <v>5859389.6500000013</v>
      </c>
      <c r="Z69" s="33">
        <v>18646.2</v>
      </c>
      <c r="AA69" s="33"/>
      <c r="AB69" s="33">
        <v>262252.40000000002</v>
      </c>
      <c r="AC69" s="33"/>
      <c r="AD69" s="33">
        <v>289668.23</v>
      </c>
      <c r="AE69" s="33"/>
      <c r="AF69" s="33"/>
      <c r="AG69" s="33"/>
      <c r="AH69" s="33"/>
      <c r="AI69" s="33">
        <v>66622</v>
      </c>
      <c r="AJ69" s="33"/>
      <c r="AK69" s="33"/>
      <c r="AL69" s="33"/>
      <c r="AM69" s="328">
        <f t="shared" si="2"/>
        <v>637188.83000000007</v>
      </c>
      <c r="AN69" s="371">
        <v>66</v>
      </c>
      <c r="AO69" s="388">
        <v>2651</v>
      </c>
      <c r="AP69" s="33">
        <v>-109867.94</v>
      </c>
      <c r="AQ69" s="332"/>
      <c r="AR69" s="33">
        <v>-469.77</v>
      </c>
      <c r="AS69" s="340">
        <v>1</v>
      </c>
      <c r="AT69" s="437"/>
      <c r="AU69" s="438"/>
      <c r="AV69" s="436"/>
      <c r="AW69" s="436"/>
      <c r="AX69" s="436"/>
      <c r="AY69" s="436"/>
      <c r="AZ69" s="436"/>
      <c r="BA69" s="436"/>
      <c r="BB69" s="436"/>
      <c r="BC69" s="436"/>
      <c r="BE69" s="383"/>
      <c r="BF69" s="383"/>
      <c r="BG69" s="383"/>
      <c r="BH69" s="383"/>
      <c r="BI69" s="383"/>
      <c r="BJ69" s="383"/>
      <c r="BK69" s="383"/>
      <c r="BL69" s="383"/>
      <c r="BM69" s="383"/>
      <c r="BN69" s="383"/>
      <c r="BO69" s="383"/>
    </row>
    <row r="70" spans="1:67" x14ac:dyDescent="0.25">
      <c r="A70" s="335">
        <v>5499</v>
      </c>
      <c r="B70" s="425" t="s">
        <v>172</v>
      </c>
      <c r="C70" s="446">
        <v>1106750.5</v>
      </c>
      <c r="D70" s="33">
        <v>93905.34</v>
      </c>
      <c r="E70" s="448"/>
      <c r="F70" s="452">
        <v>0</v>
      </c>
      <c r="G70" s="452">
        <v>22305.55</v>
      </c>
      <c r="H70" s="453">
        <v>995.9</v>
      </c>
      <c r="I70" s="451">
        <v>0</v>
      </c>
      <c r="J70" s="448">
        <v>14365.9</v>
      </c>
      <c r="K70" s="453">
        <v>0</v>
      </c>
      <c r="L70" s="448">
        <v>94513.600000000006</v>
      </c>
      <c r="M70" s="422">
        <f t="shared" si="0"/>
        <v>1332836.79</v>
      </c>
      <c r="N70" s="446">
        <v>8008.2</v>
      </c>
      <c r="O70" s="446">
        <v>30687.8</v>
      </c>
      <c r="P70" s="446">
        <v>49534.15</v>
      </c>
      <c r="Q70" s="446">
        <v>1395.65</v>
      </c>
      <c r="R70" s="33">
        <v>35226.699999999997</v>
      </c>
      <c r="S70" s="340"/>
      <c r="T70" s="446">
        <v>100</v>
      </c>
      <c r="U70" s="33">
        <v>1625</v>
      </c>
      <c r="V70" s="446"/>
      <c r="W70" s="33"/>
      <c r="X70" s="417">
        <v>3393.85</v>
      </c>
      <c r="Y70" s="328">
        <f t="shared" si="1"/>
        <v>1462808.14</v>
      </c>
      <c r="Z70" s="33">
        <v>10789.9</v>
      </c>
      <c r="AA70" s="33" t="s">
        <v>599</v>
      </c>
      <c r="AB70" s="33">
        <v>35020</v>
      </c>
      <c r="AC70" s="33" t="s">
        <v>599</v>
      </c>
      <c r="AD70" s="33">
        <v>43996.4</v>
      </c>
      <c r="AE70" s="33">
        <v>10789.9</v>
      </c>
      <c r="AF70" s="33" t="s">
        <v>599</v>
      </c>
      <c r="AG70" s="33" t="s">
        <v>599</v>
      </c>
      <c r="AH70" s="33" t="s">
        <v>599</v>
      </c>
      <c r="AI70" s="33"/>
      <c r="AJ70" s="33"/>
      <c r="AK70" s="33"/>
      <c r="AL70" s="33"/>
      <c r="AM70" s="328">
        <f t="shared" si="2"/>
        <v>100596.2</v>
      </c>
      <c r="AN70" s="371">
        <v>68.5</v>
      </c>
      <c r="AO70" s="388">
        <v>477</v>
      </c>
      <c r="AP70" s="33">
        <v>-234.76</v>
      </c>
      <c r="AQ70" s="332"/>
      <c r="AR70" s="33">
        <v>-451.45</v>
      </c>
      <c r="AS70" s="340">
        <v>1</v>
      </c>
      <c r="AT70" s="437"/>
      <c r="AU70" s="438"/>
      <c r="AV70" s="436"/>
      <c r="AW70" s="436"/>
      <c r="AX70" s="436"/>
      <c r="AY70" s="436"/>
      <c r="AZ70" s="436"/>
      <c r="BA70" s="436"/>
      <c r="BB70" s="436"/>
      <c r="BC70" s="436"/>
      <c r="BE70" s="383"/>
      <c r="BF70" s="383"/>
      <c r="BG70" s="383"/>
      <c r="BH70" s="383"/>
      <c r="BI70" s="383"/>
      <c r="BJ70" s="383"/>
      <c r="BK70" s="383"/>
      <c r="BL70" s="383"/>
      <c r="BM70" s="383"/>
      <c r="BN70" s="383"/>
      <c r="BO70" s="383"/>
    </row>
    <row r="71" spans="1:67" x14ac:dyDescent="0.25">
      <c r="A71" s="335">
        <v>5500</v>
      </c>
      <c r="B71" s="425" t="s">
        <v>173</v>
      </c>
      <c r="C71" s="446">
        <v>401293.28</v>
      </c>
      <c r="D71" s="33">
        <v>80915.05</v>
      </c>
      <c r="E71" s="448"/>
      <c r="F71" s="452">
        <v>0</v>
      </c>
      <c r="G71" s="452">
        <v>-1420.35</v>
      </c>
      <c r="H71" s="453">
        <v>573.1</v>
      </c>
      <c r="I71" s="451">
        <v>0</v>
      </c>
      <c r="J71" s="448">
        <v>8545.81</v>
      </c>
      <c r="K71" s="453">
        <v>153.94999999999999</v>
      </c>
      <c r="L71" s="448">
        <v>50710.1</v>
      </c>
      <c r="M71" s="422">
        <f t="shared" ref="M71:M134" si="3">SUM(C71:L71)</f>
        <v>540770.94000000006</v>
      </c>
      <c r="N71" s="446">
        <v>0</v>
      </c>
      <c r="O71" s="446">
        <v>0</v>
      </c>
      <c r="P71" s="446">
        <v>23221</v>
      </c>
      <c r="Q71" s="446">
        <v>0</v>
      </c>
      <c r="R71" s="33">
        <v>8574.25</v>
      </c>
      <c r="S71" s="340"/>
      <c r="T71" s="446"/>
      <c r="U71" s="33">
        <v>1400</v>
      </c>
      <c r="V71" s="446"/>
      <c r="W71" s="33"/>
      <c r="X71" s="417">
        <v>721.35</v>
      </c>
      <c r="Y71" s="328">
        <f t="shared" si="1"/>
        <v>574687.54</v>
      </c>
      <c r="Z71" s="33">
        <v>-121.2</v>
      </c>
      <c r="AA71" s="33"/>
      <c r="AB71" s="33">
        <v>28617.8</v>
      </c>
      <c r="AC71" s="33"/>
      <c r="AD71" s="33">
        <v>22282.400000000001</v>
      </c>
      <c r="AE71" s="33">
        <v>-66.099999999999994</v>
      </c>
      <c r="AF71" s="33"/>
      <c r="AG71" s="33"/>
      <c r="AH71" s="33"/>
      <c r="AI71" s="33"/>
      <c r="AJ71" s="33"/>
      <c r="AK71" s="33"/>
      <c r="AL71" s="33"/>
      <c r="AM71" s="328">
        <f t="shared" si="2"/>
        <v>50712.9</v>
      </c>
      <c r="AN71" s="371">
        <v>75</v>
      </c>
      <c r="AO71" s="388">
        <v>227</v>
      </c>
      <c r="AP71" s="33">
        <v>-8113.74</v>
      </c>
      <c r="AQ71" s="332"/>
      <c r="AR71" s="33">
        <v>0</v>
      </c>
      <c r="AS71" s="340">
        <v>1.2</v>
      </c>
      <c r="AT71" s="437"/>
      <c r="AU71" s="438"/>
      <c r="AV71" s="436"/>
      <c r="AW71" s="436"/>
      <c r="AX71" s="436"/>
      <c r="AY71" s="436"/>
      <c r="AZ71" s="436"/>
      <c r="BA71" s="436"/>
      <c r="BB71" s="436"/>
      <c r="BC71" s="436"/>
      <c r="BE71" s="383"/>
      <c r="BF71" s="383"/>
      <c r="BG71" s="383"/>
      <c r="BH71" s="383"/>
      <c r="BI71" s="383"/>
      <c r="BJ71" s="383"/>
      <c r="BK71" s="383"/>
      <c r="BL71" s="383"/>
      <c r="BM71" s="383"/>
      <c r="BN71" s="383"/>
      <c r="BO71" s="383"/>
    </row>
    <row r="72" spans="1:67" x14ac:dyDescent="0.25">
      <c r="A72" s="335">
        <v>5501</v>
      </c>
      <c r="B72" s="425" t="s">
        <v>174</v>
      </c>
      <c r="C72" s="446">
        <v>2114059.5</v>
      </c>
      <c r="D72" s="33">
        <v>439994.15</v>
      </c>
      <c r="E72" s="448"/>
      <c r="F72" s="452">
        <v>0</v>
      </c>
      <c r="G72" s="452">
        <v>11929.5</v>
      </c>
      <c r="H72" s="453">
        <v>849.5</v>
      </c>
      <c r="I72" s="451">
        <v>38474.65</v>
      </c>
      <c r="J72" s="448">
        <v>26794.66</v>
      </c>
      <c r="K72" s="453">
        <v>0</v>
      </c>
      <c r="L72" s="448">
        <v>221797.75</v>
      </c>
      <c r="M72" s="422">
        <f t="shared" si="3"/>
        <v>2853899.71</v>
      </c>
      <c r="N72" s="446">
        <v>5708.9</v>
      </c>
      <c r="O72" s="446">
        <v>0</v>
      </c>
      <c r="P72" s="446">
        <v>97828.7</v>
      </c>
      <c r="Q72" s="446">
        <v>3221.46</v>
      </c>
      <c r="R72" s="33">
        <v>79520.3</v>
      </c>
      <c r="S72" s="340"/>
      <c r="T72" s="446"/>
      <c r="U72" s="33">
        <v>3700</v>
      </c>
      <c r="V72" s="446"/>
      <c r="W72" s="33"/>
      <c r="X72" s="417">
        <v>5392.65</v>
      </c>
      <c r="Y72" s="328">
        <f t="shared" ref="Y72:Y135" si="4">SUM(M72:X72)</f>
        <v>3049271.7199999997</v>
      </c>
      <c r="Z72" s="33">
        <v>99725.05</v>
      </c>
      <c r="AA72" s="33" t="s">
        <v>599</v>
      </c>
      <c r="AB72" s="33">
        <v>120607.2</v>
      </c>
      <c r="AC72" s="33" t="s">
        <v>599</v>
      </c>
      <c r="AD72" s="33">
        <v>114224.2</v>
      </c>
      <c r="AE72" s="33">
        <v>166908</v>
      </c>
      <c r="AF72" s="33"/>
      <c r="AG72" s="33"/>
      <c r="AH72" s="33"/>
      <c r="AI72" s="33"/>
      <c r="AJ72" s="33"/>
      <c r="AK72" s="33"/>
      <c r="AL72" s="33"/>
      <c r="AM72" s="328">
        <f t="shared" ref="AM72:AM135" si="5">SUM(Z72:AL72)</f>
        <v>501464.45</v>
      </c>
      <c r="AN72" s="371">
        <v>70</v>
      </c>
      <c r="AO72" s="388">
        <v>1035</v>
      </c>
      <c r="AP72" s="33">
        <v>-28998.23</v>
      </c>
      <c r="AQ72" s="332"/>
      <c r="AR72" s="33">
        <v>-355.29</v>
      </c>
      <c r="AS72" s="340">
        <v>1</v>
      </c>
      <c r="AT72" s="437"/>
      <c r="AU72" s="438"/>
      <c r="AV72" s="436"/>
      <c r="AW72" s="436"/>
      <c r="AX72" s="436"/>
      <c r="AY72" s="436"/>
      <c r="AZ72" s="436"/>
      <c r="BA72" s="436"/>
      <c r="BB72" s="436"/>
      <c r="BC72" s="436"/>
      <c r="BE72" s="383"/>
      <c r="BF72" s="383"/>
      <c r="BG72" s="383"/>
      <c r="BH72" s="383"/>
      <c r="BI72" s="383"/>
      <c r="BJ72" s="383"/>
      <c r="BK72" s="383"/>
      <c r="BL72" s="383"/>
      <c r="BM72" s="383"/>
      <c r="BN72" s="383"/>
      <c r="BO72" s="383"/>
    </row>
    <row r="73" spans="1:67" x14ac:dyDescent="0.25">
      <c r="A73" s="335">
        <v>5503</v>
      </c>
      <c r="B73" s="425" t="s">
        <v>175</v>
      </c>
      <c r="C73" s="446">
        <v>3973249.97</v>
      </c>
      <c r="D73" s="33">
        <v>585326.51</v>
      </c>
      <c r="E73" s="448"/>
      <c r="F73" s="452">
        <v>0</v>
      </c>
      <c r="G73" s="452">
        <v>877454.7</v>
      </c>
      <c r="H73" s="453">
        <v>20430.150000000001</v>
      </c>
      <c r="I73" s="451">
        <v>0</v>
      </c>
      <c r="J73" s="448">
        <v>-6530.17</v>
      </c>
      <c r="K73" s="453">
        <v>14177.8</v>
      </c>
      <c r="L73" s="448">
        <v>444046.8</v>
      </c>
      <c r="M73" s="422">
        <f t="shared" si="3"/>
        <v>5908155.7600000007</v>
      </c>
      <c r="N73" s="446">
        <v>86713.7</v>
      </c>
      <c r="O73" s="446">
        <v>8647</v>
      </c>
      <c r="P73" s="446">
        <v>108087.95</v>
      </c>
      <c r="Q73" s="446">
        <v>1740.47</v>
      </c>
      <c r="R73" s="33">
        <v>244724.9</v>
      </c>
      <c r="S73" s="340"/>
      <c r="T73" s="446"/>
      <c r="U73" s="33">
        <v>7560</v>
      </c>
      <c r="V73" s="446"/>
      <c r="W73" s="33"/>
      <c r="X73" s="417">
        <v>76519.850000000006</v>
      </c>
      <c r="Y73" s="328">
        <f t="shared" si="4"/>
        <v>6442149.6300000008</v>
      </c>
      <c r="Z73" s="33">
        <v>89242.4</v>
      </c>
      <c r="AA73" s="33"/>
      <c r="AB73" s="33">
        <v>191277.35</v>
      </c>
      <c r="AC73" s="33"/>
      <c r="AD73" s="33">
        <v>138778.9</v>
      </c>
      <c r="AE73" s="33">
        <v>229834.65</v>
      </c>
      <c r="AF73" s="33"/>
      <c r="AG73" s="33"/>
      <c r="AH73" s="33"/>
      <c r="AI73" s="33"/>
      <c r="AJ73" s="33"/>
      <c r="AK73" s="33"/>
      <c r="AL73" s="33"/>
      <c r="AM73" s="328">
        <f t="shared" si="5"/>
        <v>649133.30000000005</v>
      </c>
      <c r="AN73" s="371">
        <v>67</v>
      </c>
      <c r="AO73" s="388">
        <v>1295</v>
      </c>
      <c r="AP73" s="33">
        <v>-20664.37</v>
      </c>
      <c r="AQ73" s="332"/>
      <c r="AR73" s="33">
        <v>-674.01</v>
      </c>
      <c r="AS73" s="340">
        <v>1.2</v>
      </c>
      <c r="AT73" s="437"/>
      <c r="AU73" s="438"/>
      <c r="AV73" s="436"/>
      <c r="AW73" s="436"/>
      <c r="AX73" s="436"/>
      <c r="AY73" s="436"/>
      <c r="AZ73" s="436"/>
      <c r="BA73" s="436"/>
      <c r="BB73" s="436"/>
      <c r="BC73" s="436"/>
      <c r="BE73" s="383"/>
      <c r="BF73" s="383"/>
      <c r="BG73" s="383"/>
      <c r="BH73" s="383"/>
      <c r="BI73" s="383"/>
      <c r="BJ73" s="383"/>
      <c r="BK73" s="383"/>
      <c r="BL73" s="383"/>
      <c r="BM73" s="383"/>
      <c r="BN73" s="383"/>
      <c r="BO73" s="383"/>
    </row>
    <row r="74" spans="1:67" x14ac:dyDescent="0.25">
      <c r="A74" s="335">
        <v>5511</v>
      </c>
      <c r="B74" s="425" t="s">
        <v>176</v>
      </c>
      <c r="C74" s="446">
        <v>2354425.2999999998</v>
      </c>
      <c r="D74" s="33">
        <v>421925.66</v>
      </c>
      <c r="E74" s="448"/>
      <c r="F74" s="452">
        <v>0</v>
      </c>
      <c r="G74" s="452">
        <v>402126.35</v>
      </c>
      <c r="H74" s="453">
        <v>3819.15</v>
      </c>
      <c r="I74" s="451">
        <v>0</v>
      </c>
      <c r="J74" s="448">
        <v>38822.199999999997</v>
      </c>
      <c r="K74" s="453">
        <v>2421</v>
      </c>
      <c r="L74" s="448">
        <v>237314.05</v>
      </c>
      <c r="M74" s="422">
        <f t="shared" si="3"/>
        <v>3460853.71</v>
      </c>
      <c r="N74" s="446">
        <v>11964.55</v>
      </c>
      <c r="O74" s="446">
        <v>0</v>
      </c>
      <c r="P74" s="446">
        <v>142023.45000000001</v>
      </c>
      <c r="Q74" s="446">
        <v>2401.69</v>
      </c>
      <c r="R74" s="33">
        <v>97499.9</v>
      </c>
      <c r="S74" s="340"/>
      <c r="T74" s="446">
        <v>10706.9</v>
      </c>
      <c r="U74" s="33">
        <v>11700</v>
      </c>
      <c r="V74" s="446"/>
      <c r="W74" s="33"/>
      <c r="X74" s="417">
        <v>52870.55</v>
      </c>
      <c r="Y74" s="328">
        <f t="shared" si="4"/>
        <v>3790020.7499999995</v>
      </c>
      <c r="Z74" s="33">
        <v>140673.85</v>
      </c>
      <c r="AA74" s="33" t="s">
        <v>599</v>
      </c>
      <c r="AB74" s="33">
        <v>255005.8</v>
      </c>
      <c r="AC74" s="33" t="s">
        <v>599</v>
      </c>
      <c r="AD74" s="33">
        <v>130807.05</v>
      </c>
      <c r="AE74" s="33">
        <v>122080.6</v>
      </c>
      <c r="AF74" s="33" t="s">
        <v>599</v>
      </c>
      <c r="AG74" s="33" t="s">
        <v>599</v>
      </c>
      <c r="AH74" s="33" t="s">
        <v>599</v>
      </c>
      <c r="AI74" s="33">
        <v>28242</v>
      </c>
      <c r="AJ74" s="33"/>
      <c r="AK74" s="33"/>
      <c r="AL74" s="33"/>
      <c r="AM74" s="328">
        <f t="shared" si="5"/>
        <v>676809.3</v>
      </c>
      <c r="AN74" s="371">
        <v>70</v>
      </c>
      <c r="AO74" s="388">
        <v>1074</v>
      </c>
      <c r="AP74" s="33">
        <v>-11264.89</v>
      </c>
      <c r="AQ74" s="332"/>
      <c r="AR74" s="33">
        <v>-107.75</v>
      </c>
      <c r="AS74" s="340">
        <v>1</v>
      </c>
      <c r="AT74" s="437"/>
      <c r="AU74" s="438"/>
      <c r="AV74" s="436"/>
      <c r="AW74" s="436"/>
      <c r="AX74" s="436"/>
      <c r="AY74" s="436"/>
      <c r="AZ74" s="436"/>
      <c r="BA74" s="436"/>
      <c r="BB74" s="436"/>
      <c r="BC74" s="436"/>
      <c r="BE74" s="383"/>
      <c r="BF74" s="383"/>
      <c r="BG74" s="383"/>
      <c r="BH74" s="383"/>
      <c r="BI74" s="383"/>
      <c r="BJ74" s="383"/>
      <c r="BK74" s="383"/>
      <c r="BL74" s="383"/>
      <c r="BM74" s="383"/>
      <c r="BN74" s="383"/>
      <c r="BO74" s="383"/>
    </row>
    <row r="75" spans="1:67" x14ac:dyDescent="0.25">
      <c r="A75" s="335">
        <v>5512</v>
      </c>
      <c r="B75" s="425" t="s">
        <v>177</v>
      </c>
      <c r="C75" s="446">
        <v>2386879.91</v>
      </c>
      <c r="D75" s="33">
        <v>393560.22</v>
      </c>
      <c r="E75" s="448"/>
      <c r="F75" s="452">
        <v>0</v>
      </c>
      <c r="G75" s="452">
        <v>66152.800000000003</v>
      </c>
      <c r="H75" s="453">
        <v>3289</v>
      </c>
      <c r="I75" s="451">
        <v>0</v>
      </c>
      <c r="J75" s="448">
        <v>64914.23</v>
      </c>
      <c r="K75" s="453">
        <v>7584.7</v>
      </c>
      <c r="L75" s="448">
        <v>250033</v>
      </c>
      <c r="M75" s="422">
        <f t="shared" si="3"/>
        <v>3172413.86</v>
      </c>
      <c r="N75" s="446">
        <v>54197.25</v>
      </c>
      <c r="O75" s="446">
        <v>4694.5</v>
      </c>
      <c r="P75" s="446">
        <v>82116.75</v>
      </c>
      <c r="Q75" s="446">
        <v>10670.15</v>
      </c>
      <c r="R75" s="33">
        <v>56380.95</v>
      </c>
      <c r="S75" s="340">
        <v>7204.1</v>
      </c>
      <c r="T75" s="446"/>
      <c r="U75" s="33">
        <v>9900</v>
      </c>
      <c r="V75" s="446"/>
      <c r="W75" s="33"/>
      <c r="X75" s="417">
        <v>8235.6</v>
      </c>
      <c r="Y75" s="328">
        <f t="shared" si="4"/>
        <v>3405813.16</v>
      </c>
      <c r="Z75" s="33">
        <v>24558.95</v>
      </c>
      <c r="AA75" s="33"/>
      <c r="AB75" s="33">
        <v>396638.05</v>
      </c>
      <c r="AC75" s="33"/>
      <c r="AD75" s="33">
        <v>154109.26</v>
      </c>
      <c r="AE75" s="33">
        <v>25804.85</v>
      </c>
      <c r="AF75" s="33"/>
      <c r="AG75" s="33"/>
      <c r="AH75" s="33"/>
      <c r="AI75" s="33"/>
      <c r="AJ75" s="33"/>
      <c r="AK75" s="33"/>
      <c r="AL75" s="33"/>
      <c r="AM75" s="328">
        <f t="shared" si="5"/>
        <v>601111.11</v>
      </c>
      <c r="AN75" s="371">
        <v>79</v>
      </c>
      <c r="AO75" s="388">
        <v>1280</v>
      </c>
      <c r="AP75" s="33">
        <v>-29974.03</v>
      </c>
      <c r="AQ75" s="332"/>
      <c r="AR75" s="33">
        <v>-903.29</v>
      </c>
      <c r="AS75" s="340">
        <v>1</v>
      </c>
      <c r="AT75" s="437"/>
      <c r="AU75" s="438"/>
      <c r="AV75" s="436"/>
      <c r="AW75" s="436"/>
      <c r="AX75" s="436"/>
      <c r="AY75" s="436"/>
      <c r="AZ75" s="436"/>
      <c r="BA75" s="436"/>
      <c r="BB75" s="436"/>
      <c r="BC75" s="436"/>
      <c r="BE75" s="383"/>
      <c r="BF75" s="383"/>
      <c r="BG75" s="383"/>
      <c r="BH75" s="383"/>
      <c r="BI75" s="383"/>
      <c r="BJ75" s="383"/>
      <c r="BK75" s="383"/>
      <c r="BL75" s="383"/>
      <c r="BM75" s="383"/>
      <c r="BN75" s="383"/>
      <c r="BO75" s="383"/>
    </row>
    <row r="76" spans="1:67" x14ac:dyDescent="0.25">
      <c r="A76" s="335">
        <v>5513</v>
      </c>
      <c r="B76" s="425" t="s">
        <v>178</v>
      </c>
      <c r="C76" s="446">
        <v>1050220.3500000001</v>
      </c>
      <c r="D76" s="33">
        <v>96294.33</v>
      </c>
      <c r="E76" s="448"/>
      <c r="F76" s="452">
        <v>0</v>
      </c>
      <c r="G76" s="452">
        <v>71254.650000000096</v>
      </c>
      <c r="H76" s="453">
        <v>37316.85</v>
      </c>
      <c r="I76" s="451">
        <v>0</v>
      </c>
      <c r="J76" s="448">
        <v>60903.24</v>
      </c>
      <c r="K76" s="453">
        <v>10166.75</v>
      </c>
      <c r="L76" s="448">
        <v>57535.8</v>
      </c>
      <c r="M76" s="422">
        <f t="shared" si="3"/>
        <v>1383691.9700000004</v>
      </c>
      <c r="N76" s="446">
        <v>131251.35</v>
      </c>
      <c r="O76" s="446">
        <v>6159.8</v>
      </c>
      <c r="P76" s="446">
        <v>34142.35</v>
      </c>
      <c r="Q76" s="446">
        <v>5329.29</v>
      </c>
      <c r="R76" s="33">
        <v>7883.9</v>
      </c>
      <c r="S76" s="340"/>
      <c r="T76" s="446">
        <v>598</v>
      </c>
      <c r="U76" s="33">
        <v>6525</v>
      </c>
      <c r="V76" s="446"/>
      <c r="W76" s="33"/>
      <c r="X76" s="417">
        <v>78738.75</v>
      </c>
      <c r="Y76" s="328">
        <f t="shared" si="4"/>
        <v>1654320.4100000006</v>
      </c>
      <c r="Z76" s="33">
        <v>5659.2</v>
      </c>
      <c r="AA76" s="33"/>
      <c r="AB76" s="33">
        <v>83505.05</v>
      </c>
      <c r="AC76" s="33"/>
      <c r="AD76" s="33">
        <v>41809.300000000003</v>
      </c>
      <c r="AE76" s="33">
        <v>4296.8</v>
      </c>
      <c r="AF76" s="33"/>
      <c r="AG76" s="33"/>
      <c r="AH76" s="33"/>
      <c r="AI76" s="33"/>
      <c r="AJ76" s="33"/>
      <c r="AK76" s="33"/>
      <c r="AL76" s="33"/>
      <c r="AM76" s="328">
        <f t="shared" si="5"/>
        <v>135270.35</v>
      </c>
      <c r="AN76" s="371">
        <v>68</v>
      </c>
      <c r="AO76" s="388">
        <v>521</v>
      </c>
      <c r="AP76" s="33">
        <v>-26769.8</v>
      </c>
      <c r="AQ76" s="332"/>
      <c r="AR76" s="33">
        <v>-7.0000000000000007E-2</v>
      </c>
      <c r="AS76" s="340">
        <v>0.5</v>
      </c>
      <c r="AT76" s="437"/>
      <c r="AU76" s="438"/>
      <c r="AV76" s="436"/>
      <c r="AW76" s="436"/>
      <c r="AX76" s="436"/>
      <c r="AY76" s="436"/>
      <c r="AZ76" s="436"/>
      <c r="BA76" s="436"/>
      <c r="BB76" s="436"/>
      <c r="BC76" s="436"/>
      <c r="BE76" s="383"/>
      <c r="BF76" s="383"/>
      <c r="BG76" s="383"/>
      <c r="BH76" s="383"/>
      <c r="BI76" s="383"/>
      <c r="BJ76" s="383"/>
      <c r="BK76" s="383"/>
      <c r="BL76" s="383"/>
      <c r="BM76" s="383"/>
      <c r="BN76" s="383"/>
      <c r="BO76" s="383"/>
    </row>
    <row r="77" spans="1:67" x14ac:dyDescent="0.25">
      <c r="A77" s="335">
        <v>5514</v>
      </c>
      <c r="B77" s="425" t="s">
        <v>179</v>
      </c>
      <c r="C77" s="446">
        <v>2324990.84</v>
      </c>
      <c r="D77" s="33">
        <v>309491.71999999997</v>
      </c>
      <c r="E77" s="448"/>
      <c r="F77" s="452">
        <v>0</v>
      </c>
      <c r="G77" s="452">
        <v>45964.9</v>
      </c>
      <c r="H77" s="453">
        <v>7271.45</v>
      </c>
      <c r="I77" s="451">
        <v>36479.1</v>
      </c>
      <c r="J77" s="448">
        <v>66329.039999999994</v>
      </c>
      <c r="K77" s="453">
        <v>9875.5</v>
      </c>
      <c r="L77" s="448">
        <v>230359.8</v>
      </c>
      <c r="M77" s="422">
        <f t="shared" si="3"/>
        <v>3030762.3499999996</v>
      </c>
      <c r="N77" s="446">
        <v>5546.8</v>
      </c>
      <c r="O77" s="446">
        <v>0</v>
      </c>
      <c r="P77" s="446">
        <v>57619.85</v>
      </c>
      <c r="Q77" s="446">
        <v>16240.68</v>
      </c>
      <c r="R77" s="33">
        <v>65627.399999999994</v>
      </c>
      <c r="S77" s="340">
        <v>250</v>
      </c>
      <c r="T77" s="446">
        <v>1879</v>
      </c>
      <c r="U77" s="33">
        <v>11120</v>
      </c>
      <c r="V77" s="446"/>
      <c r="W77" s="33"/>
      <c r="X77" s="417">
        <v>5033.3999999999996</v>
      </c>
      <c r="Y77" s="328">
        <f t="shared" si="4"/>
        <v>3194079.4799999995</v>
      </c>
      <c r="Z77" s="33">
        <v>83671.5</v>
      </c>
      <c r="AA77" s="33"/>
      <c r="AB77" s="33">
        <v>305242.7</v>
      </c>
      <c r="AC77" s="33"/>
      <c r="AD77" s="33">
        <v>137079.29999999999</v>
      </c>
      <c r="AE77" s="33">
        <v>56250.8</v>
      </c>
      <c r="AF77" s="33"/>
      <c r="AG77" s="33"/>
      <c r="AH77" s="33"/>
      <c r="AI77" s="33">
        <v>34285.25</v>
      </c>
      <c r="AJ77" s="33"/>
      <c r="AK77" s="33"/>
      <c r="AL77" s="33"/>
      <c r="AM77" s="328">
        <f t="shared" si="5"/>
        <v>616529.55000000005</v>
      </c>
      <c r="AN77" s="371">
        <v>74</v>
      </c>
      <c r="AO77" s="388">
        <v>1299</v>
      </c>
      <c r="AP77" s="33">
        <v>-33981.769999999997</v>
      </c>
      <c r="AQ77" s="332"/>
      <c r="AR77" s="33">
        <v>-27.07</v>
      </c>
      <c r="AS77" s="340">
        <v>1</v>
      </c>
      <c r="AT77" s="437"/>
      <c r="AU77" s="438"/>
      <c r="AV77" s="436"/>
      <c r="AW77" s="436"/>
      <c r="AX77" s="436"/>
      <c r="AY77" s="436"/>
      <c r="AZ77" s="436"/>
      <c r="BA77" s="436"/>
      <c r="BB77" s="436"/>
      <c r="BC77" s="436"/>
      <c r="BE77" s="383"/>
      <c r="BF77" s="383"/>
      <c r="BG77" s="383"/>
      <c r="BH77" s="383"/>
      <c r="BI77" s="383"/>
      <c r="BJ77" s="383"/>
      <c r="BK77" s="383"/>
      <c r="BL77" s="383"/>
      <c r="BM77" s="383"/>
      <c r="BN77" s="383"/>
      <c r="BO77" s="383"/>
    </row>
    <row r="78" spans="1:67" x14ac:dyDescent="0.25">
      <c r="A78" s="335">
        <v>5515</v>
      </c>
      <c r="B78" s="425" t="s">
        <v>180</v>
      </c>
      <c r="C78" s="446">
        <v>1982495.47</v>
      </c>
      <c r="D78" s="33">
        <v>211595.6</v>
      </c>
      <c r="E78" s="448"/>
      <c r="F78" s="452">
        <v>0</v>
      </c>
      <c r="G78" s="452">
        <v>4101.75</v>
      </c>
      <c r="H78" s="453">
        <v>709.8</v>
      </c>
      <c r="I78" s="451">
        <v>0</v>
      </c>
      <c r="J78" s="448">
        <v>60964.72</v>
      </c>
      <c r="K78" s="453">
        <v>4856.05</v>
      </c>
      <c r="L78" s="448">
        <v>161813.95000000001</v>
      </c>
      <c r="M78" s="422">
        <f t="shared" si="3"/>
        <v>2426537.34</v>
      </c>
      <c r="N78" s="446">
        <v>8303</v>
      </c>
      <c r="O78" s="446">
        <v>0</v>
      </c>
      <c r="P78" s="446">
        <v>162427.6</v>
      </c>
      <c r="Q78" s="446">
        <v>645.6</v>
      </c>
      <c r="R78" s="33">
        <v>24956.5</v>
      </c>
      <c r="S78" s="340">
        <v>1036</v>
      </c>
      <c r="T78" s="446"/>
      <c r="U78" s="33">
        <v>7000</v>
      </c>
      <c r="V78" s="446"/>
      <c r="W78" s="33"/>
      <c r="X78" s="417">
        <v>1307.8</v>
      </c>
      <c r="Y78" s="328">
        <f t="shared" si="4"/>
        <v>2632213.84</v>
      </c>
      <c r="Z78" s="33"/>
      <c r="AA78" s="33"/>
      <c r="AB78" s="33">
        <v>223433.60000000001</v>
      </c>
      <c r="AC78" s="33"/>
      <c r="AD78" s="33">
        <v>84201.65</v>
      </c>
      <c r="AE78" s="33"/>
      <c r="AF78" s="33"/>
      <c r="AG78" s="33"/>
      <c r="AH78" s="33"/>
      <c r="AI78" s="33"/>
      <c r="AJ78" s="33"/>
      <c r="AK78" s="33"/>
      <c r="AL78" s="33"/>
      <c r="AM78" s="328">
        <f t="shared" si="5"/>
        <v>307635.25</v>
      </c>
      <c r="AN78" s="371">
        <v>81</v>
      </c>
      <c r="AO78" s="388">
        <v>861</v>
      </c>
      <c r="AP78" s="33">
        <v>-92741.65</v>
      </c>
      <c r="AQ78" s="332">
        <v>-855.55</v>
      </c>
      <c r="AR78" s="33">
        <v>0.05</v>
      </c>
      <c r="AS78" s="340">
        <v>1</v>
      </c>
      <c r="AT78" s="437"/>
      <c r="AU78" s="438"/>
      <c r="AV78" s="436"/>
      <c r="AW78" s="436"/>
      <c r="AX78" s="436"/>
      <c r="AY78" s="436"/>
      <c r="AZ78" s="436"/>
      <c r="BA78" s="436"/>
      <c r="BB78" s="436"/>
      <c r="BC78" s="436"/>
      <c r="BE78" s="383"/>
      <c r="BF78" s="383"/>
      <c r="BG78" s="383"/>
      <c r="BH78" s="383"/>
      <c r="BI78" s="383"/>
      <c r="BJ78" s="383"/>
      <c r="BK78" s="383"/>
      <c r="BL78" s="383"/>
      <c r="BM78" s="383"/>
      <c r="BN78" s="383"/>
      <c r="BO78" s="383"/>
    </row>
    <row r="79" spans="1:67" x14ac:dyDescent="0.25">
      <c r="A79" s="335">
        <v>5516</v>
      </c>
      <c r="B79" s="425" t="s">
        <v>181</v>
      </c>
      <c r="C79" s="446">
        <v>6798166.6699999999</v>
      </c>
      <c r="D79" s="33">
        <v>1086830.0900000001</v>
      </c>
      <c r="E79" s="448"/>
      <c r="F79" s="452">
        <v>0</v>
      </c>
      <c r="G79" s="452">
        <v>117893.55</v>
      </c>
      <c r="H79" s="453">
        <v>9034.5499999999993</v>
      </c>
      <c r="I79" s="451">
        <v>804.45</v>
      </c>
      <c r="J79" s="448">
        <v>119548.36</v>
      </c>
      <c r="K79" s="453">
        <v>26829.7</v>
      </c>
      <c r="L79" s="448">
        <v>691202.65</v>
      </c>
      <c r="M79" s="422">
        <f t="shared" si="3"/>
        <v>8850310.0199999996</v>
      </c>
      <c r="N79" s="446">
        <v>81623.75</v>
      </c>
      <c r="O79" s="446">
        <v>0</v>
      </c>
      <c r="P79" s="446">
        <v>166230.79999999999</v>
      </c>
      <c r="Q79" s="446">
        <v>46876.55</v>
      </c>
      <c r="R79" s="33">
        <v>80093.95</v>
      </c>
      <c r="S79" s="340"/>
      <c r="T79" s="446">
        <v>13177.05</v>
      </c>
      <c r="U79" s="33">
        <v>15600</v>
      </c>
      <c r="V79" s="446"/>
      <c r="W79" s="33"/>
      <c r="X79" s="417">
        <v>35654.35</v>
      </c>
      <c r="Y79" s="328">
        <f t="shared" si="4"/>
        <v>9289566.4700000007</v>
      </c>
      <c r="Z79" s="33">
        <v>1332</v>
      </c>
      <c r="AA79" s="33"/>
      <c r="AB79" s="33">
        <v>476185.55</v>
      </c>
      <c r="AC79" s="33" t="s">
        <v>599</v>
      </c>
      <c r="AD79" s="33">
        <v>286221.45</v>
      </c>
      <c r="AE79" s="33">
        <v>96.6</v>
      </c>
      <c r="AF79" s="33" t="s">
        <v>599</v>
      </c>
      <c r="AG79" s="33" t="s">
        <v>599</v>
      </c>
      <c r="AH79" s="33" t="s">
        <v>599</v>
      </c>
      <c r="AI79" s="33">
        <v>79092.5</v>
      </c>
      <c r="AJ79" s="33"/>
      <c r="AK79" s="33"/>
      <c r="AL79" s="33"/>
      <c r="AM79" s="328">
        <f t="shared" si="5"/>
        <v>842928.1</v>
      </c>
      <c r="AN79" s="371">
        <v>78</v>
      </c>
      <c r="AO79" s="388">
        <v>2768</v>
      </c>
      <c r="AP79" s="33">
        <v>-144740.09</v>
      </c>
      <c r="AQ79" s="332"/>
      <c r="AR79" s="33">
        <v>-2180.11</v>
      </c>
      <c r="AS79" s="340">
        <v>1.2</v>
      </c>
      <c r="AT79" s="437"/>
      <c r="AU79" s="438"/>
      <c r="AV79" s="436"/>
      <c r="AW79" s="436"/>
      <c r="AX79" s="436"/>
      <c r="AY79" s="436"/>
      <c r="AZ79" s="436"/>
      <c r="BA79" s="436"/>
      <c r="BB79" s="436"/>
      <c r="BC79" s="436"/>
      <c r="BE79" s="383"/>
      <c r="BF79" s="383"/>
      <c r="BG79" s="383"/>
      <c r="BH79" s="383"/>
      <c r="BI79" s="383"/>
      <c r="BJ79" s="383"/>
      <c r="BK79" s="383"/>
      <c r="BL79" s="383"/>
      <c r="BM79" s="383"/>
      <c r="BN79" s="383"/>
      <c r="BO79" s="383"/>
    </row>
    <row r="80" spans="1:67" x14ac:dyDescent="0.25">
      <c r="A80" s="335">
        <v>5518</v>
      </c>
      <c r="B80" s="425" t="s">
        <v>182</v>
      </c>
      <c r="C80" s="446">
        <v>10805324.73</v>
      </c>
      <c r="D80" s="33">
        <v>1311849.45</v>
      </c>
      <c r="E80" s="448"/>
      <c r="F80" s="452">
        <v>0</v>
      </c>
      <c r="G80" s="452">
        <v>442866.65</v>
      </c>
      <c r="H80" s="453">
        <v>54831.85</v>
      </c>
      <c r="I80" s="451">
        <v>0</v>
      </c>
      <c r="J80" s="448">
        <v>220538.18</v>
      </c>
      <c r="K80" s="453">
        <v>55525.4</v>
      </c>
      <c r="L80" s="448">
        <v>1047812.85</v>
      </c>
      <c r="M80" s="422">
        <f t="shared" si="3"/>
        <v>13938749.109999999</v>
      </c>
      <c r="N80" s="446">
        <v>155319.45000000001</v>
      </c>
      <c r="O80" s="446">
        <v>64299.6</v>
      </c>
      <c r="P80" s="446">
        <v>1137846.8</v>
      </c>
      <c r="Q80" s="446">
        <v>70193.87</v>
      </c>
      <c r="R80" s="33">
        <v>233674.95</v>
      </c>
      <c r="S80" s="340"/>
      <c r="T80" s="446">
        <v>35220.65</v>
      </c>
      <c r="U80" s="33">
        <v>21490</v>
      </c>
      <c r="V80" s="446"/>
      <c r="W80" s="33">
        <v>272.25</v>
      </c>
      <c r="X80" s="417">
        <v>217470.15</v>
      </c>
      <c r="Y80" s="328">
        <f t="shared" si="4"/>
        <v>15874536.829999998</v>
      </c>
      <c r="Z80" s="33">
        <v>137504.04999999999</v>
      </c>
      <c r="AA80" s="33"/>
      <c r="AB80" s="33">
        <v>1059362.25</v>
      </c>
      <c r="AC80" s="33"/>
      <c r="AD80" s="33">
        <v>547049.32999999996</v>
      </c>
      <c r="AE80" s="33">
        <v>51708.75</v>
      </c>
      <c r="AF80" s="33"/>
      <c r="AG80" s="33"/>
      <c r="AH80" s="33"/>
      <c r="AI80" s="33"/>
      <c r="AJ80" s="33"/>
      <c r="AK80" s="33"/>
      <c r="AL80" s="33"/>
      <c r="AM80" s="328">
        <f t="shared" si="5"/>
        <v>1795624.38</v>
      </c>
      <c r="AN80" s="371">
        <v>74</v>
      </c>
      <c r="AO80" s="388">
        <v>5725</v>
      </c>
      <c r="AP80" s="33">
        <v>-326551.06</v>
      </c>
      <c r="AQ80" s="332"/>
      <c r="AR80" s="33">
        <v>-1447.36</v>
      </c>
      <c r="AS80" s="340">
        <v>1</v>
      </c>
      <c r="AT80" s="437"/>
      <c r="AU80" s="438"/>
      <c r="AV80" s="436"/>
      <c r="AW80" s="436"/>
      <c r="AX80" s="436"/>
      <c r="AY80" s="436"/>
      <c r="AZ80" s="436"/>
      <c r="BA80" s="436"/>
      <c r="BB80" s="436"/>
      <c r="BC80" s="436"/>
      <c r="BE80" s="383"/>
      <c r="BF80" s="383"/>
      <c r="BG80" s="383"/>
      <c r="BH80" s="383"/>
      <c r="BI80" s="383"/>
      <c r="BJ80" s="383"/>
      <c r="BK80" s="383"/>
      <c r="BL80" s="383"/>
      <c r="BM80" s="383"/>
      <c r="BN80" s="383"/>
      <c r="BO80" s="383"/>
    </row>
    <row r="81" spans="1:67" x14ac:dyDescent="0.25">
      <c r="A81" s="335">
        <v>5520</v>
      </c>
      <c r="B81" s="425" t="s">
        <v>183</v>
      </c>
      <c r="C81" s="446">
        <v>1718444.61</v>
      </c>
      <c r="D81" s="33">
        <v>244982.36</v>
      </c>
      <c r="E81" s="448"/>
      <c r="F81" s="452">
        <v>0</v>
      </c>
      <c r="G81" s="452">
        <v>16297.45</v>
      </c>
      <c r="H81" s="453">
        <v>2492.5</v>
      </c>
      <c r="I81" s="451">
        <v>0</v>
      </c>
      <c r="J81" s="448">
        <v>12580.81</v>
      </c>
      <c r="K81" s="453">
        <v>3421.25</v>
      </c>
      <c r="L81" s="448">
        <v>181911.15</v>
      </c>
      <c r="M81" s="422">
        <f t="shared" si="3"/>
        <v>2180130.1300000004</v>
      </c>
      <c r="N81" s="446">
        <v>0</v>
      </c>
      <c r="O81" s="446">
        <v>-17472.099999999999</v>
      </c>
      <c r="P81" s="446">
        <v>103141.75</v>
      </c>
      <c r="Q81" s="446">
        <v>20059.57</v>
      </c>
      <c r="R81" s="33">
        <v>40313.949999999997</v>
      </c>
      <c r="S81" s="340">
        <v>75</v>
      </c>
      <c r="T81" s="446">
        <v>739.25</v>
      </c>
      <c r="U81" s="33">
        <v>10150</v>
      </c>
      <c r="V81" s="446"/>
      <c r="W81" s="33"/>
      <c r="X81" s="417">
        <v>4286.8999999999996</v>
      </c>
      <c r="Y81" s="328">
        <f t="shared" si="4"/>
        <v>2341424.4500000002</v>
      </c>
      <c r="Z81" s="33">
        <v>20812</v>
      </c>
      <c r="AA81" s="33">
        <v>57791.7</v>
      </c>
      <c r="AB81" s="33">
        <v>105471.15</v>
      </c>
      <c r="AC81" s="33" t="s">
        <v>599</v>
      </c>
      <c r="AD81" s="33">
        <v>77857.75</v>
      </c>
      <c r="AE81" s="33">
        <v>19216</v>
      </c>
      <c r="AF81" s="33">
        <v>32832.400000000001</v>
      </c>
      <c r="AG81" s="33" t="s">
        <v>599</v>
      </c>
      <c r="AH81" s="33" t="s">
        <v>599</v>
      </c>
      <c r="AI81" s="33"/>
      <c r="AJ81" s="33"/>
      <c r="AK81" s="33"/>
      <c r="AL81" s="33"/>
      <c r="AM81" s="328">
        <f t="shared" si="5"/>
        <v>313981</v>
      </c>
      <c r="AN81" s="371">
        <v>73</v>
      </c>
      <c r="AO81" s="388">
        <v>1030</v>
      </c>
      <c r="AP81" s="33">
        <v>-24676.41</v>
      </c>
      <c r="AQ81" s="332"/>
      <c r="AR81" s="33">
        <v>-141.34</v>
      </c>
      <c r="AS81" s="340">
        <v>1</v>
      </c>
      <c r="AT81" s="437"/>
      <c r="AU81" s="438"/>
      <c r="AV81" s="459"/>
      <c r="AW81" s="459"/>
      <c r="AX81" s="459"/>
      <c r="AY81" s="459"/>
      <c r="AZ81" s="459"/>
      <c r="BA81" s="459"/>
      <c r="BB81" s="459"/>
      <c r="BC81" s="459"/>
      <c r="BE81" s="383"/>
      <c r="BF81" s="383"/>
      <c r="BG81" s="383"/>
      <c r="BH81" s="383"/>
      <c r="BI81" s="383"/>
      <c r="BJ81" s="383"/>
      <c r="BK81" s="383"/>
      <c r="BL81" s="383"/>
      <c r="BM81" s="383"/>
      <c r="BN81" s="383"/>
      <c r="BO81" s="383"/>
    </row>
    <row r="82" spans="1:67" x14ac:dyDescent="0.25">
      <c r="A82" s="335">
        <v>5521</v>
      </c>
      <c r="B82" s="425" t="s">
        <v>184</v>
      </c>
      <c r="C82" s="446">
        <v>2900304</v>
      </c>
      <c r="D82" s="33">
        <v>257442.67</v>
      </c>
      <c r="E82" s="448"/>
      <c r="F82" s="452">
        <v>0</v>
      </c>
      <c r="G82" s="452">
        <v>46289.05</v>
      </c>
      <c r="H82" s="453">
        <v>4285.7</v>
      </c>
      <c r="I82" s="451">
        <v>0</v>
      </c>
      <c r="J82" s="448">
        <v>50029.01</v>
      </c>
      <c r="K82" s="453">
        <v>17056.25</v>
      </c>
      <c r="L82" s="448">
        <v>247388.7</v>
      </c>
      <c r="M82" s="422">
        <f t="shared" si="3"/>
        <v>3522795.38</v>
      </c>
      <c r="N82" s="446">
        <v>46383.55</v>
      </c>
      <c r="O82" s="446">
        <v>0</v>
      </c>
      <c r="P82" s="446">
        <v>146942.95000000001</v>
      </c>
      <c r="Q82" s="446">
        <v>1013.43</v>
      </c>
      <c r="R82" s="33">
        <v>88958.5</v>
      </c>
      <c r="S82" s="340"/>
      <c r="T82" s="446"/>
      <c r="U82" s="33">
        <v>5200</v>
      </c>
      <c r="V82" s="446"/>
      <c r="W82" s="33"/>
      <c r="X82" s="417">
        <v>20089.099999999999</v>
      </c>
      <c r="Y82" s="328">
        <f t="shared" si="4"/>
        <v>3831382.91</v>
      </c>
      <c r="Z82" s="33">
        <v>43622.8</v>
      </c>
      <c r="AA82" s="33">
        <v>0</v>
      </c>
      <c r="AB82" s="33">
        <v>224129.49</v>
      </c>
      <c r="AC82" s="33" t="s">
        <v>599</v>
      </c>
      <c r="AD82" s="33">
        <v>104963.17</v>
      </c>
      <c r="AE82" s="33" t="s">
        <v>599</v>
      </c>
      <c r="AF82" s="33" t="s">
        <v>599</v>
      </c>
      <c r="AG82" s="33" t="s">
        <v>599</v>
      </c>
      <c r="AH82" s="33" t="s">
        <v>599</v>
      </c>
      <c r="AI82" s="33">
        <v>32621.4</v>
      </c>
      <c r="AJ82" s="33"/>
      <c r="AK82" s="33"/>
      <c r="AL82" s="33"/>
      <c r="AM82" s="328">
        <f t="shared" si="5"/>
        <v>405336.86</v>
      </c>
      <c r="AN82" s="371">
        <v>73</v>
      </c>
      <c r="AO82" s="388">
        <v>1143</v>
      </c>
      <c r="AP82" s="33">
        <v>-19066.88</v>
      </c>
      <c r="AQ82" s="332"/>
      <c r="AR82" s="33">
        <v>-484.24</v>
      </c>
      <c r="AS82" s="340">
        <v>1</v>
      </c>
      <c r="AT82" s="437"/>
      <c r="AU82" s="438"/>
      <c r="AV82" s="436"/>
      <c r="AW82" s="436"/>
      <c r="AX82" s="436"/>
      <c r="AY82" s="436"/>
      <c r="AZ82" s="436"/>
      <c r="BA82" s="436"/>
      <c r="BB82" s="436"/>
      <c r="BC82" s="436"/>
      <c r="BE82" s="383"/>
      <c r="BF82" s="383"/>
      <c r="BG82" s="383"/>
      <c r="BH82" s="383"/>
      <c r="BI82" s="383"/>
      <c r="BJ82" s="383"/>
      <c r="BK82" s="383"/>
      <c r="BL82" s="383"/>
      <c r="BM82" s="383"/>
      <c r="BN82" s="383"/>
      <c r="BO82" s="383"/>
    </row>
    <row r="83" spans="1:67" x14ac:dyDescent="0.25">
      <c r="A83" s="335">
        <v>5522</v>
      </c>
      <c r="B83" s="425" t="s">
        <v>185</v>
      </c>
      <c r="C83" s="446">
        <v>1404834.25</v>
      </c>
      <c r="D83" s="33">
        <v>198383.44</v>
      </c>
      <c r="E83" s="448"/>
      <c r="F83" s="452">
        <v>0</v>
      </c>
      <c r="G83" s="452">
        <v>-7185.35</v>
      </c>
      <c r="H83" s="453">
        <v>1440.8</v>
      </c>
      <c r="I83" s="451">
        <v>0</v>
      </c>
      <c r="J83" s="448">
        <v>-5465.24</v>
      </c>
      <c r="K83" s="453">
        <v>2219.9499999999998</v>
      </c>
      <c r="L83" s="448">
        <v>132643.6</v>
      </c>
      <c r="M83" s="422">
        <f t="shared" si="3"/>
        <v>1726871.45</v>
      </c>
      <c r="N83" s="446">
        <v>12806.3</v>
      </c>
      <c r="O83" s="446">
        <v>0</v>
      </c>
      <c r="P83" s="446">
        <v>93179.199999999997</v>
      </c>
      <c r="Q83" s="446">
        <v>6406.08</v>
      </c>
      <c r="R83" s="33">
        <v>3417.45</v>
      </c>
      <c r="S83" s="340">
        <v>2075</v>
      </c>
      <c r="T83" s="446"/>
      <c r="U83" s="33">
        <v>3375</v>
      </c>
      <c r="V83" s="446"/>
      <c r="W83" s="33"/>
      <c r="X83" s="417">
        <v>4681.95</v>
      </c>
      <c r="Y83" s="328">
        <f t="shared" si="4"/>
        <v>1852812.43</v>
      </c>
      <c r="Z83" s="33"/>
      <c r="AA83" s="33"/>
      <c r="AB83" s="33">
        <v>104329</v>
      </c>
      <c r="AC83" s="33"/>
      <c r="AD83" s="33">
        <v>41850</v>
      </c>
      <c r="AE83" s="33">
        <v>7704.5</v>
      </c>
      <c r="AF83" s="33"/>
      <c r="AG83" s="33"/>
      <c r="AH83" s="33"/>
      <c r="AI83" s="33"/>
      <c r="AJ83" s="33"/>
      <c r="AK83" s="33"/>
      <c r="AL83" s="33"/>
      <c r="AM83" s="328">
        <f t="shared" si="5"/>
        <v>153883.5</v>
      </c>
      <c r="AN83" s="371">
        <v>75</v>
      </c>
      <c r="AO83" s="388">
        <v>751</v>
      </c>
      <c r="AP83" s="33">
        <v>-33381.32</v>
      </c>
      <c r="AQ83" s="332"/>
      <c r="AR83" s="33">
        <v>-12.73</v>
      </c>
      <c r="AS83" s="340">
        <v>1</v>
      </c>
      <c r="AT83" s="437"/>
      <c r="AU83" s="438"/>
      <c r="AV83" s="436"/>
      <c r="AW83" s="436"/>
      <c r="AX83" s="436"/>
      <c r="AY83" s="436"/>
      <c r="AZ83" s="436"/>
      <c r="BA83" s="436"/>
      <c r="BB83" s="436"/>
      <c r="BC83" s="436"/>
      <c r="BE83" s="383"/>
      <c r="BF83" s="383"/>
      <c r="BG83" s="383"/>
      <c r="BH83" s="383"/>
      <c r="BI83" s="383"/>
      <c r="BJ83" s="383"/>
      <c r="BK83" s="383"/>
      <c r="BL83" s="383"/>
      <c r="BM83" s="383"/>
      <c r="BN83" s="383"/>
      <c r="BO83" s="383"/>
    </row>
    <row r="84" spans="1:67" x14ac:dyDescent="0.25">
      <c r="A84" s="335">
        <v>5523</v>
      </c>
      <c r="B84" s="425" t="s">
        <v>186</v>
      </c>
      <c r="C84" s="446">
        <v>5516668.2999999998</v>
      </c>
      <c r="D84" s="33">
        <v>641973.98</v>
      </c>
      <c r="E84" s="448"/>
      <c r="F84" s="452">
        <v>14600</v>
      </c>
      <c r="G84" s="452">
        <v>38154.15</v>
      </c>
      <c r="H84" s="453">
        <v>4262.5</v>
      </c>
      <c r="I84" s="451">
        <v>0</v>
      </c>
      <c r="J84" s="448">
        <v>70445.600000000006</v>
      </c>
      <c r="K84" s="453">
        <v>22553.9</v>
      </c>
      <c r="L84" s="448">
        <v>621647</v>
      </c>
      <c r="M84" s="422">
        <f t="shared" si="3"/>
        <v>6930305.4299999997</v>
      </c>
      <c r="N84" s="446">
        <v>14220.2</v>
      </c>
      <c r="O84" s="446">
        <v>0</v>
      </c>
      <c r="P84" s="446">
        <v>167380.95000000001</v>
      </c>
      <c r="Q84" s="446">
        <v>54943.45</v>
      </c>
      <c r="R84" s="33">
        <v>73824.600000000006</v>
      </c>
      <c r="S84" s="340">
        <v>200</v>
      </c>
      <c r="T84" s="446">
        <v>2516.35</v>
      </c>
      <c r="U84" s="33">
        <v>14437.5</v>
      </c>
      <c r="V84" s="446"/>
      <c r="W84" s="33"/>
      <c r="X84" s="417">
        <v>12787.45</v>
      </c>
      <c r="Y84" s="328">
        <f t="shared" si="4"/>
        <v>7270615.9299999997</v>
      </c>
      <c r="Z84" s="33">
        <v>24785</v>
      </c>
      <c r="AA84" s="33">
        <v>31038.6</v>
      </c>
      <c r="AB84" s="33">
        <v>520821.5</v>
      </c>
      <c r="AC84" s="33" t="s">
        <v>599</v>
      </c>
      <c r="AD84" s="33">
        <v>158739.1</v>
      </c>
      <c r="AE84" s="33">
        <v>521</v>
      </c>
      <c r="AF84" s="33">
        <v>15638.95</v>
      </c>
      <c r="AG84" s="33" t="s">
        <v>599</v>
      </c>
      <c r="AH84" s="33" t="s">
        <v>599</v>
      </c>
      <c r="AI84" s="33">
        <v>53450.85</v>
      </c>
      <c r="AJ84" s="33"/>
      <c r="AK84" s="33"/>
      <c r="AL84" s="33"/>
      <c r="AM84" s="328">
        <f t="shared" si="5"/>
        <v>804994.99999999988</v>
      </c>
      <c r="AN84" s="371">
        <v>76</v>
      </c>
      <c r="AO84" s="388">
        <v>2638</v>
      </c>
      <c r="AP84" s="33">
        <v>-91775.19</v>
      </c>
      <c r="AQ84" s="332"/>
      <c r="AR84" s="33">
        <v>-320.47000000000003</v>
      </c>
      <c r="AS84" s="340">
        <v>1.25</v>
      </c>
      <c r="AT84" s="437"/>
      <c r="AU84" s="438"/>
      <c r="AV84" s="436"/>
      <c r="AW84" s="436"/>
      <c r="AX84" s="436"/>
      <c r="AY84" s="436"/>
      <c r="AZ84" s="436"/>
      <c r="BA84" s="436"/>
      <c r="BB84" s="436"/>
      <c r="BC84" s="436"/>
      <c r="BE84" s="383"/>
      <c r="BF84" s="383"/>
      <c r="BG84" s="383"/>
      <c r="BH84" s="383"/>
      <c r="BI84" s="383"/>
      <c r="BJ84" s="383"/>
      <c r="BK84" s="383"/>
      <c r="BL84" s="383"/>
      <c r="BM84" s="383"/>
      <c r="BN84" s="383"/>
      <c r="BO84" s="383"/>
    </row>
    <row r="85" spans="1:67" x14ac:dyDescent="0.25">
      <c r="A85" s="335">
        <v>5527</v>
      </c>
      <c r="B85" s="425" t="s">
        <v>187</v>
      </c>
      <c r="C85" s="446">
        <v>2260726.0699999998</v>
      </c>
      <c r="D85" s="33">
        <v>425104.72</v>
      </c>
      <c r="E85" s="448"/>
      <c r="F85" s="452">
        <v>0</v>
      </c>
      <c r="G85" s="452">
        <v>14384.1</v>
      </c>
      <c r="H85" s="453">
        <v>16429.849999999999</v>
      </c>
      <c r="I85" s="451">
        <v>0</v>
      </c>
      <c r="J85" s="448">
        <v>30263.48</v>
      </c>
      <c r="K85" s="453">
        <v>1930.95</v>
      </c>
      <c r="L85" s="448">
        <v>229347.6</v>
      </c>
      <c r="M85" s="422">
        <f t="shared" si="3"/>
        <v>2978186.7700000005</v>
      </c>
      <c r="N85" s="446">
        <v>9237.4500000000007</v>
      </c>
      <c r="O85" s="446">
        <v>0</v>
      </c>
      <c r="P85" s="446">
        <v>78115</v>
      </c>
      <c r="Q85" s="446">
        <v>4293.16</v>
      </c>
      <c r="R85" s="33">
        <v>153764.29999999999</v>
      </c>
      <c r="S85" s="340"/>
      <c r="T85" s="446">
        <v>1100</v>
      </c>
      <c r="U85" s="33">
        <v>9600</v>
      </c>
      <c r="V85" s="446"/>
      <c r="W85" s="33"/>
      <c r="X85" s="417">
        <v>2269.4</v>
      </c>
      <c r="Y85" s="328">
        <f t="shared" si="4"/>
        <v>3236566.0800000005</v>
      </c>
      <c r="Z85" s="33">
        <v>33425.199999999997</v>
      </c>
      <c r="AA85" s="33"/>
      <c r="AB85" s="33">
        <v>191476.2</v>
      </c>
      <c r="AC85" s="33"/>
      <c r="AD85" s="33">
        <v>84421.05</v>
      </c>
      <c r="AE85" s="33">
        <v>32819.199999999997</v>
      </c>
      <c r="AF85" s="33"/>
      <c r="AG85" s="33"/>
      <c r="AH85" s="33"/>
      <c r="AI85" s="33">
        <v>30455.25</v>
      </c>
      <c r="AJ85" s="33"/>
      <c r="AK85" s="33"/>
      <c r="AL85" s="33"/>
      <c r="AM85" s="328">
        <f t="shared" si="5"/>
        <v>372596.9</v>
      </c>
      <c r="AN85" s="371">
        <v>74</v>
      </c>
      <c r="AO85" s="388">
        <v>1126</v>
      </c>
      <c r="AP85" s="33">
        <v>-14468.92</v>
      </c>
      <c r="AQ85" s="332">
        <v>-47.65</v>
      </c>
      <c r="AR85" s="33">
        <v>-82.85</v>
      </c>
      <c r="AS85" s="340">
        <v>1</v>
      </c>
      <c r="AT85" s="437"/>
      <c r="AU85" s="438"/>
      <c r="AV85" s="436"/>
      <c r="AW85" s="436"/>
      <c r="AX85" s="436"/>
      <c r="AY85" s="436"/>
      <c r="AZ85" s="436"/>
      <c r="BA85" s="436"/>
      <c r="BB85" s="436"/>
      <c r="BC85" s="436"/>
      <c r="BE85" s="383"/>
      <c r="BF85" s="383"/>
      <c r="BG85" s="383"/>
      <c r="BH85" s="383"/>
      <c r="BI85" s="383"/>
      <c r="BJ85" s="383"/>
      <c r="BK85" s="383"/>
      <c r="BL85" s="383"/>
      <c r="BM85" s="383"/>
      <c r="BN85" s="383"/>
      <c r="BO85" s="383"/>
    </row>
    <row r="86" spans="1:67" x14ac:dyDescent="0.25">
      <c r="A86" s="335">
        <v>5529</v>
      </c>
      <c r="B86" s="425" t="s">
        <v>188</v>
      </c>
      <c r="C86" s="446">
        <v>1195488.32</v>
      </c>
      <c r="D86" s="33">
        <v>135733.18</v>
      </c>
      <c r="E86" s="448"/>
      <c r="F86" s="452">
        <v>0</v>
      </c>
      <c r="G86" s="452">
        <v>55683.65</v>
      </c>
      <c r="H86" s="453">
        <v>1044.05</v>
      </c>
      <c r="I86" s="451">
        <v>0</v>
      </c>
      <c r="J86" s="448">
        <v>21140.07</v>
      </c>
      <c r="K86" s="453">
        <v>2560.25</v>
      </c>
      <c r="L86" s="448">
        <v>120175.6</v>
      </c>
      <c r="M86" s="422">
        <f t="shared" si="3"/>
        <v>1531825.12</v>
      </c>
      <c r="N86" s="446">
        <v>1348.8</v>
      </c>
      <c r="O86" s="446">
        <v>0</v>
      </c>
      <c r="P86" s="446">
        <v>39160</v>
      </c>
      <c r="Q86" s="446">
        <v>7125.26</v>
      </c>
      <c r="R86" s="33">
        <v>38863.550000000003</v>
      </c>
      <c r="S86" s="340"/>
      <c r="T86" s="446"/>
      <c r="U86" s="33">
        <v>3400</v>
      </c>
      <c r="V86" s="446"/>
      <c r="W86" s="33"/>
      <c r="X86" s="417">
        <v>7553.05</v>
      </c>
      <c r="Y86" s="328">
        <f t="shared" si="4"/>
        <v>1629275.7800000003</v>
      </c>
      <c r="Z86" s="33">
        <v>12331.35</v>
      </c>
      <c r="AA86" s="33"/>
      <c r="AB86" s="33">
        <v>33256.85</v>
      </c>
      <c r="AC86" s="33"/>
      <c r="AD86" s="33">
        <v>44347.1</v>
      </c>
      <c r="AE86" s="33">
        <v>6165.7</v>
      </c>
      <c r="AF86" s="33"/>
      <c r="AG86" s="33"/>
      <c r="AH86" s="33"/>
      <c r="AI86" s="33"/>
      <c r="AJ86" s="33"/>
      <c r="AK86" s="33"/>
      <c r="AL86" s="33"/>
      <c r="AM86" s="328">
        <f t="shared" si="5"/>
        <v>96100.999999999985</v>
      </c>
      <c r="AN86" s="371">
        <v>71</v>
      </c>
      <c r="AO86" s="388">
        <v>615</v>
      </c>
      <c r="AP86" s="33">
        <v>-12718.16</v>
      </c>
      <c r="AQ86" s="332"/>
      <c r="AR86" s="33">
        <v>0</v>
      </c>
      <c r="AS86" s="340">
        <v>1</v>
      </c>
      <c r="AT86" s="437"/>
      <c r="AU86" s="438"/>
      <c r="AV86" s="436"/>
      <c r="AW86" s="436"/>
      <c r="AX86" s="436"/>
      <c r="AY86" s="436"/>
      <c r="AZ86" s="436"/>
      <c r="BA86" s="436"/>
      <c r="BB86" s="436"/>
      <c r="BC86" s="436"/>
      <c r="BE86" s="383"/>
      <c r="BF86" s="383"/>
      <c r="BG86" s="383"/>
      <c r="BH86" s="383"/>
      <c r="BI86" s="383"/>
      <c r="BJ86" s="383"/>
      <c r="BK86" s="383"/>
      <c r="BL86" s="383"/>
      <c r="BM86" s="383"/>
      <c r="BN86" s="383"/>
      <c r="BO86" s="383"/>
    </row>
    <row r="87" spans="1:67" x14ac:dyDescent="0.25">
      <c r="A87" s="335">
        <v>5530</v>
      </c>
      <c r="B87" s="425" t="s">
        <v>189</v>
      </c>
      <c r="C87" s="446">
        <v>1029078.21</v>
      </c>
      <c r="D87" s="33">
        <v>131707.43</v>
      </c>
      <c r="E87" s="448"/>
      <c r="F87" s="452">
        <v>0</v>
      </c>
      <c r="G87" s="452">
        <v>75430.399999999994</v>
      </c>
      <c r="H87" s="453">
        <v>54.85</v>
      </c>
      <c r="I87" s="451">
        <v>0</v>
      </c>
      <c r="J87" s="448">
        <v>16570.25</v>
      </c>
      <c r="K87" s="453">
        <v>585.5</v>
      </c>
      <c r="L87" s="448">
        <v>122538.05</v>
      </c>
      <c r="M87" s="422">
        <f t="shared" si="3"/>
        <v>1375964.69</v>
      </c>
      <c r="N87" s="446">
        <v>17160.75</v>
      </c>
      <c r="O87" s="446">
        <v>1522.5</v>
      </c>
      <c r="P87" s="446">
        <v>64014</v>
      </c>
      <c r="Q87" s="446">
        <v>22256.25</v>
      </c>
      <c r="R87" s="33">
        <v>29945.25</v>
      </c>
      <c r="S87" s="340"/>
      <c r="T87" s="446"/>
      <c r="U87" s="33">
        <v>0</v>
      </c>
      <c r="V87" s="446"/>
      <c r="W87" s="33"/>
      <c r="X87" s="417">
        <v>11145.9</v>
      </c>
      <c r="Y87" s="328">
        <f t="shared" si="4"/>
        <v>1522009.3399999999</v>
      </c>
      <c r="Z87" s="33">
        <v>10871.85</v>
      </c>
      <c r="AA87" s="33"/>
      <c r="AB87" s="33">
        <v>176205.85</v>
      </c>
      <c r="AC87" s="33"/>
      <c r="AD87" s="33">
        <v>43450.2</v>
      </c>
      <c r="AE87" s="33">
        <v>4798.8</v>
      </c>
      <c r="AF87" s="33"/>
      <c r="AG87" s="33"/>
      <c r="AH87" s="33"/>
      <c r="AI87" s="33"/>
      <c r="AJ87" s="33"/>
      <c r="AK87" s="33"/>
      <c r="AL87" s="33"/>
      <c r="AM87" s="328">
        <f t="shared" si="5"/>
        <v>235326.7</v>
      </c>
      <c r="AN87" s="371">
        <v>77.5</v>
      </c>
      <c r="AO87" s="388">
        <v>563</v>
      </c>
      <c r="AP87" s="33">
        <v>-23002.29</v>
      </c>
      <c r="AQ87" s="332"/>
      <c r="AR87" s="33">
        <v>0</v>
      </c>
      <c r="AS87" s="340">
        <v>1.2</v>
      </c>
      <c r="AT87" s="437"/>
      <c r="AU87" s="438"/>
      <c r="AV87" s="436"/>
      <c r="AW87" s="436"/>
      <c r="AX87" s="436"/>
      <c r="AY87" s="436"/>
      <c r="AZ87" s="436"/>
      <c r="BA87" s="436"/>
      <c r="BB87" s="436"/>
      <c r="BC87" s="436"/>
      <c r="BE87" s="383"/>
      <c r="BF87" s="383"/>
      <c r="BG87" s="383"/>
      <c r="BH87" s="383"/>
      <c r="BI87" s="383"/>
      <c r="BJ87" s="383"/>
      <c r="BK87" s="383"/>
      <c r="BL87" s="383"/>
      <c r="BM87" s="383"/>
      <c r="BN87" s="383"/>
      <c r="BO87" s="383"/>
    </row>
    <row r="88" spans="1:67" x14ac:dyDescent="0.25">
      <c r="A88" s="335">
        <v>5531</v>
      </c>
      <c r="B88" s="425" t="s">
        <v>190</v>
      </c>
      <c r="C88" s="446">
        <v>938883.83</v>
      </c>
      <c r="D88" s="33">
        <v>116401.97</v>
      </c>
      <c r="E88" s="448"/>
      <c r="F88" s="452">
        <v>0</v>
      </c>
      <c r="G88" s="452">
        <v>3915.85</v>
      </c>
      <c r="H88" s="453">
        <v>499.9</v>
      </c>
      <c r="I88" s="451">
        <v>0</v>
      </c>
      <c r="J88" s="448">
        <v>3556.23</v>
      </c>
      <c r="K88" s="453">
        <v>887.75</v>
      </c>
      <c r="L88" s="448">
        <v>76674.75</v>
      </c>
      <c r="M88" s="422">
        <f t="shared" si="3"/>
        <v>1140820.28</v>
      </c>
      <c r="N88" s="446">
        <v>6576.7</v>
      </c>
      <c r="O88" s="446">
        <v>0</v>
      </c>
      <c r="P88" s="446">
        <v>9718.25</v>
      </c>
      <c r="Q88" s="446">
        <v>1458.35</v>
      </c>
      <c r="R88" s="33">
        <v>582.45000000000005</v>
      </c>
      <c r="S88" s="340"/>
      <c r="T88" s="446"/>
      <c r="U88" s="33">
        <v>0</v>
      </c>
      <c r="V88" s="446"/>
      <c r="W88" s="33"/>
      <c r="X88" s="417">
        <v>1145.3499999999999</v>
      </c>
      <c r="Y88" s="328">
        <f t="shared" si="4"/>
        <v>1160301.3800000001</v>
      </c>
      <c r="Z88" s="33">
        <v>16400</v>
      </c>
      <c r="AA88" s="33"/>
      <c r="AB88" s="33">
        <v>91212.5</v>
      </c>
      <c r="AC88" s="33"/>
      <c r="AD88" s="33">
        <v>29282.5</v>
      </c>
      <c r="AE88" s="33">
        <v>6733.4</v>
      </c>
      <c r="AF88" s="33"/>
      <c r="AG88" s="33"/>
      <c r="AH88" s="33"/>
      <c r="AI88" s="33"/>
      <c r="AJ88" s="33"/>
      <c r="AK88" s="33"/>
      <c r="AL88" s="33"/>
      <c r="AM88" s="328">
        <f t="shared" si="5"/>
        <v>143628.4</v>
      </c>
      <c r="AN88" s="371">
        <v>78</v>
      </c>
      <c r="AO88" s="388">
        <v>421</v>
      </c>
      <c r="AP88" s="33">
        <v>-139.79</v>
      </c>
      <c r="AQ88" s="332"/>
      <c r="AR88" s="33">
        <v>-289.16000000000003</v>
      </c>
      <c r="AS88" s="340">
        <v>1</v>
      </c>
      <c r="AT88" s="437"/>
      <c r="AU88" s="438"/>
      <c r="AV88" s="436"/>
      <c r="AW88" s="436"/>
      <c r="AX88" s="436"/>
      <c r="AY88" s="436"/>
      <c r="AZ88" s="436"/>
      <c r="BA88" s="436"/>
      <c r="BB88" s="436"/>
      <c r="BC88" s="436"/>
      <c r="BE88" s="383"/>
      <c r="BF88" s="383"/>
      <c r="BG88" s="383"/>
      <c r="BH88" s="383"/>
      <c r="BI88" s="383"/>
      <c r="BJ88" s="383"/>
      <c r="BK88" s="383"/>
      <c r="BL88" s="383"/>
      <c r="BM88" s="383"/>
      <c r="BN88" s="383"/>
      <c r="BO88" s="383"/>
    </row>
    <row r="89" spans="1:67" x14ac:dyDescent="0.25">
      <c r="A89" s="335">
        <v>5533</v>
      </c>
      <c r="B89" s="425" t="s">
        <v>191</v>
      </c>
      <c r="C89" s="446">
        <v>1307807.1200000001</v>
      </c>
      <c r="D89" s="33">
        <v>157968.57</v>
      </c>
      <c r="E89" s="448"/>
      <c r="F89" s="452">
        <v>0</v>
      </c>
      <c r="G89" s="452">
        <v>-7245</v>
      </c>
      <c r="H89" s="453">
        <v>687.7</v>
      </c>
      <c r="I89" s="451">
        <v>47228.4</v>
      </c>
      <c r="J89" s="448">
        <v>44615.56</v>
      </c>
      <c r="K89" s="453">
        <v>-3482.75</v>
      </c>
      <c r="L89" s="448">
        <v>142687.70000000001</v>
      </c>
      <c r="M89" s="422">
        <f t="shared" si="3"/>
        <v>1690267.3</v>
      </c>
      <c r="N89" s="446">
        <v>4124.7</v>
      </c>
      <c r="O89" s="446">
        <v>0</v>
      </c>
      <c r="P89" s="446">
        <v>130356.55</v>
      </c>
      <c r="Q89" s="446">
        <v>6839.82</v>
      </c>
      <c r="R89" s="33">
        <v>9974.5</v>
      </c>
      <c r="S89" s="340">
        <v>1241</v>
      </c>
      <c r="T89" s="446"/>
      <c r="U89" s="33">
        <v>7450</v>
      </c>
      <c r="V89" s="446"/>
      <c r="W89" s="33"/>
      <c r="X89" s="417">
        <v>23098.7</v>
      </c>
      <c r="Y89" s="328">
        <f t="shared" si="4"/>
        <v>1873352.57</v>
      </c>
      <c r="Z89" s="33"/>
      <c r="AA89" s="33"/>
      <c r="AB89" s="33">
        <v>107195.8</v>
      </c>
      <c r="AC89" s="33"/>
      <c r="AD89" s="33">
        <v>40651.050000000003</v>
      </c>
      <c r="AE89" s="33"/>
      <c r="AF89" s="33"/>
      <c r="AG89" s="33"/>
      <c r="AH89" s="33"/>
      <c r="AI89" s="33"/>
      <c r="AJ89" s="33"/>
      <c r="AK89" s="33"/>
      <c r="AL89" s="33"/>
      <c r="AM89" s="328">
        <f t="shared" si="5"/>
        <v>147846.85</v>
      </c>
      <c r="AN89" s="371">
        <v>73</v>
      </c>
      <c r="AO89" s="388">
        <v>829</v>
      </c>
      <c r="AP89" s="33">
        <v>-53157.62</v>
      </c>
      <c r="AQ89" s="332"/>
      <c r="AR89" s="33">
        <v>-10.75</v>
      </c>
      <c r="AS89" s="340">
        <v>1</v>
      </c>
      <c r="AT89" s="437"/>
      <c r="AU89" s="438"/>
      <c r="AV89" s="436"/>
      <c r="AW89" s="436"/>
      <c r="AX89" s="436"/>
      <c r="AY89" s="436"/>
      <c r="AZ89" s="436"/>
      <c r="BA89" s="436"/>
      <c r="BB89" s="436"/>
      <c r="BC89" s="436"/>
      <c r="BE89" s="383"/>
      <c r="BF89" s="383"/>
      <c r="BG89" s="383"/>
      <c r="BH89" s="383"/>
      <c r="BI89" s="383"/>
      <c r="BJ89" s="383"/>
      <c r="BK89" s="383"/>
      <c r="BL89" s="383"/>
      <c r="BM89" s="383"/>
      <c r="BN89" s="383"/>
      <c r="BO89" s="383"/>
    </row>
    <row r="90" spans="1:67" x14ac:dyDescent="0.25">
      <c r="A90" s="335">
        <v>5534</v>
      </c>
      <c r="B90" s="425" t="s">
        <v>192</v>
      </c>
      <c r="C90" s="446">
        <v>484177.4</v>
      </c>
      <c r="D90" s="33">
        <v>92860.49</v>
      </c>
      <c r="E90" s="448"/>
      <c r="F90" s="452">
        <v>0</v>
      </c>
      <c r="G90" s="452">
        <v>86990.9</v>
      </c>
      <c r="H90" s="453">
        <v>-1504.4</v>
      </c>
      <c r="I90" s="451">
        <v>0</v>
      </c>
      <c r="J90" s="448">
        <v>5607.79</v>
      </c>
      <c r="K90" s="453">
        <v>861</v>
      </c>
      <c r="L90" s="448">
        <v>78799.600000000006</v>
      </c>
      <c r="M90" s="422">
        <f t="shared" si="3"/>
        <v>747792.78</v>
      </c>
      <c r="N90" s="446">
        <v>32174.75</v>
      </c>
      <c r="O90" s="446">
        <v>0</v>
      </c>
      <c r="P90" s="446">
        <v>14278</v>
      </c>
      <c r="Q90" s="446">
        <v>0</v>
      </c>
      <c r="R90" s="33">
        <v>16712.25</v>
      </c>
      <c r="S90" s="340"/>
      <c r="T90" s="446">
        <v>256</v>
      </c>
      <c r="U90" s="33">
        <v>1700</v>
      </c>
      <c r="V90" s="446"/>
      <c r="W90" s="33"/>
      <c r="X90" s="417">
        <v>18824.75</v>
      </c>
      <c r="Y90" s="328">
        <f t="shared" si="4"/>
        <v>831738.53</v>
      </c>
      <c r="Z90" s="33">
        <v>750</v>
      </c>
      <c r="AA90" s="33"/>
      <c r="AB90" s="33">
        <v>12693.85</v>
      </c>
      <c r="AC90" s="33"/>
      <c r="AD90" s="33">
        <v>12840</v>
      </c>
      <c r="AE90" s="33">
        <v>750</v>
      </c>
      <c r="AF90" s="33"/>
      <c r="AG90" s="33"/>
      <c r="AH90" s="33"/>
      <c r="AI90" s="33"/>
      <c r="AJ90" s="33"/>
      <c r="AK90" s="33"/>
      <c r="AL90" s="33"/>
      <c r="AM90" s="328">
        <f t="shared" si="5"/>
        <v>27033.85</v>
      </c>
      <c r="AN90" s="371">
        <v>73</v>
      </c>
      <c r="AO90" s="388">
        <v>265</v>
      </c>
      <c r="AP90" s="33">
        <v>-2749</v>
      </c>
      <c r="AQ90" s="332"/>
      <c r="AR90" s="33">
        <v>0</v>
      </c>
      <c r="AS90" s="340">
        <v>1</v>
      </c>
      <c r="AT90" s="437"/>
      <c r="AU90" s="438"/>
      <c r="AV90" s="436"/>
      <c r="AW90" s="436"/>
      <c r="AX90" s="436"/>
      <c r="AY90" s="436"/>
      <c r="AZ90" s="436"/>
      <c r="BA90" s="436"/>
      <c r="BB90" s="436"/>
      <c r="BC90" s="436"/>
      <c r="BE90" s="383"/>
      <c r="BF90" s="383"/>
      <c r="BG90" s="383"/>
      <c r="BH90" s="383"/>
      <c r="BI90" s="383"/>
      <c r="BJ90" s="383"/>
      <c r="BK90" s="383"/>
      <c r="BL90" s="383"/>
      <c r="BM90" s="383"/>
      <c r="BN90" s="383"/>
      <c r="BO90" s="383"/>
    </row>
    <row r="91" spans="1:67" x14ac:dyDescent="0.25">
      <c r="A91" s="335">
        <v>5535</v>
      </c>
      <c r="B91" s="425" t="s">
        <v>30</v>
      </c>
      <c r="C91" s="446">
        <v>1412037.58</v>
      </c>
      <c r="D91" s="33">
        <v>135230.39000000001</v>
      </c>
      <c r="E91" s="448"/>
      <c r="F91" s="452">
        <v>0</v>
      </c>
      <c r="G91" s="452">
        <v>-2478.5</v>
      </c>
      <c r="H91" s="453">
        <v>4441.25</v>
      </c>
      <c r="I91" s="451">
        <v>0</v>
      </c>
      <c r="J91" s="448">
        <v>25901.040000000001</v>
      </c>
      <c r="K91" s="453">
        <v>1504.3</v>
      </c>
      <c r="L91" s="448">
        <v>146768.1</v>
      </c>
      <c r="M91" s="422">
        <f t="shared" si="3"/>
        <v>1723404.1600000004</v>
      </c>
      <c r="N91" s="446">
        <v>42181.4</v>
      </c>
      <c r="O91" s="446">
        <v>0</v>
      </c>
      <c r="P91" s="446">
        <v>28930</v>
      </c>
      <c r="Q91" s="446">
        <v>22972.49</v>
      </c>
      <c r="R91" s="33">
        <v>42511.3</v>
      </c>
      <c r="S91" s="340"/>
      <c r="T91" s="446">
        <v>515</v>
      </c>
      <c r="U91" s="33">
        <v>7800</v>
      </c>
      <c r="V91" s="446"/>
      <c r="W91" s="33"/>
      <c r="X91" s="417">
        <v>2872.2</v>
      </c>
      <c r="Y91" s="328">
        <f t="shared" si="4"/>
        <v>1871186.5500000003</v>
      </c>
      <c r="Z91" s="33">
        <v>13500</v>
      </c>
      <c r="AA91" s="33" t="s">
        <v>599</v>
      </c>
      <c r="AB91" s="33">
        <v>131052</v>
      </c>
      <c r="AC91" s="33" t="s">
        <v>599</v>
      </c>
      <c r="AD91" s="33">
        <v>55258.55</v>
      </c>
      <c r="AE91" s="33">
        <v>5850</v>
      </c>
      <c r="AF91" s="33"/>
      <c r="AG91" s="33"/>
      <c r="AH91" s="33"/>
      <c r="AI91" s="33"/>
      <c r="AJ91" s="33"/>
      <c r="AK91" s="33"/>
      <c r="AL91" s="33"/>
      <c r="AM91" s="328">
        <f t="shared" si="5"/>
        <v>205660.55</v>
      </c>
      <c r="AN91" s="371">
        <v>77</v>
      </c>
      <c r="AO91" s="388">
        <v>791</v>
      </c>
      <c r="AP91" s="33">
        <v>-18361.509999999998</v>
      </c>
      <c r="AQ91" s="332"/>
      <c r="AR91" s="33">
        <v>-8.5299999999999994</v>
      </c>
      <c r="AS91" s="340">
        <v>1</v>
      </c>
      <c r="AT91" s="437"/>
      <c r="AU91" s="438"/>
      <c r="AV91" s="436"/>
      <c r="AW91" s="436"/>
      <c r="AX91" s="436"/>
      <c r="AY91" s="436"/>
      <c r="AZ91" s="436"/>
      <c r="BA91" s="436"/>
      <c r="BB91" s="436"/>
      <c r="BC91" s="436"/>
      <c r="BE91" s="383"/>
      <c r="BF91" s="383"/>
      <c r="BG91" s="383"/>
      <c r="BH91" s="383"/>
      <c r="BI91" s="383"/>
      <c r="BJ91" s="383"/>
      <c r="BK91" s="383"/>
      <c r="BL91" s="383"/>
      <c r="BM91" s="383"/>
      <c r="BN91" s="383"/>
      <c r="BO91" s="383"/>
    </row>
    <row r="92" spans="1:67" x14ac:dyDescent="0.25">
      <c r="A92" s="335">
        <v>5537</v>
      </c>
      <c r="B92" s="425" t="s">
        <v>31</v>
      </c>
      <c r="C92" s="446">
        <v>2150147.1</v>
      </c>
      <c r="D92" s="33">
        <v>246771.57</v>
      </c>
      <c r="E92" s="448"/>
      <c r="F92" s="452">
        <v>6875</v>
      </c>
      <c r="G92" s="452">
        <v>38404.35</v>
      </c>
      <c r="H92" s="453">
        <v>546.75</v>
      </c>
      <c r="I92" s="451">
        <v>0</v>
      </c>
      <c r="J92" s="448">
        <v>13406.28</v>
      </c>
      <c r="K92" s="453">
        <v>2556.75</v>
      </c>
      <c r="L92" s="448">
        <v>178613.85</v>
      </c>
      <c r="M92" s="422">
        <f t="shared" si="3"/>
        <v>2637321.65</v>
      </c>
      <c r="N92" s="446">
        <v>0</v>
      </c>
      <c r="O92" s="446">
        <v>2371.1</v>
      </c>
      <c r="P92" s="446">
        <v>74986.2</v>
      </c>
      <c r="Q92" s="446">
        <v>350.7</v>
      </c>
      <c r="R92" s="33">
        <v>16821.150000000001</v>
      </c>
      <c r="S92" s="340">
        <v>200</v>
      </c>
      <c r="T92" s="446"/>
      <c r="U92" s="33">
        <v>8645</v>
      </c>
      <c r="V92" s="446"/>
      <c r="W92" s="33"/>
      <c r="X92" s="417">
        <v>4222.8500000000004</v>
      </c>
      <c r="Y92" s="328">
        <f t="shared" si="4"/>
        <v>2744918.6500000004</v>
      </c>
      <c r="Z92" s="33">
        <v>26811.1</v>
      </c>
      <c r="AA92" s="33" t="s">
        <v>599</v>
      </c>
      <c r="AB92" s="33">
        <v>228641.3</v>
      </c>
      <c r="AC92" s="33" t="s">
        <v>599</v>
      </c>
      <c r="AD92" s="33">
        <v>130271.5</v>
      </c>
      <c r="AE92" s="33">
        <v>26811.1</v>
      </c>
      <c r="AF92" s="33" t="s">
        <v>599</v>
      </c>
      <c r="AG92" s="33" t="s">
        <v>599</v>
      </c>
      <c r="AH92" s="33" t="s">
        <v>599</v>
      </c>
      <c r="AI92" s="33"/>
      <c r="AJ92" s="33"/>
      <c r="AK92" s="33"/>
      <c r="AL92" s="33"/>
      <c r="AM92" s="328">
        <f t="shared" si="5"/>
        <v>412535</v>
      </c>
      <c r="AN92" s="371">
        <v>73</v>
      </c>
      <c r="AO92" s="388">
        <v>1228</v>
      </c>
      <c r="AP92" s="33">
        <v>-38908.65</v>
      </c>
      <c r="AQ92" s="332"/>
      <c r="AR92" s="33">
        <v>-24.63</v>
      </c>
      <c r="AS92" s="340">
        <v>0.8</v>
      </c>
      <c r="AT92" s="437"/>
      <c r="AU92" s="438"/>
      <c r="AV92" s="436"/>
      <c r="AW92" s="436"/>
      <c r="AX92" s="436"/>
      <c r="AY92" s="460"/>
      <c r="AZ92" s="436"/>
      <c r="BA92" s="436"/>
      <c r="BB92" s="436"/>
      <c r="BC92" s="436"/>
      <c r="BE92" s="383"/>
      <c r="BF92" s="383"/>
      <c r="BG92" s="383"/>
      <c r="BH92" s="383"/>
      <c r="BI92" s="383"/>
      <c r="BJ92" s="383"/>
      <c r="BK92" s="383"/>
      <c r="BL92" s="383"/>
      <c r="BM92" s="383"/>
      <c r="BN92" s="383"/>
      <c r="BO92" s="383"/>
    </row>
    <row r="93" spans="1:67" x14ac:dyDescent="0.25">
      <c r="A93" s="335">
        <v>5539</v>
      </c>
      <c r="B93" s="425" t="s">
        <v>32</v>
      </c>
      <c r="C93" s="446">
        <v>1873170.23</v>
      </c>
      <c r="D93" s="33">
        <v>197705.62</v>
      </c>
      <c r="E93" s="448"/>
      <c r="F93" s="452">
        <v>0</v>
      </c>
      <c r="G93" s="452">
        <v>16155.3</v>
      </c>
      <c r="H93" s="453">
        <v>565.35</v>
      </c>
      <c r="I93" s="451">
        <v>0</v>
      </c>
      <c r="J93" s="448">
        <v>21066.37</v>
      </c>
      <c r="K93" s="453">
        <v>4855.3999999999996</v>
      </c>
      <c r="L93" s="448">
        <v>142788.5</v>
      </c>
      <c r="M93" s="422">
        <f t="shared" si="3"/>
        <v>2256306.77</v>
      </c>
      <c r="N93" s="446">
        <v>21711.65</v>
      </c>
      <c r="O93" s="446">
        <v>0</v>
      </c>
      <c r="P93" s="446">
        <v>160546.95000000001</v>
      </c>
      <c r="Q93" s="446">
        <v>15884.41</v>
      </c>
      <c r="R93" s="33">
        <v>33110.800000000003</v>
      </c>
      <c r="S93" s="340"/>
      <c r="T93" s="446"/>
      <c r="U93" s="33">
        <v>7100</v>
      </c>
      <c r="V93" s="446"/>
      <c r="W93" s="33"/>
      <c r="X93" s="417">
        <v>2059.5500000000002</v>
      </c>
      <c r="Y93" s="328">
        <f t="shared" si="4"/>
        <v>2496720.13</v>
      </c>
      <c r="Z93" s="33">
        <v>81802.75</v>
      </c>
      <c r="AA93" s="33"/>
      <c r="AB93" s="33">
        <v>323564</v>
      </c>
      <c r="AC93" s="33"/>
      <c r="AD93" s="33">
        <v>65350</v>
      </c>
      <c r="AE93" s="33">
        <v>58222.15</v>
      </c>
      <c r="AF93" s="33"/>
      <c r="AG93" s="33"/>
      <c r="AH93" s="33"/>
      <c r="AI93" s="33">
        <v>20354.55</v>
      </c>
      <c r="AJ93" s="33"/>
      <c r="AK93" s="33"/>
      <c r="AL93" s="33"/>
      <c r="AM93" s="328">
        <f t="shared" si="5"/>
        <v>549293.45000000007</v>
      </c>
      <c r="AN93" s="371">
        <v>75</v>
      </c>
      <c r="AO93" s="388">
        <v>1054</v>
      </c>
      <c r="AP93" s="33">
        <v>-59851.69</v>
      </c>
      <c r="AQ93" s="332"/>
      <c r="AR93" s="33">
        <v>-50.61</v>
      </c>
      <c r="AS93" s="340">
        <v>0.8</v>
      </c>
      <c r="AT93" s="437"/>
      <c r="AU93" s="438"/>
      <c r="AV93" s="436"/>
      <c r="AW93" s="436"/>
      <c r="AX93" s="436"/>
      <c r="AY93" s="436"/>
      <c r="AZ93" s="436"/>
      <c r="BA93" s="436"/>
      <c r="BB93" s="436"/>
      <c r="BC93" s="436"/>
      <c r="BE93" s="383"/>
      <c r="BF93" s="383"/>
      <c r="BG93" s="383"/>
      <c r="BH93" s="383"/>
      <c r="BI93" s="383"/>
      <c r="BJ93" s="383"/>
      <c r="BK93" s="383"/>
      <c r="BL93" s="383"/>
      <c r="BM93" s="383"/>
      <c r="BN93" s="383"/>
      <c r="BO93" s="383"/>
    </row>
    <row r="94" spans="1:67" x14ac:dyDescent="0.25">
      <c r="A94" s="335">
        <v>5540</v>
      </c>
      <c r="B94" s="425" t="s">
        <v>432</v>
      </c>
      <c r="C94" s="446">
        <v>3825681.55</v>
      </c>
      <c r="D94" s="33">
        <v>510524.87</v>
      </c>
      <c r="E94" s="448"/>
      <c r="F94" s="452">
        <v>0</v>
      </c>
      <c r="G94" s="452">
        <v>60066.6</v>
      </c>
      <c r="H94" s="453">
        <v>4958.3</v>
      </c>
      <c r="I94" s="451">
        <v>0</v>
      </c>
      <c r="J94" s="448">
        <v>67900.75</v>
      </c>
      <c r="K94" s="453">
        <v>9292.85</v>
      </c>
      <c r="L94" s="448">
        <v>266213</v>
      </c>
      <c r="M94" s="422">
        <f t="shared" si="3"/>
        <v>4744637.919999999</v>
      </c>
      <c r="N94" s="446">
        <v>2612.8000000000002</v>
      </c>
      <c r="O94" s="446">
        <v>0</v>
      </c>
      <c r="P94" s="446">
        <v>100167.35</v>
      </c>
      <c r="Q94" s="446">
        <v>19583.669999999998</v>
      </c>
      <c r="R94" s="33">
        <v>56097.35</v>
      </c>
      <c r="S94" s="340"/>
      <c r="T94" s="446">
        <v>748</v>
      </c>
      <c r="U94" s="33">
        <v>13850</v>
      </c>
      <c r="V94" s="446"/>
      <c r="W94" s="33"/>
      <c r="X94" s="417">
        <v>17532.25</v>
      </c>
      <c r="Y94" s="328">
        <f t="shared" si="4"/>
        <v>4955229.339999998</v>
      </c>
      <c r="Z94" s="33">
        <v>48822.55</v>
      </c>
      <c r="AA94" s="33"/>
      <c r="AB94" s="33">
        <v>172768.95</v>
      </c>
      <c r="AC94" s="33"/>
      <c r="AD94" s="33">
        <v>126498.5</v>
      </c>
      <c r="AE94" s="33">
        <v>29040.799999999999</v>
      </c>
      <c r="AF94" s="33"/>
      <c r="AG94" s="33"/>
      <c r="AH94" s="33"/>
      <c r="AI94" s="33"/>
      <c r="AJ94" s="33"/>
      <c r="AK94" s="33"/>
      <c r="AL94" s="33"/>
      <c r="AM94" s="328">
        <f t="shared" si="5"/>
        <v>377130.8</v>
      </c>
      <c r="AN94" s="371">
        <v>74</v>
      </c>
      <c r="AO94" s="388">
        <v>1819</v>
      </c>
      <c r="AP94" s="33">
        <v>-53955.62</v>
      </c>
      <c r="AQ94" s="332">
        <v>-1675.1</v>
      </c>
      <c r="AR94" s="33">
        <v>-304.41000000000003</v>
      </c>
      <c r="AS94" s="340">
        <v>0.8</v>
      </c>
      <c r="AT94" s="437"/>
      <c r="AU94" s="438"/>
      <c r="AV94" s="436"/>
      <c r="AW94" s="436"/>
      <c r="AX94" s="436"/>
      <c r="AY94" s="436"/>
      <c r="AZ94" s="436"/>
      <c r="BA94" s="436"/>
      <c r="BB94" s="436"/>
      <c r="BC94" s="436"/>
      <c r="BE94" s="383"/>
      <c r="BF94" s="383"/>
      <c r="BG94" s="383"/>
      <c r="BH94" s="383"/>
      <c r="BI94" s="383"/>
      <c r="BJ94" s="383"/>
      <c r="BK94" s="383"/>
      <c r="BL94" s="383"/>
      <c r="BM94" s="383"/>
      <c r="BN94" s="383"/>
      <c r="BO94" s="383"/>
    </row>
    <row r="95" spans="1:67" x14ac:dyDescent="0.25">
      <c r="A95" s="335">
        <v>5541</v>
      </c>
      <c r="B95" s="425" t="s">
        <v>431</v>
      </c>
      <c r="C95" s="446">
        <v>2280670.6</v>
      </c>
      <c r="D95" s="33">
        <v>322807.82</v>
      </c>
      <c r="E95" s="448"/>
      <c r="F95" s="452">
        <v>0</v>
      </c>
      <c r="G95" s="452">
        <v>45026.2</v>
      </c>
      <c r="H95" s="453">
        <v>4371.3500000000004</v>
      </c>
      <c r="I95" s="451">
        <v>0</v>
      </c>
      <c r="J95" s="448">
        <v>18747.310000000001</v>
      </c>
      <c r="K95" s="453">
        <v>1720.65</v>
      </c>
      <c r="L95" s="448">
        <v>207147.85</v>
      </c>
      <c r="M95" s="422">
        <f t="shared" si="3"/>
        <v>2880491.7800000003</v>
      </c>
      <c r="N95" s="446">
        <v>3564.9</v>
      </c>
      <c r="O95" s="446">
        <v>129809.1</v>
      </c>
      <c r="P95" s="446">
        <v>57813.75</v>
      </c>
      <c r="Q95" s="446">
        <v>4807.1400000000003</v>
      </c>
      <c r="R95" s="33">
        <v>27385.35</v>
      </c>
      <c r="S95" s="340"/>
      <c r="T95" s="446"/>
      <c r="U95" s="33">
        <v>7100</v>
      </c>
      <c r="V95" s="446"/>
      <c r="W95" s="33"/>
      <c r="X95" s="417">
        <v>14118.35</v>
      </c>
      <c r="Y95" s="328">
        <f t="shared" si="4"/>
        <v>3125090.3700000006</v>
      </c>
      <c r="Z95" s="33">
        <v>21744.400000000001</v>
      </c>
      <c r="AA95" s="33"/>
      <c r="AB95" s="33">
        <v>56784.35</v>
      </c>
      <c r="AC95" s="33"/>
      <c r="AD95" s="33">
        <v>62066.25</v>
      </c>
      <c r="AE95" s="33">
        <v>2214.6</v>
      </c>
      <c r="AF95" s="33"/>
      <c r="AG95" s="33"/>
      <c r="AH95" s="33"/>
      <c r="AI95" s="33"/>
      <c r="AJ95" s="33"/>
      <c r="AK95" s="33"/>
      <c r="AL95" s="33"/>
      <c r="AM95" s="328">
        <f t="shared" si="5"/>
        <v>142809.60000000001</v>
      </c>
      <c r="AN95" s="371">
        <v>77</v>
      </c>
      <c r="AO95" s="388">
        <v>1140</v>
      </c>
      <c r="AP95" s="33">
        <v>-20384.97</v>
      </c>
      <c r="AQ95" s="332"/>
      <c r="AR95" s="33">
        <v>-48.27</v>
      </c>
      <c r="AS95" s="340">
        <v>1</v>
      </c>
      <c r="AT95" s="437"/>
      <c r="AU95" s="438"/>
      <c r="AV95" s="436"/>
      <c r="AW95" s="436"/>
      <c r="AX95" s="436"/>
      <c r="AY95" s="436"/>
      <c r="AZ95" s="436"/>
      <c r="BA95" s="436"/>
      <c r="BB95" s="436"/>
      <c r="BC95" s="436"/>
      <c r="BE95" s="383"/>
      <c r="BF95" s="383"/>
      <c r="BG95" s="383"/>
      <c r="BH95" s="383"/>
      <c r="BI95" s="383"/>
      <c r="BJ95" s="383"/>
      <c r="BK95" s="383"/>
      <c r="BL95" s="383"/>
      <c r="BM95" s="383"/>
      <c r="BN95" s="383"/>
      <c r="BO95" s="383"/>
    </row>
    <row r="96" spans="1:67" x14ac:dyDescent="0.25">
      <c r="A96" s="335">
        <v>5551</v>
      </c>
      <c r="B96" s="425" t="s">
        <v>33</v>
      </c>
      <c r="C96" s="446">
        <v>745611.1</v>
      </c>
      <c r="D96" s="33">
        <v>123538.85</v>
      </c>
      <c r="E96" s="448"/>
      <c r="F96" s="452">
        <v>0</v>
      </c>
      <c r="G96" s="452">
        <v>21349.45</v>
      </c>
      <c r="H96" s="453">
        <v>359.75</v>
      </c>
      <c r="I96" s="451">
        <v>0</v>
      </c>
      <c r="J96" s="448">
        <v>4469.17</v>
      </c>
      <c r="K96" s="453">
        <v>7170</v>
      </c>
      <c r="L96" s="448">
        <v>112532</v>
      </c>
      <c r="M96" s="422">
        <f t="shared" si="3"/>
        <v>1015030.32</v>
      </c>
      <c r="N96" s="446">
        <v>0</v>
      </c>
      <c r="O96" s="446">
        <v>0</v>
      </c>
      <c r="P96" s="446">
        <v>10530.9</v>
      </c>
      <c r="Q96" s="446">
        <v>0</v>
      </c>
      <c r="R96" s="33">
        <v>13978.6</v>
      </c>
      <c r="S96" s="340"/>
      <c r="T96" s="446"/>
      <c r="U96" s="33">
        <v>3441.7</v>
      </c>
      <c r="V96" s="446"/>
      <c r="W96" s="33"/>
      <c r="X96" s="417">
        <v>3589.35</v>
      </c>
      <c r="Y96" s="328">
        <f t="shared" si="4"/>
        <v>1046570.8699999999</v>
      </c>
      <c r="Z96" s="33">
        <v>8658</v>
      </c>
      <c r="AA96" s="33">
        <v>39195</v>
      </c>
      <c r="AB96" s="33">
        <v>39369</v>
      </c>
      <c r="AC96" s="33"/>
      <c r="AD96" s="33">
        <v>33686.25</v>
      </c>
      <c r="AE96" s="33">
        <v>9620</v>
      </c>
      <c r="AF96" s="33"/>
      <c r="AG96" s="33"/>
      <c r="AH96" s="33">
        <v>3774</v>
      </c>
      <c r="AI96" s="33"/>
      <c r="AJ96" s="33"/>
      <c r="AK96" s="33"/>
      <c r="AL96" s="33"/>
      <c r="AM96" s="328">
        <f t="shared" si="5"/>
        <v>134302.25</v>
      </c>
      <c r="AN96" s="371">
        <v>55</v>
      </c>
      <c r="AO96" s="388">
        <v>490</v>
      </c>
      <c r="AP96" s="33">
        <v>-12238.86</v>
      </c>
      <c r="AQ96" s="332"/>
      <c r="AR96" s="33">
        <v>-859.49</v>
      </c>
      <c r="AS96" s="340">
        <v>1</v>
      </c>
      <c r="AT96" s="437"/>
      <c r="AU96" s="438"/>
      <c r="AV96" s="436"/>
      <c r="AW96" s="436"/>
      <c r="AX96" s="436"/>
      <c r="AY96" s="436"/>
      <c r="AZ96" s="436"/>
      <c r="BA96" s="436"/>
      <c r="BB96" s="436"/>
      <c r="BC96" s="436"/>
      <c r="BE96" s="383"/>
      <c r="BF96" s="383"/>
      <c r="BG96" s="383"/>
      <c r="BH96" s="383"/>
      <c r="BI96" s="383"/>
      <c r="BJ96" s="383"/>
      <c r="BK96" s="383"/>
      <c r="BL96" s="383"/>
      <c r="BM96" s="383"/>
      <c r="BN96" s="383"/>
      <c r="BO96" s="383"/>
    </row>
    <row r="97" spans="1:67" x14ac:dyDescent="0.25">
      <c r="A97" s="335">
        <v>5552</v>
      </c>
      <c r="B97" s="425" t="s">
        <v>34</v>
      </c>
      <c r="C97" s="446">
        <v>995355.95</v>
      </c>
      <c r="D97" s="33">
        <v>203230.85</v>
      </c>
      <c r="E97" s="448"/>
      <c r="F97" s="452">
        <v>0</v>
      </c>
      <c r="G97" s="452">
        <v>8643.7999999999993</v>
      </c>
      <c r="H97" s="453">
        <v>2063.65</v>
      </c>
      <c r="I97" s="451">
        <v>0</v>
      </c>
      <c r="J97" s="448">
        <v>16355.25</v>
      </c>
      <c r="K97" s="453">
        <v>1523.3</v>
      </c>
      <c r="L97" s="448">
        <v>119008</v>
      </c>
      <c r="M97" s="422">
        <f t="shared" si="3"/>
        <v>1346180.8</v>
      </c>
      <c r="N97" s="446">
        <v>53648</v>
      </c>
      <c r="O97" s="446">
        <v>0</v>
      </c>
      <c r="P97" s="446">
        <v>62296.95</v>
      </c>
      <c r="Q97" s="446">
        <v>19.579999999999998</v>
      </c>
      <c r="R97" s="33">
        <v>38656</v>
      </c>
      <c r="S97" s="340"/>
      <c r="T97" s="446">
        <v>2131.15</v>
      </c>
      <c r="U97" s="33">
        <v>5550</v>
      </c>
      <c r="V97" s="446"/>
      <c r="W97" s="33"/>
      <c r="X97" s="417">
        <v>1535.6</v>
      </c>
      <c r="Y97" s="328">
        <f t="shared" si="4"/>
        <v>1510018.08</v>
      </c>
      <c r="Z97" s="33">
        <v>2000</v>
      </c>
      <c r="AA97" s="33"/>
      <c r="AB97" s="33">
        <v>117914.5</v>
      </c>
      <c r="AC97" s="33"/>
      <c r="AD97" s="33">
        <v>77157.75</v>
      </c>
      <c r="AE97" s="33">
        <v>5928.5</v>
      </c>
      <c r="AF97" s="33"/>
      <c r="AG97" s="33"/>
      <c r="AH97" s="33">
        <v>100186</v>
      </c>
      <c r="AI97" s="33">
        <v>27928.55</v>
      </c>
      <c r="AJ97" s="33"/>
      <c r="AK97" s="33"/>
      <c r="AL97" s="33"/>
      <c r="AM97" s="328">
        <f t="shared" si="5"/>
        <v>331115.3</v>
      </c>
      <c r="AN97" s="371">
        <v>73</v>
      </c>
      <c r="AO97" s="388">
        <v>657</v>
      </c>
      <c r="AP97" s="33">
        <v>-6413.84</v>
      </c>
      <c r="AQ97" s="332"/>
      <c r="AR97" s="33">
        <v>-131.47</v>
      </c>
      <c r="AS97" s="340">
        <v>1</v>
      </c>
      <c r="AT97" s="437"/>
      <c r="AU97" s="438"/>
      <c r="AV97" s="436"/>
      <c r="AW97" s="436"/>
      <c r="AX97" s="436"/>
      <c r="AY97" s="436"/>
      <c r="AZ97" s="436"/>
      <c r="BA97" s="436"/>
      <c r="BB97" s="436"/>
      <c r="BC97" s="436"/>
      <c r="BE97" s="383"/>
      <c r="BF97" s="383"/>
      <c r="BG97" s="383"/>
      <c r="BH97" s="383"/>
      <c r="BI97" s="383"/>
      <c r="BJ97" s="383"/>
      <c r="BK97" s="383"/>
      <c r="BL97" s="383"/>
      <c r="BM97" s="383"/>
      <c r="BN97" s="383"/>
      <c r="BO97" s="383"/>
    </row>
    <row r="98" spans="1:67" x14ac:dyDescent="0.25">
      <c r="A98" s="335">
        <v>5553</v>
      </c>
      <c r="B98" s="425" t="s">
        <v>35</v>
      </c>
      <c r="C98" s="446">
        <v>1783391.39</v>
      </c>
      <c r="D98" s="33">
        <v>293105.95</v>
      </c>
      <c r="E98" s="448"/>
      <c r="F98" s="452">
        <v>0</v>
      </c>
      <c r="G98" s="452">
        <v>73802.3</v>
      </c>
      <c r="H98" s="453">
        <v>30701.45</v>
      </c>
      <c r="I98" s="451">
        <v>0</v>
      </c>
      <c r="J98" s="448">
        <v>23613.39</v>
      </c>
      <c r="K98" s="453">
        <v>31512.35</v>
      </c>
      <c r="L98" s="448">
        <v>225127.9</v>
      </c>
      <c r="M98" s="422">
        <f t="shared" si="3"/>
        <v>2461254.73</v>
      </c>
      <c r="N98" s="446">
        <v>135489</v>
      </c>
      <c r="O98" s="446">
        <v>13213.5</v>
      </c>
      <c r="P98" s="446">
        <v>71001.3</v>
      </c>
      <c r="Q98" s="446">
        <v>10030.790000000001</v>
      </c>
      <c r="R98" s="33">
        <v>53417.15</v>
      </c>
      <c r="S98" s="340"/>
      <c r="T98" s="446"/>
      <c r="U98" s="33">
        <v>6550</v>
      </c>
      <c r="V98" s="446"/>
      <c r="W98" s="33"/>
      <c r="X98" s="417">
        <v>11281.85</v>
      </c>
      <c r="Y98" s="328">
        <f t="shared" si="4"/>
        <v>2762238.32</v>
      </c>
      <c r="Z98" s="33">
        <v>31912.9</v>
      </c>
      <c r="AA98" s="33"/>
      <c r="AB98" s="33">
        <v>124793</v>
      </c>
      <c r="AC98" s="33"/>
      <c r="AD98" s="33">
        <v>76157.350000000006</v>
      </c>
      <c r="AE98" s="33">
        <v>32814.6</v>
      </c>
      <c r="AF98" s="33"/>
      <c r="AG98" s="33"/>
      <c r="AH98" s="33"/>
      <c r="AI98" s="33">
        <v>102913.8</v>
      </c>
      <c r="AJ98" s="33"/>
      <c r="AK98" s="33"/>
      <c r="AL98" s="33"/>
      <c r="AM98" s="328">
        <f t="shared" si="5"/>
        <v>368591.64999999997</v>
      </c>
      <c r="AN98" s="371">
        <v>65</v>
      </c>
      <c r="AO98" s="388">
        <v>1059</v>
      </c>
      <c r="AP98" s="33">
        <v>-30906.28</v>
      </c>
      <c r="AQ98" s="332"/>
      <c r="AR98" s="33">
        <v>-1479.55</v>
      </c>
      <c r="AS98" s="340">
        <v>1</v>
      </c>
      <c r="AT98" s="437"/>
      <c r="AU98" s="438"/>
      <c r="AV98" s="436"/>
      <c r="AW98" s="436"/>
      <c r="AX98" s="436"/>
      <c r="AY98" s="436"/>
      <c r="AZ98" s="436"/>
      <c r="BA98" s="436"/>
      <c r="BB98" s="436"/>
      <c r="BC98" s="436"/>
      <c r="BE98" s="383"/>
      <c r="BF98" s="383"/>
      <c r="BG98" s="383"/>
      <c r="BH98" s="383"/>
      <c r="BI98" s="383"/>
      <c r="BJ98" s="383"/>
      <c r="BK98" s="383"/>
      <c r="BL98" s="383"/>
      <c r="BM98" s="383"/>
      <c r="BN98" s="383"/>
      <c r="BO98" s="383"/>
    </row>
    <row r="99" spans="1:67" x14ac:dyDescent="0.25">
      <c r="A99" s="335">
        <v>5554</v>
      </c>
      <c r="B99" s="425" t="s">
        <v>36</v>
      </c>
      <c r="C99" s="446">
        <v>1922693.52</v>
      </c>
      <c r="D99" s="33">
        <v>332438.68</v>
      </c>
      <c r="E99" s="448"/>
      <c r="F99" s="452">
        <v>0</v>
      </c>
      <c r="G99" s="452">
        <v>26261.1</v>
      </c>
      <c r="H99" s="453">
        <v>1422.6</v>
      </c>
      <c r="I99" s="451">
        <v>0</v>
      </c>
      <c r="J99" s="448">
        <v>51195.12</v>
      </c>
      <c r="K99" s="453">
        <v>-641.54999999999995</v>
      </c>
      <c r="L99" s="448">
        <v>176014.1</v>
      </c>
      <c r="M99" s="422">
        <f t="shared" si="3"/>
        <v>2509383.5700000008</v>
      </c>
      <c r="N99" s="446">
        <v>2698.3</v>
      </c>
      <c r="O99" s="446">
        <v>4050.8</v>
      </c>
      <c r="P99" s="446">
        <v>235222.65</v>
      </c>
      <c r="Q99" s="446">
        <v>2725.29</v>
      </c>
      <c r="R99" s="33">
        <v>129648.2</v>
      </c>
      <c r="S99" s="340">
        <v>1456.85</v>
      </c>
      <c r="T99" s="446"/>
      <c r="U99" s="33">
        <v>6562.5</v>
      </c>
      <c r="V99" s="446">
        <v>354.05</v>
      </c>
      <c r="W99" s="33"/>
      <c r="X99" s="417">
        <v>4598.05</v>
      </c>
      <c r="Y99" s="328">
        <f t="shared" si="4"/>
        <v>2896700.2600000002</v>
      </c>
      <c r="Z99" s="33">
        <v>54419.4</v>
      </c>
      <c r="AA99" s="33">
        <v>3212.65</v>
      </c>
      <c r="AB99" s="33">
        <v>135441.04999999999</v>
      </c>
      <c r="AC99" s="33"/>
      <c r="AD99" s="33">
        <v>57538.25</v>
      </c>
      <c r="AE99" s="33">
        <v>212738.75</v>
      </c>
      <c r="AF99" s="33">
        <v>6693</v>
      </c>
      <c r="AG99" s="33"/>
      <c r="AH99" s="33">
        <v>28441.75</v>
      </c>
      <c r="AI99" s="33">
        <v>32154.65</v>
      </c>
      <c r="AJ99" s="33"/>
      <c r="AK99" s="33"/>
      <c r="AL99" s="33"/>
      <c r="AM99" s="328">
        <f t="shared" si="5"/>
        <v>530639.5</v>
      </c>
      <c r="AN99" s="371">
        <v>75</v>
      </c>
      <c r="AO99" s="388">
        <v>1025</v>
      </c>
      <c r="AP99" s="33">
        <v>-16072.26</v>
      </c>
      <c r="AQ99" s="332"/>
      <c r="AR99" s="33">
        <v>-4047.7</v>
      </c>
      <c r="AS99" s="340">
        <v>1</v>
      </c>
      <c r="AT99" s="437"/>
      <c r="AU99" s="438"/>
      <c r="AV99" s="436"/>
      <c r="AW99" s="436"/>
      <c r="AX99" s="436"/>
      <c r="AY99" s="436"/>
      <c r="AZ99" s="436"/>
      <c r="BA99" s="436"/>
      <c r="BB99" s="436"/>
      <c r="BC99" s="436"/>
      <c r="BE99" s="383"/>
      <c r="BF99" s="383"/>
      <c r="BG99" s="383"/>
      <c r="BH99" s="383"/>
      <c r="BI99" s="383"/>
      <c r="BJ99" s="383"/>
      <c r="BK99" s="383"/>
      <c r="BL99" s="383"/>
      <c r="BM99" s="383"/>
      <c r="BN99" s="383"/>
      <c r="BO99" s="383"/>
    </row>
    <row r="100" spans="1:67" x14ac:dyDescent="0.25">
      <c r="A100" s="335">
        <v>5555</v>
      </c>
      <c r="B100" s="425" t="s">
        <v>37</v>
      </c>
      <c r="C100" s="446">
        <v>700031.57</v>
      </c>
      <c r="D100" s="33">
        <v>166334.95000000001</v>
      </c>
      <c r="E100" s="448"/>
      <c r="F100" s="452">
        <v>0</v>
      </c>
      <c r="G100" s="452">
        <v>6981</v>
      </c>
      <c r="H100" s="453">
        <v>2196.9</v>
      </c>
      <c r="I100" s="451">
        <v>0</v>
      </c>
      <c r="J100" s="448">
        <v>-1588.12</v>
      </c>
      <c r="K100" s="453">
        <v>1974.15</v>
      </c>
      <c r="L100" s="448">
        <v>90755.6</v>
      </c>
      <c r="M100" s="422">
        <f t="shared" si="3"/>
        <v>966686.05</v>
      </c>
      <c r="N100" s="446">
        <v>8245.2000000000007</v>
      </c>
      <c r="O100" s="446">
        <v>31777.3</v>
      </c>
      <c r="P100" s="446">
        <v>34152.449999999997</v>
      </c>
      <c r="Q100" s="446">
        <v>0</v>
      </c>
      <c r="R100" s="33">
        <v>21330.5</v>
      </c>
      <c r="S100" s="340"/>
      <c r="T100" s="446"/>
      <c r="U100" s="33">
        <v>1290</v>
      </c>
      <c r="V100" s="446"/>
      <c r="W100" s="33"/>
      <c r="X100" s="417">
        <v>1613.3</v>
      </c>
      <c r="Y100" s="328">
        <f t="shared" si="4"/>
        <v>1065094.8</v>
      </c>
      <c r="Z100" s="33">
        <v>23232</v>
      </c>
      <c r="AA100" s="33"/>
      <c r="AB100" s="33">
        <v>96399.8</v>
      </c>
      <c r="AC100" s="33"/>
      <c r="AD100" s="33">
        <v>20582.650000000001</v>
      </c>
      <c r="AE100" s="33">
        <v>38720</v>
      </c>
      <c r="AF100" s="33"/>
      <c r="AG100" s="33"/>
      <c r="AH100" s="33">
        <v>10785.4</v>
      </c>
      <c r="AI100" s="33">
        <v>10311.6</v>
      </c>
      <c r="AJ100" s="33"/>
      <c r="AK100" s="33"/>
      <c r="AL100" s="33"/>
      <c r="AM100" s="328">
        <f t="shared" si="5"/>
        <v>200031.45</v>
      </c>
      <c r="AN100" s="371">
        <v>71</v>
      </c>
      <c r="AO100" s="388">
        <v>401</v>
      </c>
      <c r="AP100" s="33">
        <v>-6902.32</v>
      </c>
      <c r="AQ100" s="332"/>
      <c r="AR100" s="33">
        <v>-128.57</v>
      </c>
      <c r="AS100" s="340">
        <v>1</v>
      </c>
      <c r="AT100" s="437"/>
      <c r="AU100" s="438"/>
      <c r="AV100" s="459"/>
      <c r="AW100" s="459"/>
      <c r="AX100" s="459"/>
      <c r="AY100" s="459"/>
      <c r="AZ100" s="459"/>
      <c r="BA100" s="459"/>
      <c r="BB100" s="459"/>
      <c r="BC100" s="459"/>
      <c r="BE100" s="383"/>
      <c r="BF100" s="383"/>
      <c r="BG100" s="383"/>
      <c r="BH100" s="383"/>
      <c r="BI100" s="383"/>
      <c r="BJ100" s="383"/>
      <c r="BK100" s="383"/>
      <c r="BL100" s="383"/>
      <c r="BM100" s="383"/>
      <c r="BN100" s="383"/>
      <c r="BO100" s="383"/>
    </row>
    <row r="101" spans="1:67" x14ac:dyDescent="0.25">
      <c r="A101" s="335">
        <v>5556</v>
      </c>
      <c r="B101" s="425" t="s">
        <v>38</v>
      </c>
      <c r="C101" s="446">
        <v>730361.81</v>
      </c>
      <c r="D101" s="33">
        <v>79248.7</v>
      </c>
      <c r="E101" s="448"/>
      <c r="F101" s="452">
        <v>2440</v>
      </c>
      <c r="G101" s="452">
        <v>11557.5</v>
      </c>
      <c r="H101" s="453">
        <v>69.7</v>
      </c>
      <c r="I101" s="451">
        <v>0</v>
      </c>
      <c r="J101" s="448">
        <v>7521.72</v>
      </c>
      <c r="K101" s="453">
        <v>580.79999999999995</v>
      </c>
      <c r="L101" s="448">
        <v>84362.5</v>
      </c>
      <c r="M101" s="422">
        <f t="shared" si="3"/>
        <v>916142.73</v>
      </c>
      <c r="N101" s="446">
        <v>0</v>
      </c>
      <c r="O101" s="446">
        <v>0</v>
      </c>
      <c r="P101" s="446">
        <v>19005.8</v>
      </c>
      <c r="Q101" s="446">
        <v>0</v>
      </c>
      <c r="R101" s="33">
        <v>10143.299999999999</v>
      </c>
      <c r="S101" s="340"/>
      <c r="T101" s="446">
        <v>19725</v>
      </c>
      <c r="U101" s="33">
        <v>2075</v>
      </c>
      <c r="V101" s="446"/>
      <c r="W101" s="33"/>
      <c r="X101" s="417">
        <v>407.35</v>
      </c>
      <c r="Y101" s="328">
        <f t="shared" si="4"/>
        <v>967499.18</v>
      </c>
      <c r="Z101" s="33">
        <v>660</v>
      </c>
      <c r="AA101" s="33"/>
      <c r="AB101" s="33">
        <v>73799.199999999997</v>
      </c>
      <c r="AC101" s="33"/>
      <c r="AD101" s="33">
        <v>16837.400000000001</v>
      </c>
      <c r="AE101" s="33"/>
      <c r="AF101" s="33"/>
      <c r="AG101" s="33"/>
      <c r="AH101" s="33">
        <v>720</v>
      </c>
      <c r="AI101" s="33"/>
      <c r="AJ101" s="33"/>
      <c r="AK101" s="33"/>
      <c r="AL101" s="33"/>
      <c r="AM101" s="328">
        <f t="shared" si="5"/>
        <v>92016.6</v>
      </c>
      <c r="AN101" s="371">
        <v>69</v>
      </c>
      <c r="AO101" s="388">
        <v>445</v>
      </c>
      <c r="AP101" s="33">
        <v>-2067.16</v>
      </c>
      <c r="AQ101" s="332"/>
      <c r="AR101" s="33">
        <v>0</v>
      </c>
      <c r="AS101" s="340">
        <v>1.2</v>
      </c>
      <c r="AT101" s="437"/>
      <c r="AU101" s="438"/>
      <c r="AV101" s="436"/>
      <c r="AW101" s="436"/>
      <c r="AX101" s="436"/>
      <c r="AY101" s="436"/>
      <c r="AZ101" s="436"/>
      <c r="BA101" s="436"/>
      <c r="BB101" s="436"/>
      <c r="BC101" s="436"/>
      <c r="BE101" s="383"/>
      <c r="BF101" s="383"/>
      <c r="BG101" s="383"/>
      <c r="BH101" s="383"/>
      <c r="BI101" s="383"/>
      <c r="BJ101" s="383"/>
      <c r="BK101" s="383"/>
      <c r="BL101" s="383"/>
      <c r="BM101" s="383"/>
      <c r="BN101" s="383"/>
      <c r="BO101" s="383"/>
    </row>
    <row r="102" spans="1:67" x14ac:dyDescent="0.25">
      <c r="A102" s="335">
        <v>5557</v>
      </c>
      <c r="B102" s="425" t="s">
        <v>39</v>
      </c>
      <c r="C102" s="446">
        <v>377453.17</v>
      </c>
      <c r="D102" s="33">
        <v>39175.440000000002</v>
      </c>
      <c r="E102" s="448"/>
      <c r="F102" s="452">
        <v>1050</v>
      </c>
      <c r="G102" s="452">
        <v>4015.6</v>
      </c>
      <c r="H102" s="453">
        <v>92.55</v>
      </c>
      <c r="I102" s="451">
        <v>0</v>
      </c>
      <c r="J102" s="448">
        <v>1174.96</v>
      </c>
      <c r="K102" s="453">
        <v>936.95</v>
      </c>
      <c r="L102" s="448">
        <v>36205</v>
      </c>
      <c r="M102" s="422">
        <f t="shared" si="3"/>
        <v>460103.67</v>
      </c>
      <c r="N102" s="446">
        <v>0</v>
      </c>
      <c r="O102" s="446">
        <v>17.100000000000001</v>
      </c>
      <c r="P102" s="446">
        <v>4350.5</v>
      </c>
      <c r="Q102" s="446">
        <v>-581.37</v>
      </c>
      <c r="R102" s="33">
        <v>0</v>
      </c>
      <c r="S102" s="340"/>
      <c r="T102" s="446"/>
      <c r="U102" s="33">
        <v>780</v>
      </c>
      <c r="V102" s="446"/>
      <c r="W102" s="33"/>
      <c r="X102" s="417">
        <v>1769.1</v>
      </c>
      <c r="Y102" s="328">
        <f t="shared" si="4"/>
        <v>466438.99999999994</v>
      </c>
      <c r="Z102" s="33"/>
      <c r="AA102" s="33"/>
      <c r="AB102" s="33">
        <v>25800</v>
      </c>
      <c r="AC102" s="33"/>
      <c r="AD102" s="33">
        <v>15012</v>
      </c>
      <c r="AE102" s="33"/>
      <c r="AF102" s="33"/>
      <c r="AG102" s="33"/>
      <c r="AH102" s="33"/>
      <c r="AI102" s="33"/>
      <c r="AJ102" s="33"/>
      <c r="AK102" s="33"/>
      <c r="AL102" s="33"/>
      <c r="AM102" s="328">
        <f t="shared" si="5"/>
        <v>40812</v>
      </c>
      <c r="AN102" s="371">
        <v>69</v>
      </c>
      <c r="AO102" s="388">
        <v>215</v>
      </c>
      <c r="AP102" s="33">
        <v>-9602.2000000000007</v>
      </c>
      <c r="AQ102" s="332"/>
      <c r="AR102" s="33">
        <v>-0.02</v>
      </c>
      <c r="AS102" s="340">
        <v>1</v>
      </c>
      <c r="AT102" s="437"/>
      <c r="AU102" s="438"/>
      <c r="AV102" s="436"/>
      <c r="AW102" s="436"/>
      <c r="AX102" s="436"/>
      <c r="AY102" s="436"/>
      <c r="AZ102" s="436"/>
      <c r="BA102" s="436"/>
      <c r="BB102" s="436"/>
      <c r="BC102" s="436"/>
      <c r="BE102" s="383"/>
      <c r="BF102" s="383"/>
      <c r="BG102" s="383"/>
      <c r="BH102" s="383"/>
      <c r="BI102" s="383"/>
      <c r="BJ102" s="383"/>
      <c r="BK102" s="383"/>
      <c r="BL102" s="383"/>
      <c r="BM102" s="383"/>
      <c r="BN102" s="383"/>
      <c r="BO102" s="383"/>
    </row>
    <row r="103" spans="1:67" x14ac:dyDescent="0.25">
      <c r="A103" s="335">
        <v>5559</v>
      </c>
      <c r="B103" s="425" t="s">
        <v>40</v>
      </c>
      <c r="C103" s="446">
        <v>918098.68</v>
      </c>
      <c r="D103" s="33">
        <v>247865.52</v>
      </c>
      <c r="E103" s="448"/>
      <c r="F103" s="452">
        <v>0</v>
      </c>
      <c r="G103" s="452">
        <v>97515.35</v>
      </c>
      <c r="H103" s="453">
        <v>9683.9</v>
      </c>
      <c r="I103" s="451">
        <v>0</v>
      </c>
      <c r="J103" s="448">
        <v>12538.43</v>
      </c>
      <c r="K103" s="453">
        <v>4011.5</v>
      </c>
      <c r="L103" s="448">
        <v>88771.1</v>
      </c>
      <c r="M103" s="422">
        <f t="shared" si="3"/>
        <v>1378484.48</v>
      </c>
      <c r="N103" s="446">
        <v>17765.05</v>
      </c>
      <c r="O103" s="446">
        <v>31347.200000000001</v>
      </c>
      <c r="P103" s="446">
        <v>18865</v>
      </c>
      <c r="Q103" s="446">
        <v>1170.5999999999999</v>
      </c>
      <c r="R103" s="33">
        <v>21247.25</v>
      </c>
      <c r="S103" s="340"/>
      <c r="T103" s="446">
        <v>347.6</v>
      </c>
      <c r="U103" s="33">
        <v>760</v>
      </c>
      <c r="V103" s="446"/>
      <c r="W103" s="33">
        <v>193</v>
      </c>
      <c r="X103" s="417">
        <v>6702</v>
      </c>
      <c r="Y103" s="328">
        <f t="shared" si="4"/>
        <v>1476882.1800000002</v>
      </c>
      <c r="Z103" s="33">
        <v>1280.9000000000001</v>
      </c>
      <c r="AA103" s="33"/>
      <c r="AB103" s="33">
        <v>75955.75</v>
      </c>
      <c r="AC103" s="33"/>
      <c r="AD103" s="33">
        <v>26149.599999999999</v>
      </c>
      <c r="AE103" s="33">
        <v>11969.35</v>
      </c>
      <c r="AF103" s="33">
        <v>1793.25</v>
      </c>
      <c r="AG103" s="33"/>
      <c r="AH103" s="33">
        <v>5251.2</v>
      </c>
      <c r="AI103" s="33"/>
      <c r="AJ103" s="33"/>
      <c r="AK103" s="33"/>
      <c r="AL103" s="33"/>
      <c r="AM103" s="328">
        <f t="shared" si="5"/>
        <v>122400.05</v>
      </c>
      <c r="AN103" s="371">
        <v>66</v>
      </c>
      <c r="AO103" s="388">
        <v>414</v>
      </c>
      <c r="AP103" s="33">
        <v>-11784.95</v>
      </c>
      <c r="AQ103" s="332"/>
      <c r="AR103" s="33">
        <v>-288.51</v>
      </c>
      <c r="AS103" s="340">
        <v>1</v>
      </c>
      <c r="AT103" s="437"/>
      <c r="AU103" s="438"/>
      <c r="AV103" s="436"/>
      <c r="AW103" s="436"/>
      <c r="AX103" s="436"/>
      <c r="AY103" s="436"/>
      <c r="AZ103" s="436"/>
      <c r="BA103" s="436"/>
      <c r="BB103" s="436"/>
      <c r="BC103" s="436"/>
      <c r="BE103" s="383"/>
      <c r="BF103" s="383"/>
      <c r="BG103" s="383"/>
      <c r="BH103" s="383"/>
      <c r="BI103" s="383"/>
      <c r="BJ103" s="383"/>
      <c r="BK103" s="383"/>
      <c r="BL103" s="383"/>
      <c r="BM103" s="383"/>
      <c r="BN103" s="383"/>
      <c r="BO103" s="383"/>
    </row>
    <row r="104" spans="1:67" x14ac:dyDescent="0.25">
      <c r="A104" s="335">
        <v>5560</v>
      </c>
      <c r="B104" s="425" t="s">
        <v>41</v>
      </c>
      <c r="C104" s="446">
        <v>405985.16</v>
      </c>
      <c r="D104" s="33">
        <v>46464.19</v>
      </c>
      <c r="E104" s="448"/>
      <c r="F104" s="452">
        <v>0</v>
      </c>
      <c r="G104" s="452">
        <v>6189.15</v>
      </c>
      <c r="H104" s="453">
        <v>261.55</v>
      </c>
      <c r="I104" s="451">
        <v>0</v>
      </c>
      <c r="J104" s="448">
        <v>2540.09</v>
      </c>
      <c r="K104" s="453">
        <v>624.70000000000005</v>
      </c>
      <c r="L104" s="448">
        <v>41640.75</v>
      </c>
      <c r="M104" s="422">
        <f t="shared" si="3"/>
        <v>503705.59</v>
      </c>
      <c r="N104" s="446">
        <v>0</v>
      </c>
      <c r="O104" s="446">
        <v>12</v>
      </c>
      <c r="P104" s="446">
        <v>12100</v>
      </c>
      <c r="Q104" s="446">
        <v>0</v>
      </c>
      <c r="R104" s="33">
        <v>16232.45</v>
      </c>
      <c r="S104" s="340"/>
      <c r="T104" s="446"/>
      <c r="U104" s="33">
        <v>1475</v>
      </c>
      <c r="V104" s="446"/>
      <c r="W104" s="33"/>
      <c r="X104" s="417">
        <v>101.3</v>
      </c>
      <c r="Y104" s="328">
        <f t="shared" si="4"/>
        <v>533626.34000000008</v>
      </c>
      <c r="Z104" s="33"/>
      <c r="AA104" s="33"/>
      <c r="AB104" s="33">
        <v>33114</v>
      </c>
      <c r="AC104" s="33"/>
      <c r="AD104" s="33">
        <v>13947.9</v>
      </c>
      <c r="AE104" s="33"/>
      <c r="AF104" s="33"/>
      <c r="AG104" s="33"/>
      <c r="AH104" s="33">
        <v>1469.5</v>
      </c>
      <c r="AI104" s="33"/>
      <c r="AJ104" s="33"/>
      <c r="AK104" s="33"/>
      <c r="AL104" s="33"/>
      <c r="AM104" s="328">
        <f t="shared" si="5"/>
        <v>48531.4</v>
      </c>
      <c r="AN104" s="371">
        <v>68</v>
      </c>
      <c r="AO104" s="388">
        <v>222</v>
      </c>
      <c r="AP104" s="33">
        <v>-189.3</v>
      </c>
      <c r="AQ104" s="332"/>
      <c r="AR104" s="33">
        <v>0</v>
      </c>
      <c r="AS104" s="340">
        <v>1</v>
      </c>
      <c r="AT104" s="437"/>
      <c r="AU104" s="438"/>
      <c r="AV104" s="436"/>
      <c r="AW104" s="436"/>
      <c r="AX104" s="436"/>
      <c r="AY104" s="436"/>
      <c r="AZ104" s="436"/>
      <c r="BA104" s="436"/>
      <c r="BB104" s="436"/>
      <c r="BC104" s="436"/>
      <c r="BE104" s="383"/>
      <c r="BF104" s="383"/>
      <c r="BG104" s="383"/>
      <c r="BH104" s="383"/>
      <c r="BI104" s="383"/>
      <c r="BJ104" s="383"/>
      <c r="BK104" s="383"/>
      <c r="BL104" s="383"/>
      <c r="BM104" s="383"/>
      <c r="BN104" s="383"/>
      <c r="BO104" s="383"/>
    </row>
    <row r="105" spans="1:67" x14ac:dyDescent="0.25">
      <c r="A105" s="335">
        <v>5561</v>
      </c>
      <c r="B105" s="425" t="s">
        <v>42</v>
      </c>
      <c r="C105" s="446">
        <v>5922172.7599999998</v>
      </c>
      <c r="D105" s="33">
        <v>913008.41</v>
      </c>
      <c r="E105" s="448"/>
      <c r="F105" s="452">
        <v>0</v>
      </c>
      <c r="G105" s="452">
        <v>298046.84999999998</v>
      </c>
      <c r="H105" s="453">
        <v>13778</v>
      </c>
      <c r="I105" s="451">
        <v>0</v>
      </c>
      <c r="J105" s="448">
        <v>110614.16</v>
      </c>
      <c r="K105" s="453">
        <v>33835.9</v>
      </c>
      <c r="L105" s="448">
        <v>587592.19999999995</v>
      </c>
      <c r="M105" s="422">
        <f t="shared" si="3"/>
        <v>7879048.2800000003</v>
      </c>
      <c r="N105" s="446">
        <v>297970.95</v>
      </c>
      <c r="O105" s="446">
        <v>1550963.1</v>
      </c>
      <c r="P105" s="446">
        <v>424592</v>
      </c>
      <c r="Q105" s="446">
        <v>17404.52</v>
      </c>
      <c r="R105" s="33">
        <v>482151.55</v>
      </c>
      <c r="S105" s="340"/>
      <c r="T105" s="446">
        <v>13073.55</v>
      </c>
      <c r="U105" s="33">
        <v>11430</v>
      </c>
      <c r="V105" s="446"/>
      <c r="W105" s="33"/>
      <c r="X105" s="417">
        <v>58611.95</v>
      </c>
      <c r="Y105" s="328">
        <f t="shared" si="4"/>
        <v>10735245.9</v>
      </c>
      <c r="Z105" s="33">
        <v>22200.55</v>
      </c>
      <c r="AA105" s="33" t="s">
        <v>599</v>
      </c>
      <c r="AB105" s="33">
        <v>283956.55000000005</v>
      </c>
      <c r="AC105" s="33" t="s">
        <v>599</v>
      </c>
      <c r="AD105" s="33">
        <v>335935.15</v>
      </c>
      <c r="AE105" s="33">
        <v>292053.34999999998</v>
      </c>
      <c r="AF105" s="33" t="s">
        <v>599</v>
      </c>
      <c r="AG105" s="33" t="s">
        <v>599</v>
      </c>
      <c r="AH105" s="33">
        <v>75792.25</v>
      </c>
      <c r="AI105" s="33">
        <v>103112.55</v>
      </c>
      <c r="AJ105" s="33"/>
      <c r="AK105" s="33"/>
      <c r="AL105" s="33"/>
      <c r="AM105" s="328">
        <f t="shared" si="5"/>
        <v>1113050.3999999999</v>
      </c>
      <c r="AN105" s="371">
        <v>69</v>
      </c>
      <c r="AO105" s="388">
        <v>3340</v>
      </c>
      <c r="AP105" s="33">
        <v>-120110.19</v>
      </c>
      <c r="AQ105" s="332"/>
      <c r="AR105" s="33">
        <v>-516.75</v>
      </c>
      <c r="AS105" s="340">
        <v>1</v>
      </c>
      <c r="AT105" s="437"/>
      <c r="AU105" s="438"/>
      <c r="AV105" s="436"/>
      <c r="AW105" s="436"/>
      <c r="AX105" s="436"/>
      <c r="AY105" s="436"/>
      <c r="AZ105" s="436"/>
      <c r="BA105" s="436"/>
      <c r="BB105" s="436"/>
      <c r="BC105" s="436"/>
      <c r="BE105" s="383"/>
      <c r="BF105" s="383"/>
      <c r="BG105" s="383"/>
      <c r="BH105" s="383"/>
      <c r="BI105" s="383"/>
      <c r="BJ105" s="383"/>
      <c r="BK105" s="383"/>
      <c r="BL105" s="383"/>
      <c r="BM105" s="383"/>
      <c r="BN105" s="383"/>
      <c r="BO105" s="383"/>
    </row>
    <row r="106" spans="1:67" x14ac:dyDescent="0.25">
      <c r="A106" s="335">
        <v>5562</v>
      </c>
      <c r="B106" s="425" t="s">
        <v>43</v>
      </c>
      <c r="C106" s="446">
        <v>219702.12</v>
      </c>
      <c r="D106" s="33">
        <v>125869.83</v>
      </c>
      <c r="E106" s="448"/>
      <c r="F106" s="452">
        <v>900</v>
      </c>
      <c r="G106" s="452">
        <v>-268.45</v>
      </c>
      <c r="H106" s="453">
        <v>103.35</v>
      </c>
      <c r="I106" s="451">
        <v>0</v>
      </c>
      <c r="J106" s="448">
        <v>10650.41</v>
      </c>
      <c r="K106" s="453">
        <v>1280</v>
      </c>
      <c r="L106" s="448">
        <v>35797.050000000003</v>
      </c>
      <c r="M106" s="422">
        <f t="shared" si="3"/>
        <v>394034.30999999994</v>
      </c>
      <c r="N106" s="446">
        <v>0</v>
      </c>
      <c r="O106" s="446">
        <v>43.3</v>
      </c>
      <c r="P106" s="446">
        <v>29821</v>
      </c>
      <c r="Q106" s="446">
        <v>0</v>
      </c>
      <c r="R106" s="33">
        <v>53350.15</v>
      </c>
      <c r="S106" s="340"/>
      <c r="T106" s="446"/>
      <c r="U106" s="33">
        <v>450</v>
      </c>
      <c r="V106" s="446"/>
      <c r="W106" s="33"/>
      <c r="X106" s="417">
        <v>380.1</v>
      </c>
      <c r="Y106" s="328">
        <f t="shared" si="4"/>
        <v>478078.85999999993</v>
      </c>
      <c r="Z106" s="33"/>
      <c r="AA106" s="33"/>
      <c r="AB106" s="33">
        <v>40624.949999999997</v>
      </c>
      <c r="AC106" s="33"/>
      <c r="AD106" s="33">
        <v>17931</v>
      </c>
      <c r="AE106" s="33"/>
      <c r="AF106" s="33"/>
      <c r="AG106" s="33"/>
      <c r="AH106" s="33">
        <v>6244.1</v>
      </c>
      <c r="AI106" s="33"/>
      <c r="AJ106" s="33"/>
      <c r="AK106" s="33"/>
      <c r="AL106" s="33"/>
      <c r="AM106" s="328">
        <f t="shared" si="5"/>
        <v>64800.049999999996</v>
      </c>
      <c r="AN106" s="371">
        <v>70</v>
      </c>
      <c r="AO106" s="388">
        <v>120</v>
      </c>
      <c r="AP106" s="33">
        <v>-4328.28</v>
      </c>
      <c r="AQ106" s="332"/>
      <c r="AR106" s="33">
        <v>-9.9700000000000006</v>
      </c>
      <c r="AS106" s="340">
        <v>1.2</v>
      </c>
      <c r="AT106" s="437"/>
      <c r="AU106" s="438"/>
      <c r="AV106" s="436"/>
      <c r="AW106" s="436"/>
      <c r="AX106" s="436"/>
      <c r="AY106" s="436"/>
      <c r="AZ106" s="436"/>
      <c r="BA106" s="436"/>
      <c r="BB106" s="436"/>
      <c r="BC106" s="436"/>
      <c r="BE106" s="383"/>
      <c r="BF106" s="383"/>
      <c r="BG106" s="383"/>
      <c r="BH106" s="383"/>
      <c r="BI106" s="383"/>
      <c r="BJ106" s="383"/>
      <c r="BK106" s="383"/>
      <c r="BL106" s="383"/>
      <c r="BM106" s="383"/>
      <c r="BN106" s="383"/>
      <c r="BO106" s="383"/>
    </row>
    <row r="107" spans="1:67" x14ac:dyDescent="0.25">
      <c r="A107" s="335">
        <v>5563</v>
      </c>
      <c r="B107" s="425" t="s">
        <v>285</v>
      </c>
      <c r="C107" s="446">
        <v>254456.2</v>
      </c>
      <c r="D107" s="33">
        <v>46460.639999999999</v>
      </c>
      <c r="E107" s="448"/>
      <c r="F107" s="452">
        <v>516</v>
      </c>
      <c r="G107" s="452">
        <v>1765.9</v>
      </c>
      <c r="H107" s="453">
        <v>18.95</v>
      </c>
      <c r="I107" s="451">
        <v>0</v>
      </c>
      <c r="J107" s="448">
        <v>829.92</v>
      </c>
      <c r="K107" s="453">
        <v>0</v>
      </c>
      <c r="L107" s="448">
        <v>21810.35</v>
      </c>
      <c r="M107" s="422">
        <f t="shared" si="3"/>
        <v>325857.96000000002</v>
      </c>
      <c r="N107" s="446">
        <v>0</v>
      </c>
      <c r="O107" s="446">
        <v>2722.5</v>
      </c>
      <c r="P107" s="446">
        <v>852.5</v>
      </c>
      <c r="Q107" s="446">
        <v>0</v>
      </c>
      <c r="R107" s="33">
        <v>1170.95</v>
      </c>
      <c r="S107" s="340"/>
      <c r="T107" s="446"/>
      <c r="U107" s="33">
        <v>727.1</v>
      </c>
      <c r="V107" s="446"/>
      <c r="W107" s="33"/>
      <c r="X107" s="417">
        <v>135</v>
      </c>
      <c r="Y107" s="328">
        <f t="shared" si="4"/>
        <v>331466.01</v>
      </c>
      <c r="Z107" s="33"/>
      <c r="AA107" s="33"/>
      <c r="AB107" s="33">
        <v>32125.200000000001</v>
      </c>
      <c r="AC107" s="33"/>
      <c r="AD107" s="33">
        <v>10607.5</v>
      </c>
      <c r="AE107" s="33"/>
      <c r="AF107" s="33"/>
      <c r="AG107" s="33"/>
      <c r="AH107" s="33"/>
      <c r="AI107" s="33"/>
      <c r="AJ107" s="33"/>
      <c r="AK107" s="33"/>
      <c r="AL107" s="33"/>
      <c r="AM107" s="328">
        <f t="shared" si="5"/>
        <v>42732.7</v>
      </c>
      <c r="AN107" s="371">
        <v>80</v>
      </c>
      <c r="AO107" s="388">
        <v>153</v>
      </c>
      <c r="AP107" s="33">
        <v>-4155.03</v>
      </c>
      <c r="AQ107" s="332"/>
      <c r="AR107" s="33">
        <v>-0.95</v>
      </c>
      <c r="AS107" s="340">
        <v>1</v>
      </c>
      <c r="AT107" s="437"/>
      <c r="AU107" s="438"/>
      <c r="AV107" s="436"/>
      <c r="AW107" s="436"/>
      <c r="AX107" s="436"/>
      <c r="AY107" s="436"/>
      <c r="AZ107" s="436"/>
      <c r="BA107" s="436"/>
      <c r="BB107" s="436"/>
      <c r="BC107" s="436"/>
      <c r="BE107" s="383"/>
      <c r="BF107" s="383"/>
      <c r="BG107" s="383"/>
      <c r="BH107" s="383"/>
      <c r="BI107" s="383"/>
      <c r="BJ107" s="383"/>
      <c r="BK107" s="383"/>
      <c r="BL107" s="383"/>
      <c r="BM107" s="383"/>
      <c r="BN107" s="383"/>
      <c r="BO107" s="383"/>
    </row>
    <row r="108" spans="1:67" x14ac:dyDescent="0.25">
      <c r="A108" s="335">
        <v>5564</v>
      </c>
      <c r="B108" s="425" t="s">
        <v>286</v>
      </c>
      <c r="C108" s="446">
        <v>144993.19</v>
      </c>
      <c r="D108" s="33">
        <v>14280.34</v>
      </c>
      <c r="E108" s="448"/>
      <c r="F108" s="452">
        <v>0</v>
      </c>
      <c r="G108" s="452">
        <v>8.15</v>
      </c>
      <c r="H108" s="453">
        <v>23.5</v>
      </c>
      <c r="I108" s="451">
        <v>0</v>
      </c>
      <c r="J108" s="448">
        <v>0</v>
      </c>
      <c r="K108" s="453">
        <v>0</v>
      </c>
      <c r="L108" s="448">
        <v>10898.7</v>
      </c>
      <c r="M108" s="422">
        <f t="shared" si="3"/>
        <v>170203.88</v>
      </c>
      <c r="N108" s="446">
        <v>0</v>
      </c>
      <c r="O108" s="446">
        <v>0</v>
      </c>
      <c r="P108" s="446">
        <v>19.8</v>
      </c>
      <c r="Q108" s="446">
        <v>0</v>
      </c>
      <c r="R108" s="33">
        <v>0</v>
      </c>
      <c r="S108" s="340">
        <v>25</v>
      </c>
      <c r="T108" s="446">
        <v>400</v>
      </c>
      <c r="U108" s="33">
        <v>280</v>
      </c>
      <c r="V108" s="446"/>
      <c r="W108" s="33"/>
      <c r="X108" s="417">
        <v>32.75</v>
      </c>
      <c r="Y108" s="328">
        <f t="shared" si="4"/>
        <v>170961.43</v>
      </c>
      <c r="Z108" s="33"/>
      <c r="AA108" s="33"/>
      <c r="AB108" s="33">
        <v>21958.7</v>
      </c>
      <c r="AC108" s="33"/>
      <c r="AD108" s="33">
        <v>8090.2</v>
      </c>
      <c r="AE108" s="33"/>
      <c r="AF108" s="33"/>
      <c r="AG108" s="33"/>
      <c r="AH108" s="33"/>
      <c r="AI108" s="33"/>
      <c r="AJ108" s="33"/>
      <c r="AK108" s="33"/>
      <c r="AL108" s="33"/>
      <c r="AM108" s="328">
        <f t="shared" si="5"/>
        <v>30048.9</v>
      </c>
      <c r="AN108" s="371">
        <v>76</v>
      </c>
      <c r="AO108" s="388">
        <v>100</v>
      </c>
      <c r="AP108" s="33">
        <v>-933.84</v>
      </c>
      <c r="AQ108" s="332"/>
      <c r="AR108" s="33">
        <v>-18.37</v>
      </c>
      <c r="AS108" s="340">
        <v>0.8</v>
      </c>
      <c r="AT108" s="437"/>
      <c r="AU108" s="438"/>
      <c r="AV108" s="436"/>
      <c r="AW108" s="436"/>
      <c r="AX108" s="436"/>
      <c r="AY108" s="436"/>
      <c r="AZ108" s="436"/>
      <c r="BA108" s="436"/>
      <c r="BB108" s="436"/>
      <c r="BC108" s="436"/>
      <c r="BE108" s="383"/>
      <c r="BF108" s="383"/>
      <c r="BG108" s="383"/>
      <c r="BH108" s="383"/>
      <c r="BI108" s="383"/>
      <c r="BJ108" s="383"/>
      <c r="BK108" s="383"/>
      <c r="BL108" s="383"/>
      <c r="BM108" s="383"/>
      <c r="BN108" s="383"/>
      <c r="BO108" s="383"/>
    </row>
    <row r="109" spans="1:67" x14ac:dyDescent="0.25">
      <c r="A109" s="335">
        <v>5565</v>
      </c>
      <c r="B109" s="425" t="s">
        <v>287</v>
      </c>
      <c r="C109" s="446">
        <v>721551.71</v>
      </c>
      <c r="D109" s="33">
        <v>90420.21</v>
      </c>
      <c r="E109" s="448"/>
      <c r="F109" s="452">
        <v>0</v>
      </c>
      <c r="G109" s="452">
        <v>60359.5</v>
      </c>
      <c r="H109" s="453">
        <v>159873.04999999999</v>
      </c>
      <c r="I109" s="451">
        <v>0</v>
      </c>
      <c r="J109" s="448">
        <v>5853.74</v>
      </c>
      <c r="K109" s="453">
        <v>24137.8</v>
      </c>
      <c r="L109" s="448">
        <v>127397.25</v>
      </c>
      <c r="M109" s="422">
        <f t="shared" si="3"/>
        <v>1189593.26</v>
      </c>
      <c r="N109" s="446">
        <v>31769.45</v>
      </c>
      <c r="O109" s="446">
        <v>79714.8</v>
      </c>
      <c r="P109" s="446">
        <v>53810.400000000001</v>
      </c>
      <c r="Q109" s="446">
        <v>755.63</v>
      </c>
      <c r="R109" s="33">
        <v>27250.15</v>
      </c>
      <c r="S109" s="340"/>
      <c r="T109" s="446"/>
      <c r="U109" s="33">
        <v>2340</v>
      </c>
      <c r="V109" s="446"/>
      <c r="W109" s="33"/>
      <c r="X109" s="417">
        <v>16847.150000000001</v>
      </c>
      <c r="Y109" s="328">
        <f t="shared" si="4"/>
        <v>1402080.8399999996</v>
      </c>
      <c r="Z109" s="33">
        <v>1847.25</v>
      </c>
      <c r="AA109" s="33"/>
      <c r="AB109" s="33">
        <v>99655.25</v>
      </c>
      <c r="AC109" s="33"/>
      <c r="AD109" s="33">
        <v>27875.3</v>
      </c>
      <c r="AE109" s="33"/>
      <c r="AF109" s="33"/>
      <c r="AG109" s="33"/>
      <c r="AH109" s="33">
        <v>1304.4000000000001</v>
      </c>
      <c r="AI109" s="33">
        <v>46662</v>
      </c>
      <c r="AJ109" s="33"/>
      <c r="AK109" s="33"/>
      <c r="AL109" s="33"/>
      <c r="AM109" s="328">
        <f t="shared" si="5"/>
        <v>177344.2</v>
      </c>
      <c r="AN109" s="371">
        <v>65</v>
      </c>
      <c r="AO109" s="388">
        <v>497</v>
      </c>
      <c r="AP109" s="33">
        <v>-5554.02</v>
      </c>
      <c r="AQ109" s="332"/>
      <c r="AR109" s="33">
        <v>0</v>
      </c>
      <c r="AS109" s="340">
        <v>1</v>
      </c>
      <c r="AT109" s="437"/>
      <c r="AU109" s="438"/>
      <c r="AV109" s="436"/>
      <c r="AW109" s="436"/>
      <c r="AX109" s="436"/>
      <c r="AY109" s="436"/>
      <c r="AZ109" s="436"/>
      <c r="BA109" s="436"/>
      <c r="BB109" s="436"/>
      <c r="BC109" s="436"/>
      <c r="BE109" s="383"/>
      <c r="BF109" s="383"/>
      <c r="BG109" s="383"/>
      <c r="BH109" s="383"/>
      <c r="BI109" s="383"/>
      <c r="BJ109" s="383"/>
      <c r="BK109" s="383"/>
      <c r="BL109" s="383"/>
      <c r="BM109" s="383"/>
      <c r="BN109" s="383"/>
      <c r="BO109" s="383"/>
    </row>
    <row r="110" spans="1:67" x14ac:dyDescent="0.25">
      <c r="A110" s="335">
        <v>5566</v>
      </c>
      <c r="B110" s="425" t="s">
        <v>288</v>
      </c>
      <c r="C110" s="446">
        <v>534609.1</v>
      </c>
      <c r="D110" s="33">
        <v>69081.97</v>
      </c>
      <c r="E110" s="448"/>
      <c r="F110" s="452">
        <v>2590</v>
      </c>
      <c r="G110" s="452">
        <v>16795.45</v>
      </c>
      <c r="H110" s="453">
        <v>4864</v>
      </c>
      <c r="I110" s="451">
        <v>0</v>
      </c>
      <c r="J110" s="448">
        <v>13059.1</v>
      </c>
      <c r="K110" s="453">
        <v>2954.9</v>
      </c>
      <c r="L110" s="448">
        <v>76599</v>
      </c>
      <c r="M110" s="422">
        <f t="shared" si="3"/>
        <v>720553.5199999999</v>
      </c>
      <c r="N110" s="446">
        <v>33043.65</v>
      </c>
      <c r="O110" s="446">
        <v>206.2</v>
      </c>
      <c r="P110" s="446">
        <v>44456.7</v>
      </c>
      <c r="Q110" s="446">
        <v>0</v>
      </c>
      <c r="R110" s="33">
        <v>23108.400000000001</v>
      </c>
      <c r="S110" s="340"/>
      <c r="T110" s="446">
        <v>634.75</v>
      </c>
      <c r="U110" s="33">
        <v>1680</v>
      </c>
      <c r="V110" s="446"/>
      <c r="W110" s="33"/>
      <c r="X110" s="417">
        <v>1223.05</v>
      </c>
      <c r="Y110" s="328">
        <f t="shared" si="4"/>
        <v>824906.2699999999</v>
      </c>
      <c r="Z110" s="33">
        <v>5727.5</v>
      </c>
      <c r="AA110" s="33"/>
      <c r="AB110" s="33">
        <v>27754.1</v>
      </c>
      <c r="AC110" s="33"/>
      <c r="AD110" s="33">
        <v>30342.25</v>
      </c>
      <c r="AE110" s="33"/>
      <c r="AF110" s="33"/>
      <c r="AG110" s="33"/>
      <c r="AH110" s="33"/>
      <c r="AI110" s="33"/>
      <c r="AJ110" s="33"/>
      <c r="AK110" s="33"/>
      <c r="AL110" s="33"/>
      <c r="AM110" s="328">
        <f t="shared" si="5"/>
        <v>63823.85</v>
      </c>
      <c r="AN110" s="371">
        <v>81</v>
      </c>
      <c r="AO110" s="388">
        <v>379</v>
      </c>
      <c r="AP110" s="33">
        <v>-8691.17</v>
      </c>
      <c r="AQ110" s="332"/>
      <c r="AR110" s="33">
        <v>0</v>
      </c>
      <c r="AS110" s="340">
        <v>1.5</v>
      </c>
      <c r="AT110" s="437"/>
      <c r="AU110" s="438"/>
      <c r="AV110" s="436"/>
      <c r="AW110" s="436"/>
      <c r="AX110" s="436"/>
      <c r="AY110" s="436"/>
      <c r="AZ110" s="436"/>
      <c r="BA110" s="436"/>
      <c r="BB110" s="436"/>
      <c r="BC110" s="436"/>
      <c r="BE110" s="383"/>
      <c r="BF110" s="383"/>
      <c r="BG110" s="383"/>
      <c r="BH110" s="383"/>
      <c r="BI110" s="383"/>
      <c r="BJ110" s="383"/>
      <c r="BK110" s="383"/>
      <c r="BL110" s="383"/>
      <c r="BM110" s="383"/>
      <c r="BN110" s="383"/>
      <c r="BO110" s="383"/>
    </row>
    <row r="111" spans="1:67" x14ac:dyDescent="0.25">
      <c r="A111" s="335">
        <v>5568</v>
      </c>
      <c r="B111" s="425" t="s">
        <v>119</v>
      </c>
      <c r="C111" s="446">
        <v>5941529.6900000004</v>
      </c>
      <c r="D111" s="33">
        <v>683368.45</v>
      </c>
      <c r="E111" s="448"/>
      <c r="F111" s="452">
        <v>0</v>
      </c>
      <c r="G111" s="452">
        <v>323048.45</v>
      </c>
      <c r="H111" s="453">
        <v>76586</v>
      </c>
      <c r="I111" s="451">
        <v>31067.05</v>
      </c>
      <c r="J111" s="448">
        <v>114101.18</v>
      </c>
      <c r="K111" s="453">
        <v>53776.05</v>
      </c>
      <c r="L111" s="448">
        <v>597754.44999999995</v>
      </c>
      <c r="M111" s="422">
        <f t="shared" si="3"/>
        <v>7821231.3200000003</v>
      </c>
      <c r="N111" s="446">
        <v>1673786.35</v>
      </c>
      <c r="O111" s="446">
        <v>305285</v>
      </c>
      <c r="P111" s="446">
        <v>507039.4</v>
      </c>
      <c r="Q111" s="446">
        <v>22074.35</v>
      </c>
      <c r="R111" s="33">
        <v>303012</v>
      </c>
      <c r="S111" s="340">
        <v>25266.6</v>
      </c>
      <c r="T111" s="446"/>
      <c r="U111" s="33">
        <v>23062.5</v>
      </c>
      <c r="V111" s="446">
        <v>186</v>
      </c>
      <c r="W111" s="33"/>
      <c r="X111" s="417">
        <v>41349.35</v>
      </c>
      <c r="Y111" s="328">
        <f t="shared" si="4"/>
        <v>10722292.869999999</v>
      </c>
      <c r="Z111" s="33">
        <v>60793.25</v>
      </c>
      <c r="AA111" s="33"/>
      <c r="AB111" s="33">
        <v>1262529.55</v>
      </c>
      <c r="AC111" s="33"/>
      <c r="AD111" s="33">
        <v>864215.07</v>
      </c>
      <c r="AE111" s="33">
        <v>126907.2</v>
      </c>
      <c r="AF111" s="33"/>
      <c r="AG111" s="33"/>
      <c r="AH111" s="33">
        <v>62760.7</v>
      </c>
      <c r="AI111" s="33"/>
      <c r="AJ111" s="33"/>
      <c r="AK111" s="33">
        <v>155573.9</v>
      </c>
      <c r="AL111" s="33"/>
      <c r="AM111" s="328">
        <f t="shared" si="5"/>
        <v>2532779.6700000004</v>
      </c>
      <c r="AN111" s="371">
        <v>70</v>
      </c>
      <c r="AO111" s="388">
        <v>4888</v>
      </c>
      <c r="AP111" s="33">
        <v>-230356.9</v>
      </c>
      <c r="AQ111" s="332"/>
      <c r="AR111" s="33">
        <v>-3267.83</v>
      </c>
      <c r="AS111" s="340">
        <v>1</v>
      </c>
      <c r="AT111" s="437"/>
      <c r="AU111" s="438"/>
      <c r="AV111" s="436"/>
      <c r="AW111" s="436"/>
      <c r="AX111" s="436"/>
      <c r="AY111" s="436"/>
      <c r="AZ111" s="436"/>
      <c r="BA111" s="436"/>
      <c r="BB111" s="436"/>
      <c r="BC111" s="436"/>
      <c r="BE111" s="383"/>
      <c r="BF111" s="383"/>
      <c r="BG111" s="383"/>
      <c r="BH111" s="383"/>
      <c r="BI111" s="383"/>
      <c r="BJ111" s="383"/>
      <c r="BK111" s="383"/>
      <c r="BL111" s="383"/>
      <c r="BM111" s="383"/>
      <c r="BN111" s="383"/>
      <c r="BO111" s="383"/>
    </row>
    <row r="112" spans="1:67" x14ac:dyDescent="0.25">
      <c r="A112" s="335">
        <v>5571</v>
      </c>
      <c r="B112" s="425" t="s">
        <v>429</v>
      </c>
      <c r="C112" s="446">
        <v>1499322.04</v>
      </c>
      <c r="D112" s="33">
        <v>144870.66</v>
      </c>
      <c r="E112" s="448"/>
      <c r="F112" s="452">
        <v>0</v>
      </c>
      <c r="G112" s="452">
        <v>4766.55</v>
      </c>
      <c r="H112" s="453">
        <v>424.2</v>
      </c>
      <c r="I112" s="451">
        <v>0</v>
      </c>
      <c r="J112" s="448">
        <v>16215.75</v>
      </c>
      <c r="K112" s="453">
        <v>8507.7000000000007</v>
      </c>
      <c r="L112" s="448">
        <v>196325.35</v>
      </c>
      <c r="M112" s="422">
        <f t="shared" si="3"/>
        <v>1870432.25</v>
      </c>
      <c r="N112" s="446">
        <v>46447.8</v>
      </c>
      <c r="O112" s="446">
        <v>31138.400000000001</v>
      </c>
      <c r="P112" s="446">
        <v>44458.35</v>
      </c>
      <c r="Q112" s="446">
        <v>33063.4</v>
      </c>
      <c r="R112" s="33">
        <v>35805.800000000003</v>
      </c>
      <c r="S112" s="340">
        <v>424.35</v>
      </c>
      <c r="T112" s="446"/>
      <c r="U112" s="33">
        <v>9450</v>
      </c>
      <c r="V112" s="446"/>
      <c r="W112" s="33"/>
      <c r="X112" s="417">
        <v>755.35</v>
      </c>
      <c r="Y112" s="328">
        <f t="shared" si="4"/>
        <v>2071975.7000000002</v>
      </c>
      <c r="Z112" s="33">
        <v>2830</v>
      </c>
      <c r="AA112" s="33"/>
      <c r="AB112" s="33">
        <v>153596.29999999999</v>
      </c>
      <c r="AC112" s="33"/>
      <c r="AD112" s="33">
        <v>53336.55</v>
      </c>
      <c r="AE112" s="33">
        <v>7075</v>
      </c>
      <c r="AF112" s="33"/>
      <c r="AG112" s="33"/>
      <c r="AH112" s="33">
        <v>13802</v>
      </c>
      <c r="AI112" s="33">
        <v>30297.15</v>
      </c>
      <c r="AJ112" s="33"/>
      <c r="AK112" s="33"/>
      <c r="AL112" s="33"/>
      <c r="AM112" s="328">
        <f t="shared" si="5"/>
        <v>260936.99999999997</v>
      </c>
      <c r="AN112" s="371">
        <v>73</v>
      </c>
      <c r="AO112" s="388">
        <v>896</v>
      </c>
      <c r="AP112" s="33">
        <v>-59913.84</v>
      </c>
      <c r="AQ112" s="332"/>
      <c r="AR112" s="33">
        <v>-51.17</v>
      </c>
      <c r="AS112" s="340">
        <v>1.2</v>
      </c>
      <c r="AT112" s="437"/>
      <c r="AU112" s="438"/>
      <c r="AV112" s="436"/>
      <c r="AW112" s="436"/>
      <c r="AX112" s="436"/>
      <c r="AY112" s="436"/>
      <c r="AZ112" s="436"/>
      <c r="BA112" s="436"/>
      <c r="BB112" s="436"/>
      <c r="BC112" s="436"/>
      <c r="BE112" s="383"/>
      <c r="BF112" s="383"/>
      <c r="BG112" s="383"/>
      <c r="BH112" s="383"/>
      <c r="BI112" s="383"/>
      <c r="BJ112" s="383"/>
      <c r="BK112" s="383"/>
      <c r="BL112" s="383"/>
      <c r="BM112" s="383"/>
      <c r="BN112" s="383"/>
      <c r="BO112" s="383"/>
    </row>
    <row r="113" spans="1:67" x14ac:dyDescent="0.25">
      <c r="A113" s="335">
        <v>5581</v>
      </c>
      <c r="B113" s="425" t="s">
        <v>389</v>
      </c>
      <c r="C113" s="446">
        <v>10603768.18</v>
      </c>
      <c r="D113" s="33">
        <v>1842025.37</v>
      </c>
      <c r="E113" s="448"/>
      <c r="F113" s="452">
        <v>0</v>
      </c>
      <c r="G113" s="452">
        <v>-126290.7</v>
      </c>
      <c r="H113" s="453">
        <v>12897.85</v>
      </c>
      <c r="I113" s="451">
        <v>88521.05</v>
      </c>
      <c r="J113" s="448">
        <v>274717.03000000003</v>
      </c>
      <c r="K113" s="453">
        <v>32108.45</v>
      </c>
      <c r="L113" s="448">
        <v>1342767.25</v>
      </c>
      <c r="M113" s="422">
        <f t="shared" si="3"/>
        <v>14070514.48</v>
      </c>
      <c r="N113" s="446">
        <v>2747.25</v>
      </c>
      <c r="O113" s="446">
        <v>100047.4</v>
      </c>
      <c r="P113" s="446">
        <v>393885.15</v>
      </c>
      <c r="Q113" s="446">
        <v>26112.94</v>
      </c>
      <c r="R113" s="33">
        <v>244763.55</v>
      </c>
      <c r="S113" s="340"/>
      <c r="T113" s="446"/>
      <c r="U113" s="33">
        <v>21400</v>
      </c>
      <c r="V113" s="446"/>
      <c r="W113" s="33"/>
      <c r="X113" s="417">
        <v>27676</v>
      </c>
      <c r="Y113" s="328">
        <f t="shared" si="4"/>
        <v>14887146.770000001</v>
      </c>
      <c r="Z113" s="33">
        <v>256889.75</v>
      </c>
      <c r="AA113" s="33"/>
      <c r="AB113" s="33">
        <v>554746.43999999994</v>
      </c>
      <c r="AC113" s="33"/>
      <c r="AD113" s="33">
        <v>561682.94999999995</v>
      </c>
      <c r="AE113" s="33">
        <v>98205.1</v>
      </c>
      <c r="AF113" s="33"/>
      <c r="AG113" s="33"/>
      <c r="AH113" s="33">
        <v>13585.9</v>
      </c>
      <c r="AI113" s="33"/>
      <c r="AJ113" s="33">
        <v>69437.399999999994</v>
      </c>
      <c r="AK113" s="33">
        <v>20140.759999999998</v>
      </c>
      <c r="AL113" s="33"/>
      <c r="AM113" s="328">
        <f t="shared" si="5"/>
        <v>1574688.2999999998</v>
      </c>
      <c r="AN113" s="371">
        <v>72</v>
      </c>
      <c r="AO113" s="388">
        <v>3773</v>
      </c>
      <c r="AP113" s="33">
        <v>-144371.24</v>
      </c>
      <c r="AQ113" s="332"/>
      <c r="AR113" s="33">
        <v>-12565.71</v>
      </c>
      <c r="AS113" s="340">
        <v>1.5</v>
      </c>
      <c r="AT113" s="437"/>
      <c r="AU113" s="438"/>
      <c r="AV113" s="436"/>
      <c r="AW113" s="436"/>
      <c r="AX113" s="436"/>
      <c r="AY113" s="436"/>
      <c r="AZ113" s="436"/>
      <c r="BA113" s="436"/>
      <c r="BB113" s="436"/>
      <c r="BC113" s="436"/>
      <c r="BE113" s="383"/>
      <c r="BF113" s="383"/>
      <c r="BG113" s="383"/>
      <c r="BH113" s="383"/>
      <c r="BI113" s="383"/>
      <c r="BJ113" s="383"/>
      <c r="BK113" s="383"/>
      <c r="BL113" s="383"/>
      <c r="BM113" s="383"/>
      <c r="BN113" s="383"/>
      <c r="BO113" s="383"/>
    </row>
    <row r="114" spans="1:67" x14ac:dyDescent="0.25">
      <c r="A114" s="335">
        <v>5582</v>
      </c>
      <c r="B114" s="425" t="s">
        <v>390</v>
      </c>
      <c r="C114" s="446">
        <v>9539132.4700000007</v>
      </c>
      <c r="D114" s="33">
        <v>1026169.28</v>
      </c>
      <c r="E114" s="448"/>
      <c r="F114" s="452">
        <v>0</v>
      </c>
      <c r="G114" s="452">
        <v>289764.05</v>
      </c>
      <c r="H114" s="453">
        <v>463935.55</v>
      </c>
      <c r="I114" s="451">
        <v>25637.35</v>
      </c>
      <c r="J114" s="448">
        <v>273052.06</v>
      </c>
      <c r="K114" s="453">
        <v>36801.699999999997</v>
      </c>
      <c r="L114" s="448">
        <v>900135.85</v>
      </c>
      <c r="M114" s="422">
        <f t="shared" si="3"/>
        <v>12554628.310000001</v>
      </c>
      <c r="N114" s="446">
        <v>456234.5</v>
      </c>
      <c r="O114" s="446">
        <v>130260.7</v>
      </c>
      <c r="P114" s="446">
        <v>331577.75</v>
      </c>
      <c r="Q114" s="446">
        <v>-105661.12</v>
      </c>
      <c r="R114" s="33">
        <v>477718.9</v>
      </c>
      <c r="S114" s="340"/>
      <c r="T114" s="446">
        <v>8249.15</v>
      </c>
      <c r="U114" s="33">
        <v>19500</v>
      </c>
      <c r="V114" s="446"/>
      <c r="W114" s="33"/>
      <c r="X114" s="417">
        <v>215895.55</v>
      </c>
      <c r="Y114" s="328">
        <f t="shared" si="4"/>
        <v>14088403.740000002</v>
      </c>
      <c r="Z114" s="33">
        <v>258880.2</v>
      </c>
      <c r="AA114" s="33">
        <v>3483.45</v>
      </c>
      <c r="AB114" s="33">
        <v>686383.91</v>
      </c>
      <c r="AC114" s="33"/>
      <c r="AD114" s="33">
        <v>453989.15</v>
      </c>
      <c r="AE114" s="33"/>
      <c r="AF114" s="33"/>
      <c r="AG114" s="33"/>
      <c r="AH114" s="33"/>
      <c r="AI114" s="33">
        <v>243248.85</v>
      </c>
      <c r="AJ114" s="33"/>
      <c r="AK114" s="33"/>
      <c r="AL114" s="33">
        <v>60622.45</v>
      </c>
      <c r="AM114" s="328">
        <f t="shared" si="5"/>
        <v>1706608.01</v>
      </c>
      <c r="AN114" s="371">
        <v>74.5</v>
      </c>
      <c r="AO114" s="388">
        <v>4339</v>
      </c>
      <c r="AP114" s="33">
        <v>-202100.63</v>
      </c>
      <c r="AQ114" s="332"/>
      <c r="AR114" s="33">
        <v>-6688.62</v>
      </c>
      <c r="AS114" s="340">
        <v>1</v>
      </c>
      <c r="AT114" s="437"/>
      <c r="AU114" s="438"/>
      <c r="AV114" s="436"/>
      <c r="AW114" s="436"/>
      <c r="AX114" s="436"/>
      <c r="AY114" s="436"/>
      <c r="AZ114" s="436"/>
      <c r="BA114" s="436"/>
      <c r="BB114" s="436"/>
      <c r="BC114" s="436"/>
      <c r="BE114" s="383"/>
      <c r="BF114" s="383"/>
      <c r="BG114" s="383"/>
      <c r="BH114" s="383"/>
      <c r="BI114" s="383"/>
      <c r="BJ114" s="383"/>
      <c r="BK114" s="383"/>
      <c r="BL114" s="383"/>
      <c r="BM114" s="383"/>
      <c r="BN114" s="383"/>
      <c r="BO114" s="383"/>
    </row>
    <row r="115" spans="1:67" x14ac:dyDescent="0.25">
      <c r="A115" s="335">
        <v>5583</v>
      </c>
      <c r="B115" s="425" t="s">
        <v>391</v>
      </c>
      <c r="C115" s="446">
        <v>11823292.359999999</v>
      </c>
      <c r="D115" s="33">
        <v>1675818.69</v>
      </c>
      <c r="E115" s="448"/>
      <c r="F115" s="452">
        <v>0</v>
      </c>
      <c r="G115" s="452">
        <v>2454366.85</v>
      </c>
      <c r="H115" s="453">
        <v>330636.34999999998</v>
      </c>
      <c r="I115" s="451">
        <v>0</v>
      </c>
      <c r="J115" s="448">
        <v>808417.71</v>
      </c>
      <c r="K115" s="453">
        <v>317099.09999999998</v>
      </c>
      <c r="L115" s="448">
        <v>2363526.4500000002</v>
      </c>
      <c r="M115" s="422">
        <f t="shared" si="3"/>
        <v>19773157.509999998</v>
      </c>
      <c r="N115" s="446">
        <v>1828974.65</v>
      </c>
      <c r="O115" s="446">
        <v>95237.1</v>
      </c>
      <c r="P115" s="446">
        <v>1294126.8500000001</v>
      </c>
      <c r="Q115" s="446">
        <v>90940.39</v>
      </c>
      <c r="R115" s="33">
        <v>394841.7</v>
      </c>
      <c r="S115" s="340"/>
      <c r="T115" s="446"/>
      <c r="U115" s="33">
        <v>45000</v>
      </c>
      <c r="V115" s="446"/>
      <c r="W115" s="33">
        <v>149622.5</v>
      </c>
      <c r="X115" s="417">
        <v>745104.95</v>
      </c>
      <c r="Y115" s="328">
        <f t="shared" si="4"/>
        <v>24417005.649999999</v>
      </c>
      <c r="Z115" s="33"/>
      <c r="AA115" s="33"/>
      <c r="AB115" s="33">
        <v>1555493.25</v>
      </c>
      <c r="AC115" s="33"/>
      <c r="AD115" s="33">
        <v>931376.1</v>
      </c>
      <c r="AE115" s="33">
        <v>351122.6</v>
      </c>
      <c r="AF115" s="33">
        <v>11663.4</v>
      </c>
      <c r="AG115" s="33">
        <v>547.4</v>
      </c>
      <c r="AH115" s="33">
        <v>274267.3</v>
      </c>
      <c r="AI115" s="33">
        <v>541838.05000000005</v>
      </c>
      <c r="AJ115" s="33"/>
      <c r="AK115" s="33">
        <v>77491.25</v>
      </c>
      <c r="AL115" s="33"/>
      <c r="AM115" s="328">
        <f t="shared" si="5"/>
        <v>3743799.3499999996</v>
      </c>
      <c r="AN115" s="371">
        <v>65</v>
      </c>
      <c r="AO115" s="388">
        <v>7944</v>
      </c>
      <c r="AP115" s="33">
        <v>-239520.29</v>
      </c>
      <c r="AQ115" s="332"/>
      <c r="AR115" s="33">
        <v>-1942</v>
      </c>
      <c r="AS115" s="340">
        <v>1</v>
      </c>
      <c r="AT115" s="437"/>
      <c r="AU115" s="440"/>
      <c r="AV115" s="436"/>
      <c r="AW115" s="436"/>
      <c r="AX115" s="436"/>
      <c r="AY115" s="436"/>
      <c r="AZ115" s="436"/>
      <c r="BA115" s="436"/>
      <c r="BB115" s="436"/>
      <c r="BC115" s="436"/>
      <c r="BE115" s="383"/>
      <c r="BF115" s="383"/>
      <c r="BG115" s="383"/>
      <c r="BH115" s="383"/>
      <c r="BI115" s="383"/>
      <c r="BJ115" s="383"/>
      <c r="BK115" s="383"/>
      <c r="BL115" s="383"/>
      <c r="BM115" s="383"/>
      <c r="BN115" s="383"/>
      <c r="BO115" s="383"/>
    </row>
    <row r="116" spans="1:67" x14ac:dyDescent="0.25">
      <c r="A116" s="335">
        <v>5584</v>
      </c>
      <c r="B116" s="425" t="s">
        <v>392</v>
      </c>
      <c r="C116" s="446">
        <v>22937218.370000001</v>
      </c>
      <c r="D116" s="33">
        <v>4318571.2300000004</v>
      </c>
      <c r="E116" s="448">
        <v>0</v>
      </c>
      <c r="F116" s="452">
        <v>0</v>
      </c>
      <c r="G116" s="452">
        <v>563105.69999999995</v>
      </c>
      <c r="H116" s="453">
        <v>218242.85</v>
      </c>
      <c r="I116" s="451">
        <v>443823.94</v>
      </c>
      <c r="J116" s="448">
        <v>533594.48</v>
      </c>
      <c r="K116" s="453">
        <v>258502.75</v>
      </c>
      <c r="L116" s="448">
        <v>2205843.2999999998</v>
      </c>
      <c r="M116" s="422">
        <f t="shared" si="3"/>
        <v>31478902.620000005</v>
      </c>
      <c r="N116" s="446">
        <v>263683.25</v>
      </c>
      <c r="O116" s="446">
        <v>559960.81999999995</v>
      </c>
      <c r="P116" s="446">
        <v>1023124</v>
      </c>
      <c r="Q116" s="446">
        <v>97434.25</v>
      </c>
      <c r="R116" s="33">
        <v>695415</v>
      </c>
      <c r="S116" s="340"/>
      <c r="T116" s="446">
        <v>33339.1</v>
      </c>
      <c r="U116" s="33">
        <v>35960</v>
      </c>
      <c r="V116" s="446">
        <v>0</v>
      </c>
      <c r="W116" s="33">
        <v>0</v>
      </c>
      <c r="X116" s="417">
        <v>158463.6</v>
      </c>
      <c r="Y116" s="328">
        <f t="shared" si="4"/>
        <v>34346282.640000008</v>
      </c>
      <c r="Z116" s="33">
        <v>530623.76</v>
      </c>
      <c r="AA116" s="33">
        <v>0</v>
      </c>
      <c r="AB116" s="33">
        <v>551365.55000000005</v>
      </c>
      <c r="AC116" s="33">
        <v>0</v>
      </c>
      <c r="AD116" s="33">
        <v>813645.86</v>
      </c>
      <c r="AE116" s="33">
        <v>0</v>
      </c>
      <c r="AF116" s="33">
        <v>0</v>
      </c>
      <c r="AG116" s="33">
        <v>0</v>
      </c>
      <c r="AH116" s="33">
        <v>0</v>
      </c>
      <c r="AI116" s="33">
        <v>366894.22</v>
      </c>
      <c r="AJ116" s="33">
        <v>0</v>
      </c>
      <c r="AK116" s="33">
        <v>0</v>
      </c>
      <c r="AL116" s="33">
        <v>0</v>
      </c>
      <c r="AM116" s="328">
        <f t="shared" si="5"/>
        <v>2262529.3899999997</v>
      </c>
      <c r="AN116" s="371">
        <v>66</v>
      </c>
      <c r="AO116" s="388">
        <v>9701</v>
      </c>
      <c r="AP116" s="33">
        <v>-328503.65000000002</v>
      </c>
      <c r="AQ116" s="332"/>
      <c r="AR116" s="33">
        <v>-50265.46</v>
      </c>
      <c r="AS116" s="340">
        <v>1</v>
      </c>
      <c r="AT116" s="437"/>
      <c r="AU116" s="438"/>
      <c r="AV116" s="436"/>
      <c r="AW116" s="436"/>
      <c r="AX116" s="436"/>
      <c r="AY116" s="436"/>
      <c r="AZ116" s="436"/>
      <c r="BA116" s="436"/>
      <c r="BB116" s="436"/>
      <c r="BC116" s="436"/>
      <c r="BE116" s="383"/>
      <c r="BF116" s="383"/>
      <c r="BG116" s="383"/>
      <c r="BH116" s="383"/>
      <c r="BI116" s="383"/>
      <c r="BJ116" s="383"/>
      <c r="BK116" s="383"/>
      <c r="BL116" s="383"/>
      <c r="BM116" s="383"/>
      <c r="BN116" s="383"/>
      <c r="BO116" s="383"/>
    </row>
    <row r="117" spans="1:67" x14ac:dyDescent="0.25">
      <c r="A117" s="335">
        <v>5585</v>
      </c>
      <c r="B117" s="425" t="s">
        <v>393</v>
      </c>
      <c r="C117" s="446">
        <v>8730729.4499999993</v>
      </c>
      <c r="D117" s="33">
        <v>3867707.33</v>
      </c>
      <c r="E117" s="448"/>
      <c r="F117" s="452">
        <v>0</v>
      </c>
      <c r="G117" s="452">
        <v>20967.849999999999</v>
      </c>
      <c r="H117" s="453">
        <v>5033.6000000000004</v>
      </c>
      <c r="I117" s="451">
        <v>424238.45</v>
      </c>
      <c r="J117" s="448">
        <v>-11838.68</v>
      </c>
      <c r="K117" s="453">
        <v>8461</v>
      </c>
      <c r="L117" s="448">
        <v>529965.85</v>
      </c>
      <c r="M117" s="422">
        <f t="shared" si="3"/>
        <v>13575264.849999998</v>
      </c>
      <c r="N117" s="446">
        <v>1587.1</v>
      </c>
      <c r="O117" s="446">
        <v>27717.8</v>
      </c>
      <c r="P117" s="446">
        <v>171383.65</v>
      </c>
      <c r="Q117" s="446">
        <v>1227.6500000000001</v>
      </c>
      <c r="R117" s="33">
        <v>239248.85</v>
      </c>
      <c r="S117" s="340"/>
      <c r="T117" s="446"/>
      <c r="U117" s="33">
        <v>7050</v>
      </c>
      <c r="V117" s="446"/>
      <c r="W117" s="33"/>
      <c r="X117" s="417">
        <v>4977.8500000000004</v>
      </c>
      <c r="Y117" s="328">
        <f t="shared" si="4"/>
        <v>14028457.749999998</v>
      </c>
      <c r="Z117" s="33">
        <v>74055.8</v>
      </c>
      <c r="AA117" s="33"/>
      <c r="AB117" s="33">
        <v>359670.35</v>
      </c>
      <c r="AC117" s="33"/>
      <c r="AD117" s="33">
        <v>106737.1</v>
      </c>
      <c r="AE117" s="33"/>
      <c r="AF117" s="33"/>
      <c r="AG117" s="33"/>
      <c r="AH117" s="33"/>
      <c r="AI117" s="33"/>
      <c r="AJ117" s="33"/>
      <c r="AK117" s="33"/>
      <c r="AL117" s="33"/>
      <c r="AM117" s="328">
        <f t="shared" si="5"/>
        <v>540463.25</v>
      </c>
      <c r="AN117" s="371">
        <v>59</v>
      </c>
      <c r="AO117" s="388">
        <v>1423</v>
      </c>
      <c r="AP117" s="33">
        <v>-16208.7</v>
      </c>
      <c r="AQ117" s="332"/>
      <c r="AR117" s="33">
        <v>-13252.54</v>
      </c>
      <c r="AS117" s="340">
        <v>1</v>
      </c>
      <c r="AT117" s="437"/>
      <c r="AU117" s="438"/>
      <c r="AV117" s="436"/>
      <c r="AW117" s="436"/>
      <c r="AX117" s="436"/>
      <c r="AY117" s="436"/>
      <c r="AZ117" s="436"/>
      <c r="BA117" s="436"/>
      <c r="BB117" s="436"/>
      <c r="BC117" s="436"/>
      <c r="BE117" s="383"/>
      <c r="BF117" s="383"/>
      <c r="BG117" s="383"/>
      <c r="BH117" s="383"/>
      <c r="BI117" s="383"/>
      <c r="BJ117" s="383"/>
      <c r="BK117" s="383"/>
      <c r="BL117" s="383"/>
      <c r="BM117" s="383"/>
      <c r="BN117" s="383"/>
      <c r="BO117" s="383"/>
    </row>
    <row r="118" spans="1:67" x14ac:dyDescent="0.25">
      <c r="A118" s="335">
        <v>5586</v>
      </c>
      <c r="B118" s="425" t="s">
        <v>120</v>
      </c>
      <c r="C118" s="446">
        <f>311729360.7+231339.15</f>
        <v>311960699.84999996</v>
      </c>
      <c r="D118" s="33">
        <v>43371821.600000001</v>
      </c>
      <c r="E118" s="448"/>
      <c r="F118" s="452">
        <v>0</v>
      </c>
      <c r="G118" s="452">
        <v>45306248.149999999</v>
      </c>
      <c r="H118" s="453">
        <v>7259206.75</v>
      </c>
      <c r="I118" s="451">
        <v>5210112.4000000004</v>
      </c>
      <c r="J118" s="448">
        <v>24839326.210000001</v>
      </c>
      <c r="K118" s="453">
        <v>5734078.9000000004</v>
      </c>
      <c r="L118" s="448">
        <v>37197352.149999999</v>
      </c>
      <c r="M118" s="422">
        <f t="shared" si="3"/>
        <v>480878846.00999987</v>
      </c>
      <c r="N118" s="446">
        <v>11639074.1</v>
      </c>
      <c r="O118" s="446">
        <v>15757882.5</v>
      </c>
      <c r="P118" s="446">
        <v>8863389.5</v>
      </c>
      <c r="Q118" s="446">
        <v>2415500.98</v>
      </c>
      <c r="R118" s="33">
        <v>8816891.0500000007</v>
      </c>
      <c r="S118" s="340"/>
      <c r="T118" s="446"/>
      <c r="U118" s="33">
        <v>358245</v>
      </c>
      <c r="V118" s="446">
        <v>5948186.75</v>
      </c>
      <c r="W118" s="33"/>
      <c r="X118" s="417">
        <v>15999839.1</v>
      </c>
      <c r="Y118" s="328">
        <f t="shared" si="4"/>
        <v>550677854.98999989</v>
      </c>
      <c r="Z118" s="33">
        <v>8078220.5499999998</v>
      </c>
      <c r="AA118" s="33"/>
      <c r="AB118" s="33">
        <v>16546627.16</v>
      </c>
      <c r="AC118" s="33"/>
      <c r="AD118" s="33">
        <v>20262992.82</v>
      </c>
      <c r="AE118" s="33">
        <v>5974217</v>
      </c>
      <c r="AF118" s="33"/>
      <c r="AG118" s="33"/>
      <c r="AH118" s="33">
        <v>4220728.0199999996</v>
      </c>
      <c r="AI118" s="33">
        <v>7694955.6699999999</v>
      </c>
      <c r="AJ118" s="33">
        <v>5950719.0199999996</v>
      </c>
      <c r="AK118" s="33">
        <v>1919659.45</v>
      </c>
      <c r="AL118" s="33">
        <v>1969486.82</v>
      </c>
      <c r="AM118" s="328">
        <f t="shared" si="5"/>
        <v>72617606.50999999</v>
      </c>
      <c r="AN118" s="371">
        <v>79</v>
      </c>
      <c r="AO118" s="388">
        <v>139726</v>
      </c>
      <c r="AP118" s="33">
        <v>-9279648.9900000002</v>
      </c>
      <c r="AQ118" s="332"/>
      <c r="AR118" s="33">
        <v>-591696.21</v>
      </c>
      <c r="AS118" s="340">
        <v>1.5</v>
      </c>
      <c r="AT118" s="437"/>
      <c r="AU118" s="438"/>
      <c r="AV118" s="436"/>
      <c r="AW118" s="436"/>
      <c r="AX118" s="436"/>
      <c r="AY118" s="436"/>
      <c r="AZ118" s="436"/>
      <c r="BA118" s="436"/>
      <c r="BB118" s="436"/>
      <c r="BC118" s="436"/>
      <c r="BE118" s="383"/>
      <c r="BF118" s="383"/>
      <c r="BG118" s="383"/>
      <c r="BH118" s="383"/>
      <c r="BI118" s="383"/>
      <c r="BJ118" s="383"/>
      <c r="BK118" s="383"/>
      <c r="BL118" s="383"/>
      <c r="BM118" s="383"/>
      <c r="BN118" s="383"/>
      <c r="BO118" s="383"/>
    </row>
    <row r="119" spans="1:67" x14ac:dyDescent="0.25">
      <c r="A119" s="335">
        <v>5587</v>
      </c>
      <c r="B119" s="425" t="s">
        <v>121</v>
      </c>
      <c r="C119" s="446">
        <v>23436270.98</v>
      </c>
      <c r="D119" s="33">
        <v>3532074.11</v>
      </c>
      <c r="E119" s="448"/>
      <c r="F119" s="452">
        <v>0</v>
      </c>
      <c r="G119" s="452">
        <v>1837337.15</v>
      </c>
      <c r="H119" s="453">
        <v>508822.75</v>
      </c>
      <c r="I119" s="451">
        <v>253663.5</v>
      </c>
      <c r="J119" s="448">
        <v>579945.64</v>
      </c>
      <c r="K119" s="453">
        <v>244727.05</v>
      </c>
      <c r="L119" s="448">
        <v>2772849.5</v>
      </c>
      <c r="M119" s="422">
        <f t="shared" si="3"/>
        <v>33165690.68</v>
      </c>
      <c r="N119" s="446">
        <v>464277.7</v>
      </c>
      <c r="O119" s="446">
        <v>178958.7</v>
      </c>
      <c r="P119" s="446">
        <v>997443.6</v>
      </c>
      <c r="Q119" s="446">
        <v>125564.65</v>
      </c>
      <c r="R119" s="33">
        <v>392541.2</v>
      </c>
      <c r="S119" s="340"/>
      <c r="T119" s="446">
        <v>33696.35</v>
      </c>
      <c r="U119" s="33">
        <v>36300</v>
      </c>
      <c r="V119" s="446"/>
      <c r="W119" s="33"/>
      <c r="X119" s="417">
        <v>458689.6</v>
      </c>
      <c r="Y119" s="328">
        <f t="shared" si="4"/>
        <v>35853162.480000012</v>
      </c>
      <c r="Z119" s="33">
        <v>368056.91</v>
      </c>
      <c r="AA119" s="33"/>
      <c r="AB119" s="33">
        <v>1654841.69</v>
      </c>
      <c r="AC119" s="33"/>
      <c r="AD119" s="33">
        <v>723494.86</v>
      </c>
      <c r="AE119" s="33"/>
      <c r="AF119" s="33"/>
      <c r="AG119" s="33"/>
      <c r="AH119" s="33"/>
      <c r="AI119" s="33">
        <v>301516.13</v>
      </c>
      <c r="AJ119" s="33"/>
      <c r="AK119" s="33"/>
      <c r="AL119" s="33">
        <v>35177.360000000001</v>
      </c>
      <c r="AM119" s="328">
        <f t="shared" si="5"/>
        <v>3083086.9499999997</v>
      </c>
      <c r="AN119" s="371">
        <v>75</v>
      </c>
      <c r="AO119" s="388">
        <v>8991</v>
      </c>
      <c r="AP119" s="33">
        <v>-436783.94</v>
      </c>
      <c r="AQ119" s="332"/>
      <c r="AR119" s="33">
        <v>-44045.35</v>
      </c>
      <c r="AS119" s="340">
        <v>1.2</v>
      </c>
      <c r="AT119" s="437"/>
      <c r="AU119" s="438"/>
      <c r="AV119" s="436"/>
      <c r="AW119" s="436"/>
      <c r="AX119" s="436"/>
      <c r="AY119" s="436"/>
      <c r="AZ119" s="436"/>
      <c r="BA119" s="436"/>
      <c r="BB119" s="436"/>
      <c r="BC119" s="436"/>
      <c r="BE119" s="383"/>
      <c r="BF119" s="383"/>
      <c r="BG119" s="383"/>
      <c r="BH119" s="383"/>
      <c r="BI119" s="383"/>
      <c r="BJ119" s="383"/>
      <c r="BK119" s="383"/>
      <c r="BL119" s="383"/>
      <c r="BM119" s="383"/>
      <c r="BN119" s="383"/>
      <c r="BO119" s="383"/>
    </row>
    <row r="120" spans="1:67" x14ac:dyDescent="0.25">
      <c r="A120" s="335">
        <v>5588</v>
      </c>
      <c r="B120" s="425" t="s">
        <v>122</v>
      </c>
      <c r="C120" s="446">
        <v>5612177.4400000004</v>
      </c>
      <c r="D120" s="33">
        <v>1317242.6299999999</v>
      </c>
      <c r="E120" s="448"/>
      <c r="F120" s="452">
        <v>0</v>
      </c>
      <c r="G120" s="452">
        <v>278310.55</v>
      </c>
      <c r="H120" s="453">
        <v>317121.55</v>
      </c>
      <c r="I120" s="451">
        <v>685216.77</v>
      </c>
      <c r="J120" s="448">
        <v>361167.68</v>
      </c>
      <c r="K120" s="453">
        <v>18214.55</v>
      </c>
      <c r="L120" s="448">
        <v>360219.65</v>
      </c>
      <c r="M120" s="422">
        <f t="shared" si="3"/>
        <v>8949670.8200000003</v>
      </c>
      <c r="N120" s="446">
        <v>6796.8</v>
      </c>
      <c r="O120" s="446">
        <v>2272.8000000000002</v>
      </c>
      <c r="P120" s="446">
        <v>112495.85</v>
      </c>
      <c r="Q120" s="446">
        <v>15299.89</v>
      </c>
      <c r="R120" s="33">
        <v>50238.7</v>
      </c>
      <c r="S120" s="340"/>
      <c r="T120" s="446"/>
      <c r="U120" s="33">
        <v>4800</v>
      </c>
      <c r="V120" s="446"/>
      <c r="W120" s="33"/>
      <c r="X120" s="417">
        <v>171448.4</v>
      </c>
      <c r="Y120" s="328">
        <f t="shared" si="4"/>
        <v>9313023.2600000016</v>
      </c>
      <c r="Z120" s="33"/>
      <c r="AA120" s="33" t="s">
        <v>599</v>
      </c>
      <c r="AB120" s="33">
        <v>117857.16</v>
      </c>
      <c r="AC120" s="33"/>
      <c r="AD120" s="33">
        <v>135112.47</v>
      </c>
      <c r="AE120" s="33"/>
      <c r="AF120" s="33"/>
      <c r="AG120" s="33" t="s">
        <v>599</v>
      </c>
      <c r="AH120" s="33"/>
      <c r="AI120" s="33"/>
      <c r="AJ120" s="33">
        <v>30092.33</v>
      </c>
      <c r="AK120" s="33"/>
      <c r="AL120" s="33">
        <v>15046.16</v>
      </c>
      <c r="AM120" s="328">
        <f t="shared" si="5"/>
        <v>298108.12</v>
      </c>
      <c r="AN120" s="371">
        <v>68</v>
      </c>
      <c r="AO120" s="388">
        <v>1532</v>
      </c>
      <c r="AP120" s="33">
        <v>-51003.55</v>
      </c>
      <c r="AQ120" s="332"/>
      <c r="AR120" s="33">
        <v>-87805.11</v>
      </c>
      <c r="AS120" s="340">
        <v>0.7</v>
      </c>
      <c r="AT120" s="437"/>
      <c r="AU120" s="438"/>
      <c r="AV120" s="436"/>
      <c r="AW120" s="436"/>
      <c r="AX120" s="436"/>
      <c r="AY120" s="436"/>
      <c r="AZ120" s="436"/>
      <c r="BA120" s="436"/>
      <c r="BB120" s="436"/>
      <c r="BC120" s="436"/>
      <c r="BE120" s="383"/>
      <c r="BF120" s="383"/>
      <c r="BG120" s="383"/>
      <c r="BH120" s="383"/>
      <c r="BI120" s="383"/>
      <c r="BJ120" s="383"/>
      <c r="BK120" s="383"/>
      <c r="BL120" s="383"/>
      <c r="BM120" s="383"/>
      <c r="BN120" s="383"/>
      <c r="BO120" s="383"/>
    </row>
    <row r="121" spans="1:67" x14ac:dyDescent="0.25">
      <c r="A121" s="335">
        <v>5589</v>
      </c>
      <c r="B121" s="425" t="s">
        <v>123</v>
      </c>
      <c r="C121" s="446">
        <v>19362622.039999999</v>
      </c>
      <c r="D121" s="33">
        <v>2153256.0499999998</v>
      </c>
      <c r="E121" s="448"/>
      <c r="F121" s="452">
        <v>0</v>
      </c>
      <c r="G121" s="452">
        <v>3728303.5</v>
      </c>
      <c r="H121" s="453">
        <v>380475.5</v>
      </c>
      <c r="I121" s="451">
        <v>220436.72</v>
      </c>
      <c r="J121" s="448">
        <v>1464985.74</v>
      </c>
      <c r="K121" s="453">
        <v>372847.75</v>
      </c>
      <c r="L121" s="448">
        <v>2769317.7</v>
      </c>
      <c r="M121" s="422">
        <f t="shared" si="3"/>
        <v>30452244.999999996</v>
      </c>
      <c r="N121" s="446">
        <v>1109829.25</v>
      </c>
      <c r="O121" s="446">
        <v>334470.8</v>
      </c>
      <c r="P121" s="446">
        <v>602913.05000000005</v>
      </c>
      <c r="Q121" s="446">
        <v>168095.45</v>
      </c>
      <c r="R121" s="33">
        <v>578732.75</v>
      </c>
      <c r="S121" s="340"/>
      <c r="T121" s="446"/>
      <c r="U121" s="33">
        <v>42600</v>
      </c>
      <c r="V121" s="446"/>
      <c r="W121" s="33"/>
      <c r="X121" s="417">
        <v>1380604.05</v>
      </c>
      <c r="Y121" s="328">
        <f t="shared" si="4"/>
        <v>34669490.349999994</v>
      </c>
      <c r="Z121" s="33">
        <v>243944</v>
      </c>
      <c r="AA121" s="33" t="s">
        <v>599</v>
      </c>
      <c r="AB121" s="33">
        <v>1480300.85</v>
      </c>
      <c r="AC121" s="33" t="s">
        <v>599</v>
      </c>
      <c r="AD121" s="33">
        <v>1036378.45</v>
      </c>
      <c r="AE121" s="33" t="s">
        <v>599</v>
      </c>
      <c r="AF121" s="33" t="s">
        <v>599</v>
      </c>
      <c r="AG121" s="33" t="s">
        <v>599</v>
      </c>
      <c r="AH121" s="33" t="s">
        <v>599</v>
      </c>
      <c r="AI121" s="33">
        <v>359784.69</v>
      </c>
      <c r="AJ121" s="33"/>
      <c r="AK121" s="33"/>
      <c r="AL121" s="33">
        <v>92516.06</v>
      </c>
      <c r="AM121" s="328">
        <f t="shared" si="5"/>
        <v>3212924.05</v>
      </c>
      <c r="AN121" s="371">
        <v>73.5</v>
      </c>
      <c r="AO121" s="388">
        <v>12423</v>
      </c>
      <c r="AP121" s="33">
        <v>-618271.66</v>
      </c>
      <c r="AQ121" s="332"/>
      <c r="AR121" s="33">
        <v>-12230.55</v>
      </c>
      <c r="AS121" s="340">
        <v>1.3</v>
      </c>
      <c r="AT121" s="437"/>
      <c r="AU121" s="438"/>
      <c r="AV121" s="436"/>
      <c r="AW121" s="436"/>
      <c r="AX121" s="436"/>
      <c r="AY121" s="436"/>
      <c r="AZ121" s="436"/>
      <c r="BA121" s="436"/>
      <c r="BB121" s="436"/>
      <c r="BC121" s="436"/>
      <c r="BE121" s="383"/>
      <c r="BF121" s="383"/>
      <c r="BG121" s="383"/>
      <c r="BH121" s="383"/>
      <c r="BI121" s="383"/>
      <c r="BJ121" s="383"/>
      <c r="BK121" s="383"/>
      <c r="BL121" s="383"/>
      <c r="BM121" s="383"/>
      <c r="BN121" s="383"/>
      <c r="BO121" s="383"/>
    </row>
    <row r="122" spans="1:67" x14ac:dyDescent="0.25">
      <c r="A122" s="335">
        <v>5590</v>
      </c>
      <c r="B122" s="425" t="s">
        <v>124</v>
      </c>
      <c r="C122" s="446">
        <v>61535714.729999997</v>
      </c>
      <c r="D122" s="33">
        <v>18146813.600000001</v>
      </c>
      <c r="E122" s="448"/>
      <c r="F122" s="452">
        <v>0</v>
      </c>
      <c r="G122" s="452">
        <v>2736965.75</v>
      </c>
      <c r="H122" s="453">
        <v>1235181.75</v>
      </c>
      <c r="I122" s="451">
        <v>3301288.37</v>
      </c>
      <c r="J122" s="448">
        <v>1186437.55</v>
      </c>
      <c r="K122" s="453">
        <v>414725.95</v>
      </c>
      <c r="L122" s="448">
        <v>3468655</v>
      </c>
      <c r="M122" s="422">
        <f t="shared" si="3"/>
        <v>92025782.700000003</v>
      </c>
      <c r="N122" s="446">
        <v>164601.25</v>
      </c>
      <c r="O122" s="446">
        <v>4380266.4000000004</v>
      </c>
      <c r="P122" s="446">
        <v>3501253.45</v>
      </c>
      <c r="Q122" s="446">
        <v>153991.18</v>
      </c>
      <c r="R122" s="33">
        <v>2027511.3</v>
      </c>
      <c r="S122" s="340">
        <v>26265.35</v>
      </c>
      <c r="T122" s="446"/>
      <c r="U122" s="33">
        <v>62700</v>
      </c>
      <c r="V122" s="446"/>
      <c r="W122" s="33"/>
      <c r="X122" s="417">
        <v>995250</v>
      </c>
      <c r="Y122" s="328">
        <f t="shared" si="4"/>
        <v>103337621.63000001</v>
      </c>
      <c r="Z122" s="33">
        <v>874690.24</v>
      </c>
      <c r="AA122" s="33"/>
      <c r="AB122" s="33">
        <v>3625088.41</v>
      </c>
      <c r="AC122" s="33"/>
      <c r="AD122" s="33">
        <v>2082999.04</v>
      </c>
      <c r="AE122" s="33">
        <v>499729.95</v>
      </c>
      <c r="AF122" s="33"/>
      <c r="AG122" s="33"/>
      <c r="AH122" s="33">
        <v>46392</v>
      </c>
      <c r="AI122" s="33">
        <v>347505.14</v>
      </c>
      <c r="AJ122" s="33">
        <v>504140.47</v>
      </c>
      <c r="AK122" s="33"/>
      <c r="AL122" s="33"/>
      <c r="AM122" s="328">
        <f t="shared" si="5"/>
        <v>7980545.25</v>
      </c>
      <c r="AN122" s="371">
        <v>61</v>
      </c>
      <c r="AO122" s="388">
        <v>18495</v>
      </c>
      <c r="AP122" s="33">
        <v>-638237.35</v>
      </c>
      <c r="AQ122" s="332"/>
      <c r="AR122" s="33">
        <v>-504571.96</v>
      </c>
      <c r="AS122" s="340">
        <v>0.7</v>
      </c>
      <c r="AT122" s="437"/>
      <c r="AU122" s="438"/>
      <c r="AV122" s="436"/>
      <c r="AW122" s="436"/>
      <c r="AX122" s="436"/>
      <c r="AY122" s="436"/>
      <c r="AZ122" s="436"/>
      <c r="BA122" s="436"/>
      <c r="BB122" s="436"/>
      <c r="BC122" s="436"/>
      <c r="BE122" s="383"/>
      <c r="BF122" s="383"/>
      <c r="BG122" s="383"/>
      <c r="BH122" s="383"/>
      <c r="BI122" s="383"/>
      <c r="BJ122" s="383"/>
      <c r="BK122" s="383"/>
      <c r="BL122" s="383"/>
      <c r="BM122" s="383"/>
      <c r="BN122" s="383"/>
      <c r="BO122" s="383"/>
    </row>
    <row r="123" spans="1:67" x14ac:dyDescent="0.25">
      <c r="A123" s="335">
        <v>5591</v>
      </c>
      <c r="B123" s="425" t="s">
        <v>396</v>
      </c>
      <c r="C123" s="33">
        <v>30073160.219999999</v>
      </c>
      <c r="D123" s="33">
        <v>3285627.08</v>
      </c>
      <c r="E123" s="448"/>
      <c r="F123" s="452">
        <v>0</v>
      </c>
      <c r="G123" s="452">
        <v>4019567.1</v>
      </c>
      <c r="H123" s="453">
        <v>772892.45</v>
      </c>
      <c r="I123" s="451">
        <v>0</v>
      </c>
      <c r="J123" s="448">
        <v>2461175.16</v>
      </c>
      <c r="K123" s="453">
        <v>652885.94999999995</v>
      </c>
      <c r="L123" s="448">
        <v>5078530.3499999996</v>
      </c>
      <c r="M123" s="422">
        <f t="shared" si="3"/>
        <v>46343838.31000001</v>
      </c>
      <c r="N123" s="446">
        <v>1922457.75</v>
      </c>
      <c r="O123" s="446">
        <v>921785.2</v>
      </c>
      <c r="P123" s="446">
        <v>1260308.05</v>
      </c>
      <c r="Q123" s="446">
        <v>230692.33</v>
      </c>
      <c r="R123" s="33">
        <v>608267.94999999995</v>
      </c>
      <c r="S123" s="340"/>
      <c r="T123" s="446"/>
      <c r="U123" s="33">
        <v>54150</v>
      </c>
      <c r="V123" s="446">
        <v>78316.95</v>
      </c>
      <c r="W123" s="33">
        <v>51613.4</v>
      </c>
      <c r="X123" s="417">
        <v>790439.6</v>
      </c>
      <c r="Y123" s="328">
        <f t="shared" si="4"/>
        <v>52261869.540000014</v>
      </c>
      <c r="Z123" s="33">
        <v>227088.6</v>
      </c>
      <c r="AA123" s="33">
        <v>0</v>
      </c>
      <c r="AB123" s="33">
        <v>1345107.75</v>
      </c>
      <c r="AC123" s="33">
        <v>11568</v>
      </c>
      <c r="AD123" s="33">
        <v>1906292.42</v>
      </c>
      <c r="AE123" s="33" t="s">
        <v>599</v>
      </c>
      <c r="AF123" s="33" t="s">
        <v>599</v>
      </c>
      <c r="AG123" s="33" t="s">
        <v>599</v>
      </c>
      <c r="AH123" s="33">
        <v>2487.6</v>
      </c>
      <c r="AI123" s="33">
        <v>557531.11</v>
      </c>
      <c r="AJ123" s="33">
        <v>0</v>
      </c>
      <c r="AK123" s="33">
        <v>0</v>
      </c>
      <c r="AL123" s="33">
        <v>186009.71</v>
      </c>
      <c r="AM123" s="328">
        <f t="shared" si="5"/>
        <v>4236085.1900000004</v>
      </c>
      <c r="AN123" s="371">
        <v>78.5</v>
      </c>
      <c r="AO123" s="388">
        <v>20928</v>
      </c>
      <c r="AP123" s="33">
        <v>-1702671.9</v>
      </c>
      <c r="AQ123" s="332"/>
      <c r="AR123" s="33">
        <v>-5717.87</v>
      </c>
      <c r="AS123" s="340">
        <v>1.4</v>
      </c>
      <c r="AT123" s="437"/>
      <c r="AU123" s="438"/>
      <c r="AV123" s="436"/>
      <c r="AW123" s="436"/>
      <c r="AX123" s="436"/>
      <c r="AY123" s="436"/>
      <c r="AZ123" s="436"/>
      <c r="BA123" s="436"/>
      <c r="BB123" s="436"/>
      <c r="BC123" s="436"/>
      <c r="BE123" s="383"/>
      <c r="BF123" s="383"/>
      <c r="BG123" s="383"/>
      <c r="BH123" s="383"/>
      <c r="BI123" s="383"/>
      <c r="BJ123" s="383"/>
      <c r="BK123" s="383"/>
      <c r="BL123" s="383"/>
      <c r="BM123" s="383"/>
      <c r="BN123" s="383"/>
      <c r="BO123" s="383"/>
    </row>
    <row r="124" spans="1:67" x14ac:dyDescent="0.25">
      <c r="A124" s="335">
        <v>5592</v>
      </c>
      <c r="B124" s="425" t="s">
        <v>216</v>
      </c>
      <c r="C124" s="446">
        <v>5813410.1699999999</v>
      </c>
      <c r="D124" s="33">
        <v>725740.89</v>
      </c>
      <c r="E124" s="448"/>
      <c r="F124" s="452">
        <v>0</v>
      </c>
      <c r="G124" s="452">
        <v>368294</v>
      </c>
      <c r="H124" s="453">
        <v>59828.2</v>
      </c>
      <c r="I124" s="451">
        <v>43700.4</v>
      </c>
      <c r="J124" s="448">
        <v>162880.34</v>
      </c>
      <c r="K124" s="453">
        <v>161439.85</v>
      </c>
      <c r="L124" s="448">
        <v>994337.9</v>
      </c>
      <c r="M124" s="422">
        <f t="shared" si="3"/>
        <v>8329631.75</v>
      </c>
      <c r="N124" s="446">
        <v>201383</v>
      </c>
      <c r="O124" s="446">
        <v>380218</v>
      </c>
      <c r="P124" s="446">
        <v>121950.1</v>
      </c>
      <c r="Q124" s="446">
        <v>41231</v>
      </c>
      <c r="R124" s="33">
        <v>94441</v>
      </c>
      <c r="S124" s="340">
        <v>125</v>
      </c>
      <c r="T124" s="446">
        <v>1500</v>
      </c>
      <c r="U124" s="33">
        <v>15375</v>
      </c>
      <c r="V124" s="446"/>
      <c r="W124" s="33">
        <v>600</v>
      </c>
      <c r="X124" s="417">
        <v>119726</v>
      </c>
      <c r="Y124" s="328">
        <f t="shared" si="4"/>
        <v>9306180.8499999996</v>
      </c>
      <c r="Z124" s="33">
        <v>132875.60999999999</v>
      </c>
      <c r="AA124" s="33">
        <v>27329.64</v>
      </c>
      <c r="AB124" s="33">
        <v>362401.98</v>
      </c>
      <c r="AC124" s="33"/>
      <c r="AD124" s="33">
        <v>221969.85</v>
      </c>
      <c r="AE124" s="33"/>
      <c r="AF124" s="33"/>
      <c r="AG124" s="33"/>
      <c r="AH124" s="33"/>
      <c r="AI124" s="33">
        <v>96553.8</v>
      </c>
      <c r="AJ124" s="33">
        <v>82765.53</v>
      </c>
      <c r="AK124" s="33">
        <v>82765.509999999995</v>
      </c>
      <c r="AL124" s="33"/>
      <c r="AM124" s="328">
        <f t="shared" si="5"/>
        <v>1006661.92</v>
      </c>
      <c r="AN124" s="371">
        <v>72</v>
      </c>
      <c r="AO124" s="388">
        <v>3294</v>
      </c>
      <c r="AP124" s="33">
        <v>-100338.42</v>
      </c>
      <c r="AQ124" s="332"/>
      <c r="AR124" s="33">
        <v>-6801.54</v>
      </c>
      <c r="AS124" s="340">
        <v>1.25</v>
      </c>
      <c r="AT124" s="437"/>
      <c r="AU124" s="438"/>
      <c r="AV124" s="436"/>
      <c r="AW124" s="436"/>
      <c r="AX124" s="436"/>
      <c r="AY124" s="436"/>
      <c r="AZ124" s="436"/>
      <c r="BA124" s="436"/>
      <c r="BB124" s="436"/>
      <c r="BC124" s="436"/>
      <c r="BE124" s="383"/>
      <c r="BF124" s="383"/>
      <c r="BG124" s="383"/>
      <c r="BH124" s="383"/>
      <c r="BI124" s="383"/>
      <c r="BJ124" s="383"/>
      <c r="BK124" s="383"/>
      <c r="BL124" s="383"/>
      <c r="BM124" s="383"/>
      <c r="BN124" s="383"/>
      <c r="BO124" s="383"/>
    </row>
    <row r="125" spans="1:67" x14ac:dyDescent="0.25">
      <c r="A125" s="335">
        <v>5601</v>
      </c>
      <c r="B125" s="425" t="s">
        <v>298</v>
      </c>
      <c r="C125" s="446">
        <v>5293392.26</v>
      </c>
      <c r="D125" s="33">
        <v>1139897.3400000001</v>
      </c>
      <c r="E125" s="448"/>
      <c r="F125" s="452">
        <v>0</v>
      </c>
      <c r="G125" s="452">
        <v>70624.2</v>
      </c>
      <c r="H125" s="453">
        <v>20350.400000000001</v>
      </c>
      <c r="I125" s="451">
        <v>64727.199999999997</v>
      </c>
      <c r="J125" s="448">
        <v>103715.89</v>
      </c>
      <c r="K125" s="453">
        <v>17302.2</v>
      </c>
      <c r="L125" s="448">
        <v>469284.35</v>
      </c>
      <c r="M125" s="422">
        <f t="shared" si="3"/>
        <v>7179293.8399999999</v>
      </c>
      <c r="N125" s="446">
        <v>57507.3</v>
      </c>
      <c r="O125" s="446">
        <v>256324.27</v>
      </c>
      <c r="P125" s="446">
        <v>311922.5</v>
      </c>
      <c r="Q125" s="446">
        <v>2989.27</v>
      </c>
      <c r="R125" s="33">
        <v>247739.15</v>
      </c>
      <c r="S125" s="340"/>
      <c r="T125" s="446"/>
      <c r="U125" s="33">
        <v>6637.5</v>
      </c>
      <c r="V125" s="446"/>
      <c r="W125" s="33"/>
      <c r="X125" s="417">
        <v>24584.6</v>
      </c>
      <c r="Y125" s="328">
        <f t="shared" si="4"/>
        <v>8086998.4299999988</v>
      </c>
      <c r="Z125" s="33"/>
      <c r="AA125" s="33">
        <v>1589.25</v>
      </c>
      <c r="AB125" s="33">
        <v>83065.600000000006</v>
      </c>
      <c r="AC125" s="33">
        <v>258772.5</v>
      </c>
      <c r="AD125" s="33">
        <v>127829.75</v>
      </c>
      <c r="AE125" s="33"/>
      <c r="AF125" s="33">
        <v>2648.78</v>
      </c>
      <c r="AG125" s="33"/>
      <c r="AH125" s="33">
        <v>89320.65</v>
      </c>
      <c r="AI125" s="33">
        <v>48322.1</v>
      </c>
      <c r="AJ125" s="33"/>
      <c r="AK125" s="33"/>
      <c r="AL125" s="33"/>
      <c r="AM125" s="328">
        <f t="shared" si="5"/>
        <v>611548.63</v>
      </c>
      <c r="AN125" s="371">
        <v>69</v>
      </c>
      <c r="AO125" s="388">
        <v>2235</v>
      </c>
      <c r="AP125" s="33">
        <v>-57692.12</v>
      </c>
      <c r="AQ125" s="332"/>
      <c r="AR125" s="33">
        <v>-9677.6</v>
      </c>
      <c r="AS125" s="340">
        <v>1</v>
      </c>
      <c r="AT125" s="437"/>
      <c r="AU125" s="438"/>
      <c r="AV125" s="436"/>
      <c r="AW125" s="436"/>
      <c r="AX125" s="436"/>
      <c r="AY125" s="436"/>
      <c r="AZ125" s="436"/>
      <c r="BA125" s="436"/>
      <c r="BB125" s="436"/>
      <c r="BC125" s="436"/>
      <c r="BE125" s="383"/>
      <c r="BF125" s="383"/>
      <c r="BG125" s="383"/>
      <c r="BH125" s="383"/>
      <c r="BI125" s="383"/>
      <c r="BJ125" s="383"/>
      <c r="BK125" s="383"/>
      <c r="BL125" s="383"/>
      <c r="BM125" s="383"/>
      <c r="BN125" s="383"/>
      <c r="BO125" s="383"/>
    </row>
    <row r="126" spans="1:67" x14ac:dyDescent="0.25">
      <c r="A126" s="335">
        <v>5604</v>
      </c>
      <c r="B126" s="425" t="s">
        <v>143</v>
      </c>
      <c r="C126" s="446">
        <v>3806559.69</v>
      </c>
      <c r="D126" s="33">
        <v>551897.65</v>
      </c>
      <c r="E126" s="448"/>
      <c r="F126" s="452">
        <v>0</v>
      </c>
      <c r="G126" s="452">
        <v>308439.40000000002</v>
      </c>
      <c r="H126" s="453">
        <v>17440.2</v>
      </c>
      <c r="I126" s="451">
        <v>-51604.83</v>
      </c>
      <c r="J126" s="448">
        <v>89157.26</v>
      </c>
      <c r="K126" s="453">
        <v>35285.199999999997</v>
      </c>
      <c r="L126" s="448">
        <v>395619</v>
      </c>
      <c r="M126" s="422">
        <f t="shared" si="3"/>
        <v>5152793.57</v>
      </c>
      <c r="N126" s="446">
        <v>86564.800000000003</v>
      </c>
      <c r="O126" s="446">
        <v>0</v>
      </c>
      <c r="P126" s="446">
        <v>184340.3</v>
      </c>
      <c r="Q126" s="446">
        <v>9002.76</v>
      </c>
      <c r="R126" s="33">
        <v>160109.79999999999</v>
      </c>
      <c r="S126" s="340"/>
      <c r="T126" s="446">
        <v>4675.5</v>
      </c>
      <c r="U126" s="33">
        <v>22050</v>
      </c>
      <c r="V126" s="446">
        <v>210</v>
      </c>
      <c r="W126" s="33"/>
      <c r="X126" s="417">
        <v>63425.75</v>
      </c>
      <c r="Y126" s="328">
        <f t="shared" si="4"/>
        <v>5683172.4799999995</v>
      </c>
      <c r="Z126" s="33">
        <v>46638.55</v>
      </c>
      <c r="AA126" s="33" t="s">
        <v>599</v>
      </c>
      <c r="AB126" s="33">
        <v>391858.6</v>
      </c>
      <c r="AC126" s="33" t="s">
        <v>599</v>
      </c>
      <c r="AD126" s="33">
        <v>119020.75</v>
      </c>
      <c r="AE126" s="33">
        <v>31138.55</v>
      </c>
      <c r="AF126" s="33" t="s">
        <v>599</v>
      </c>
      <c r="AG126" s="33" t="s">
        <v>599</v>
      </c>
      <c r="AH126" s="33">
        <v>10497.45</v>
      </c>
      <c r="AI126" s="33"/>
      <c r="AJ126" s="33"/>
      <c r="AK126" s="33"/>
      <c r="AL126" s="33"/>
      <c r="AM126" s="328">
        <f t="shared" si="5"/>
        <v>599153.89999999991</v>
      </c>
      <c r="AN126" s="371">
        <v>70</v>
      </c>
      <c r="AO126" s="388">
        <v>2064</v>
      </c>
      <c r="AP126" s="33">
        <v>-45194.54</v>
      </c>
      <c r="AQ126" s="332"/>
      <c r="AR126" s="33">
        <v>-2048.46</v>
      </c>
      <c r="AS126" s="340">
        <v>1</v>
      </c>
      <c r="AT126" s="437"/>
      <c r="AU126" s="438"/>
      <c r="AV126" s="436"/>
      <c r="AW126" s="436"/>
      <c r="AX126" s="436"/>
      <c r="AY126" s="436"/>
      <c r="AZ126" s="436"/>
      <c r="BA126" s="436"/>
      <c r="BB126" s="436"/>
      <c r="BC126" s="436"/>
      <c r="BE126" s="383"/>
      <c r="BF126" s="383"/>
      <c r="BG126" s="383"/>
      <c r="BH126" s="383"/>
      <c r="BI126" s="383"/>
      <c r="BJ126" s="383"/>
      <c r="BK126" s="383"/>
      <c r="BL126" s="383"/>
      <c r="BM126" s="383"/>
      <c r="BN126" s="383"/>
      <c r="BO126" s="383"/>
    </row>
    <row r="127" spans="1:67" x14ac:dyDescent="0.25">
      <c r="A127" s="335">
        <v>5606</v>
      </c>
      <c r="B127" s="425" t="s">
        <v>144</v>
      </c>
      <c r="C127" s="446">
        <v>31097030.600000001</v>
      </c>
      <c r="D127" s="33">
        <v>7111698.71</v>
      </c>
      <c r="E127" s="448"/>
      <c r="F127" s="452">
        <v>0</v>
      </c>
      <c r="G127" s="452">
        <v>2087285.55</v>
      </c>
      <c r="H127" s="453">
        <v>67441.95</v>
      </c>
      <c r="I127" s="451">
        <v>661389.89</v>
      </c>
      <c r="J127" s="448">
        <v>732958.03</v>
      </c>
      <c r="K127" s="453">
        <v>15175.75</v>
      </c>
      <c r="L127" s="448">
        <v>2170178.4</v>
      </c>
      <c r="M127" s="422">
        <f t="shared" si="3"/>
        <v>43943158.880000003</v>
      </c>
      <c r="N127" s="446">
        <v>105724.85</v>
      </c>
      <c r="O127" s="446">
        <v>3701485.1</v>
      </c>
      <c r="P127" s="446">
        <v>1961135.05</v>
      </c>
      <c r="Q127" s="446">
        <v>154093.64000000001</v>
      </c>
      <c r="R127" s="33">
        <v>1637609.95</v>
      </c>
      <c r="S127" s="340"/>
      <c r="T127" s="446"/>
      <c r="U127" s="33">
        <v>54350</v>
      </c>
      <c r="V127" s="446"/>
      <c r="W127" s="33"/>
      <c r="X127" s="417">
        <v>224640.8</v>
      </c>
      <c r="Y127" s="328">
        <f t="shared" si="4"/>
        <v>51782198.270000003</v>
      </c>
      <c r="Z127" s="33">
        <v>315260.75</v>
      </c>
      <c r="AA127" s="33"/>
      <c r="AB127" s="33">
        <v>1304089.5900000001</v>
      </c>
      <c r="AC127" s="33"/>
      <c r="AD127" s="33">
        <v>1474038.29</v>
      </c>
      <c r="AE127" s="33">
        <v>219859.20000000001</v>
      </c>
      <c r="AF127" s="33"/>
      <c r="AG127" s="33"/>
      <c r="AH127" s="33">
        <v>26706.07</v>
      </c>
      <c r="AI127" s="33">
        <v>285365.09999999998</v>
      </c>
      <c r="AJ127" s="33">
        <v>203832.2</v>
      </c>
      <c r="AK127" s="33">
        <v>81532.899999999994</v>
      </c>
      <c r="AL127" s="33"/>
      <c r="AM127" s="328">
        <f t="shared" si="5"/>
        <v>3910684.1</v>
      </c>
      <c r="AN127" s="371">
        <v>55.5</v>
      </c>
      <c r="AO127" s="388">
        <v>10357</v>
      </c>
      <c r="AP127" s="33">
        <v>-303794.59999999998</v>
      </c>
      <c r="AQ127" s="332"/>
      <c r="AR127" s="33">
        <v>-159766.5</v>
      </c>
      <c r="AS127" s="340">
        <v>0.7</v>
      </c>
      <c r="AT127" s="437"/>
      <c r="AU127" s="438"/>
      <c r="AV127" s="436"/>
      <c r="AW127" s="436"/>
      <c r="AX127" s="436"/>
      <c r="AY127" s="436"/>
      <c r="AZ127" s="436"/>
      <c r="BA127" s="436"/>
      <c r="BB127" s="436"/>
      <c r="BC127" s="436"/>
      <c r="BE127" s="383"/>
      <c r="BF127" s="383"/>
      <c r="BG127" s="383"/>
      <c r="BH127" s="383"/>
      <c r="BI127" s="383"/>
      <c r="BJ127" s="383"/>
      <c r="BK127" s="383"/>
      <c r="BL127" s="383"/>
      <c r="BM127" s="383"/>
      <c r="BN127" s="383"/>
      <c r="BO127" s="383"/>
    </row>
    <row r="128" spans="1:67" x14ac:dyDescent="0.25">
      <c r="A128" s="335">
        <v>5607</v>
      </c>
      <c r="B128" s="425" t="s">
        <v>300</v>
      </c>
      <c r="C128" s="446">
        <v>4690777.95</v>
      </c>
      <c r="D128" s="33">
        <v>878982.08</v>
      </c>
      <c r="E128" s="448"/>
      <c r="F128" s="452">
        <v>0</v>
      </c>
      <c r="G128" s="452">
        <v>400506.45</v>
      </c>
      <c r="H128" s="453">
        <v>149598</v>
      </c>
      <c r="I128" s="451">
        <v>316.95</v>
      </c>
      <c r="J128" s="448">
        <v>161595.10999999999</v>
      </c>
      <c r="K128" s="453">
        <v>87492.800000000003</v>
      </c>
      <c r="L128" s="448">
        <v>721367.35</v>
      </c>
      <c r="M128" s="422">
        <f t="shared" si="3"/>
        <v>7090636.6900000004</v>
      </c>
      <c r="N128" s="446">
        <v>204335.45</v>
      </c>
      <c r="O128" s="446">
        <v>15639.5</v>
      </c>
      <c r="P128" s="446">
        <v>175089.25</v>
      </c>
      <c r="Q128" s="446">
        <v>8091.47</v>
      </c>
      <c r="R128" s="33">
        <v>53142.6</v>
      </c>
      <c r="S128" s="340"/>
      <c r="T128" s="446"/>
      <c r="U128" s="33">
        <v>18750</v>
      </c>
      <c r="V128" s="446"/>
      <c r="W128" s="33"/>
      <c r="X128" s="417">
        <v>139759.65</v>
      </c>
      <c r="Y128" s="328">
        <f t="shared" si="4"/>
        <v>7705444.6100000003</v>
      </c>
      <c r="Z128" s="33">
        <v>81447.100000000006</v>
      </c>
      <c r="AA128" s="33"/>
      <c r="AB128" s="33">
        <v>193786.9</v>
      </c>
      <c r="AC128" s="33">
        <v>395903.5</v>
      </c>
      <c r="AD128" s="33">
        <v>152683.29</v>
      </c>
      <c r="AE128" s="33">
        <v>175132.7</v>
      </c>
      <c r="AF128" s="33"/>
      <c r="AG128" s="33"/>
      <c r="AH128" s="33">
        <v>58889.25</v>
      </c>
      <c r="AI128" s="33">
        <v>148817</v>
      </c>
      <c r="AJ128" s="33"/>
      <c r="AK128" s="33"/>
      <c r="AL128" s="33"/>
      <c r="AM128" s="328">
        <f t="shared" si="5"/>
        <v>1206659.74</v>
      </c>
      <c r="AN128" s="371">
        <v>70</v>
      </c>
      <c r="AO128" s="388">
        <v>2881</v>
      </c>
      <c r="AP128" s="33">
        <v>-74781.320000000007</v>
      </c>
      <c r="AQ128" s="332"/>
      <c r="AR128" s="33">
        <v>-5345.3</v>
      </c>
      <c r="AS128" s="340">
        <v>1.1499999999999999</v>
      </c>
      <c r="AT128" s="437"/>
      <c r="AU128" s="438"/>
      <c r="AV128" s="436"/>
      <c r="AW128" s="436"/>
      <c r="AX128" s="436"/>
      <c r="AY128" s="436"/>
      <c r="AZ128" s="436"/>
      <c r="BA128" s="436"/>
      <c r="BB128" s="436"/>
      <c r="BC128" s="436"/>
      <c r="BE128" s="383"/>
      <c r="BF128" s="383"/>
      <c r="BG128" s="383"/>
      <c r="BH128" s="383"/>
      <c r="BI128" s="383"/>
      <c r="BJ128" s="383"/>
      <c r="BK128" s="383"/>
      <c r="BL128" s="383"/>
      <c r="BM128" s="383"/>
      <c r="BN128" s="383"/>
      <c r="BO128" s="383"/>
    </row>
    <row r="129" spans="1:67" x14ac:dyDescent="0.25">
      <c r="A129" s="335">
        <v>5609</v>
      </c>
      <c r="B129" s="425" t="s">
        <v>128</v>
      </c>
      <c r="C129" s="446">
        <v>657977.5</v>
      </c>
      <c r="D129" s="33">
        <v>122441.88</v>
      </c>
      <c r="E129" s="448"/>
      <c r="F129" s="452">
        <v>0</v>
      </c>
      <c r="G129" s="452">
        <v>27752.7</v>
      </c>
      <c r="H129" s="453">
        <v>633.79999999999995</v>
      </c>
      <c r="I129" s="451">
        <v>0</v>
      </c>
      <c r="J129" s="448">
        <v>1962.36</v>
      </c>
      <c r="K129" s="453">
        <v>-2215.1</v>
      </c>
      <c r="L129" s="448">
        <v>56532.35</v>
      </c>
      <c r="M129" s="422">
        <f t="shared" si="3"/>
        <v>865085.49</v>
      </c>
      <c r="N129" s="446">
        <v>0</v>
      </c>
      <c r="O129" s="446">
        <v>0</v>
      </c>
      <c r="P129" s="446">
        <v>37235</v>
      </c>
      <c r="Q129" s="446">
        <v>0</v>
      </c>
      <c r="R129" s="33">
        <v>0</v>
      </c>
      <c r="S129" s="340"/>
      <c r="T129" s="446"/>
      <c r="U129" s="33">
        <v>900</v>
      </c>
      <c r="V129" s="446"/>
      <c r="W129" s="33"/>
      <c r="X129" s="417">
        <v>1766.45</v>
      </c>
      <c r="Y129" s="328">
        <f t="shared" si="4"/>
        <v>904986.94</v>
      </c>
      <c r="Z129" s="33"/>
      <c r="AA129" s="33">
        <v>1596</v>
      </c>
      <c r="AB129" s="33">
        <v>34105</v>
      </c>
      <c r="AC129" s="33">
        <v>39079.15</v>
      </c>
      <c r="AD129" s="33">
        <v>20887.59</v>
      </c>
      <c r="AE129" s="33"/>
      <c r="AF129" s="33">
        <v>3084</v>
      </c>
      <c r="AG129" s="33"/>
      <c r="AH129" s="33">
        <v>12210.5</v>
      </c>
      <c r="AI129" s="33">
        <v>5794.5</v>
      </c>
      <c r="AJ129" s="33"/>
      <c r="AK129" s="33"/>
      <c r="AL129" s="33"/>
      <c r="AM129" s="328">
        <f t="shared" si="5"/>
        <v>116756.73999999999</v>
      </c>
      <c r="AN129" s="371">
        <v>63.5</v>
      </c>
      <c r="AO129" s="388">
        <v>342</v>
      </c>
      <c r="AP129" s="33">
        <v>186.16</v>
      </c>
      <c r="AQ129" s="332"/>
      <c r="AR129" s="33">
        <v>-797.53</v>
      </c>
      <c r="AS129" s="340">
        <v>1</v>
      </c>
      <c r="AT129" s="437"/>
      <c r="AU129" s="438"/>
      <c r="AV129" s="436"/>
      <c r="AW129" s="436"/>
      <c r="AX129" s="436"/>
      <c r="AY129" s="436"/>
      <c r="AZ129" s="436"/>
      <c r="BA129" s="436"/>
      <c r="BB129" s="436"/>
      <c r="BC129" s="436"/>
      <c r="BE129" s="383"/>
      <c r="BF129" s="383"/>
      <c r="BG129" s="383"/>
      <c r="BH129" s="383"/>
      <c r="BI129" s="383"/>
      <c r="BJ129" s="383"/>
      <c r="BK129" s="383"/>
      <c r="BL129" s="383"/>
      <c r="BM129" s="383"/>
      <c r="BN129" s="383"/>
      <c r="BO129" s="383"/>
    </row>
    <row r="130" spans="1:67" x14ac:dyDescent="0.25">
      <c r="A130" s="335">
        <v>5610</v>
      </c>
      <c r="B130" s="425" t="s">
        <v>129</v>
      </c>
      <c r="C130" s="446">
        <v>1087644.56</v>
      </c>
      <c r="D130" s="33">
        <v>242745.99</v>
      </c>
      <c r="E130" s="448"/>
      <c r="F130" s="452">
        <v>0</v>
      </c>
      <c r="G130" s="452">
        <v>4368.7</v>
      </c>
      <c r="H130" s="453">
        <v>5933.1</v>
      </c>
      <c r="I130" s="451">
        <v>50381</v>
      </c>
      <c r="J130" s="448">
        <v>34295.31</v>
      </c>
      <c r="K130" s="453">
        <v>6538.15</v>
      </c>
      <c r="L130" s="448">
        <v>117784.25</v>
      </c>
      <c r="M130" s="422">
        <f t="shared" si="3"/>
        <v>1549691.06</v>
      </c>
      <c r="N130" s="446">
        <v>0</v>
      </c>
      <c r="O130" s="446">
        <v>86</v>
      </c>
      <c r="P130" s="446">
        <v>22836</v>
      </c>
      <c r="Q130" s="446">
        <v>14240.1</v>
      </c>
      <c r="R130" s="33">
        <v>10880.35</v>
      </c>
      <c r="S130" s="340"/>
      <c r="T130" s="446"/>
      <c r="U130" s="33">
        <v>4875</v>
      </c>
      <c r="V130" s="446"/>
      <c r="W130" s="33"/>
      <c r="X130" s="417">
        <v>1714.8</v>
      </c>
      <c r="Y130" s="328">
        <f t="shared" si="4"/>
        <v>1604323.3100000003</v>
      </c>
      <c r="Z130" s="33" t="s">
        <v>599</v>
      </c>
      <c r="AA130" s="33" t="s">
        <v>599</v>
      </c>
      <c r="AB130" s="33">
        <v>57776</v>
      </c>
      <c r="AC130" s="33">
        <v>50482.75</v>
      </c>
      <c r="AD130" s="33">
        <v>22356.35</v>
      </c>
      <c r="AE130" s="33" t="s">
        <v>599</v>
      </c>
      <c r="AF130" s="33">
        <v>47590.7</v>
      </c>
      <c r="AG130" s="33" t="s">
        <v>599</v>
      </c>
      <c r="AH130" s="33" t="s">
        <v>599</v>
      </c>
      <c r="AI130" s="33"/>
      <c r="AJ130" s="33"/>
      <c r="AK130" s="33"/>
      <c r="AL130" s="33"/>
      <c r="AM130" s="328">
        <f t="shared" si="5"/>
        <v>178205.8</v>
      </c>
      <c r="AN130" s="371">
        <v>70</v>
      </c>
      <c r="AO130" s="388">
        <v>384</v>
      </c>
      <c r="AP130" s="33">
        <v>-3365.87</v>
      </c>
      <c r="AQ130" s="332"/>
      <c r="AR130" s="33">
        <v>-2770.18</v>
      </c>
      <c r="AS130" s="340">
        <v>1</v>
      </c>
      <c r="AT130" s="437"/>
      <c r="AU130" s="438"/>
      <c r="AV130" s="436"/>
      <c r="AW130" s="436"/>
      <c r="AX130" s="436"/>
      <c r="AY130" s="436"/>
      <c r="AZ130" s="436"/>
      <c r="BA130" s="436"/>
      <c r="BB130" s="436"/>
      <c r="BC130" s="436"/>
      <c r="BE130" s="383"/>
      <c r="BF130" s="383"/>
      <c r="BG130" s="383"/>
      <c r="BH130" s="383"/>
      <c r="BI130" s="383"/>
      <c r="BJ130" s="383"/>
      <c r="BK130" s="383"/>
      <c r="BL130" s="383"/>
      <c r="BM130" s="383"/>
      <c r="BN130" s="383"/>
      <c r="BO130" s="383"/>
    </row>
    <row r="131" spans="1:67" x14ac:dyDescent="0.25">
      <c r="A131" s="335">
        <v>5611</v>
      </c>
      <c r="B131" s="425" t="s">
        <v>297</v>
      </c>
      <c r="C131" s="446">
        <v>6962533.79</v>
      </c>
      <c r="D131" s="33">
        <v>1034322.39</v>
      </c>
      <c r="E131" s="448">
        <v>0</v>
      </c>
      <c r="F131" s="452">
        <v>0</v>
      </c>
      <c r="G131" s="452">
        <v>305791.05</v>
      </c>
      <c r="H131" s="453">
        <v>19242.25</v>
      </c>
      <c r="I131" s="451">
        <v>190349.05</v>
      </c>
      <c r="J131" s="448">
        <v>80537.88</v>
      </c>
      <c r="K131" s="453">
        <v>21559.95</v>
      </c>
      <c r="L131" s="448">
        <v>784765.65</v>
      </c>
      <c r="M131" s="422">
        <f t="shared" si="3"/>
        <v>9399102.0099999998</v>
      </c>
      <c r="N131" s="446">
        <v>112933.35</v>
      </c>
      <c r="O131" s="446">
        <v>464859.4</v>
      </c>
      <c r="P131" s="446">
        <v>449852.7</v>
      </c>
      <c r="Q131" s="446">
        <v>60029.8</v>
      </c>
      <c r="R131" s="33">
        <v>327873.59999999998</v>
      </c>
      <c r="S131" s="340">
        <v>925</v>
      </c>
      <c r="T131" s="446">
        <v>12151.8</v>
      </c>
      <c r="U131" s="33">
        <v>20125</v>
      </c>
      <c r="V131" s="446">
        <v>5773.5</v>
      </c>
      <c r="W131" s="33">
        <v>0</v>
      </c>
      <c r="X131" s="417">
        <v>70551.199999999997</v>
      </c>
      <c r="Y131" s="328">
        <f t="shared" si="4"/>
        <v>10924177.359999999</v>
      </c>
      <c r="Z131" s="33">
        <v>64567.01</v>
      </c>
      <c r="AA131" s="33">
        <v>53258.23</v>
      </c>
      <c r="AB131" s="33">
        <v>0</v>
      </c>
      <c r="AC131" s="33">
        <v>0</v>
      </c>
      <c r="AD131" s="33">
        <v>317667.84999999998</v>
      </c>
      <c r="AE131" s="33">
        <v>56166.23</v>
      </c>
      <c r="AF131" s="33">
        <v>28626.84</v>
      </c>
      <c r="AG131" s="33">
        <v>0</v>
      </c>
      <c r="AH131" s="33">
        <v>0</v>
      </c>
      <c r="AI131" s="33">
        <v>0</v>
      </c>
      <c r="AJ131" s="33">
        <v>0</v>
      </c>
      <c r="AK131" s="33">
        <v>0</v>
      </c>
      <c r="AL131" s="33">
        <v>0</v>
      </c>
      <c r="AM131" s="328">
        <f t="shared" si="5"/>
        <v>520286.16</v>
      </c>
      <c r="AN131" s="371">
        <v>69</v>
      </c>
      <c r="AO131" s="388">
        <v>3359</v>
      </c>
      <c r="AP131" s="33">
        <v>-86054.84</v>
      </c>
      <c r="AQ131" s="332"/>
      <c r="AR131" s="33">
        <v>-2681.59</v>
      </c>
      <c r="AS131" s="340">
        <v>1.2</v>
      </c>
      <c r="AT131" s="437"/>
      <c r="AU131" s="438"/>
      <c r="AV131" s="436"/>
      <c r="AW131" s="436"/>
      <c r="AX131" s="436"/>
      <c r="AY131" s="436"/>
      <c r="AZ131" s="436"/>
      <c r="BA131" s="436"/>
      <c r="BB131" s="436"/>
      <c r="BC131" s="436"/>
      <c r="BE131" s="383"/>
      <c r="BF131" s="383"/>
      <c r="BG131" s="383"/>
      <c r="BH131" s="383"/>
      <c r="BI131" s="383"/>
      <c r="BJ131" s="383"/>
      <c r="BK131" s="383"/>
      <c r="BL131" s="383"/>
      <c r="BM131" s="383"/>
      <c r="BN131" s="383"/>
      <c r="BO131" s="383"/>
    </row>
    <row r="132" spans="1:67" x14ac:dyDescent="0.25">
      <c r="A132" s="335">
        <v>5613</v>
      </c>
      <c r="B132" s="425" t="s">
        <v>428</v>
      </c>
      <c r="C132" s="446">
        <v>15688772.189999999</v>
      </c>
      <c r="D132" s="33">
        <v>3804237.45</v>
      </c>
      <c r="E132" s="448"/>
      <c r="F132" s="452">
        <v>0</v>
      </c>
      <c r="G132" s="452">
        <v>133094.35</v>
      </c>
      <c r="H132" s="453">
        <v>59867.1</v>
      </c>
      <c r="I132" s="451">
        <v>58526.3</v>
      </c>
      <c r="J132" s="448">
        <v>287131.86</v>
      </c>
      <c r="K132" s="453">
        <v>13872.85</v>
      </c>
      <c r="L132" s="448">
        <v>2109251.5499999998</v>
      </c>
      <c r="M132" s="422">
        <f t="shared" si="3"/>
        <v>22154753.650000006</v>
      </c>
      <c r="N132" s="446">
        <v>39562.800000000003</v>
      </c>
      <c r="O132" s="446">
        <v>86891.4</v>
      </c>
      <c r="P132" s="446">
        <v>900803.75</v>
      </c>
      <c r="Q132" s="446">
        <v>18206.759999999998</v>
      </c>
      <c r="R132" s="33">
        <v>975496.75</v>
      </c>
      <c r="S132" s="340"/>
      <c r="T132" s="446"/>
      <c r="U132" s="33">
        <v>21750</v>
      </c>
      <c r="V132" s="446"/>
      <c r="W132" s="33"/>
      <c r="X132" s="417">
        <v>37215</v>
      </c>
      <c r="Y132" s="328">
        <f t="shared" si="4"/>
        <v>24234680.110000007</v>
      </c>
      <c r="Z132" s="33">
        <v>5000</v>
      </c>
      <c r="AA132" s="33" t="s">
        <v>599</v>
      </c>
      <c r="AB132" s="33">
        <v>637705</v>
      </c>
      <c r="AC132" s="33" t="s">
        <v>599</v>
      </c>
      <c r="AD132" s="33">
        <v>372115</v>
      </c>
      <c r="AE132" s="33">
        <v>29909</v>
      </c>
      <c r="AF132" s="33" t="s">
        <v>599</v>
      </c>
      <c r="AG132" s="33" t="s">
        <v>599</v>
      </c>
      <c r="AH132" s="33">
        <v>171308</v>
      </c>
      <c r="AI132" s="33">
        <v>173576</v>
      </c>
      <c r="AJ132" s="33"/>
      <c r="AK132" s="33"/>
      <c r="AL132" s="33"/>
      <c r="AM132" s="328">
        <f t="shared" si="5"/>
        <v>1389613</v>
      </c>
      <c r="AN132" s="371">
        <v>64</v>
      </c>
      <c r="AO132" s="388">
        <v>5345</v>
      </c>
      <c r="AP132" s="33">
        <v>-152033.82999999999</v>
      </c>
      <c r="AQ132" s="332"/>
      <c r="AR132" s="33">
        <v>-34937.79</v>
      </c>
      <c r="AS132" s="340">
        <v>1.5</v>
      </c>
      <c r="AT132" s="437"/>
      <c r="AU132" s="438"/>
      <c r="AV132" s="436"/>
      <c r="AW132" s="436"/>
      <c r="AX132" s="436"/>
      <c r="AY132" s="436"/>
      <c r="AZ132" s="436"/>
      <c r="BA132" s="436"/>
      <c r="BB132" s="436"/>
      <c r="BC132" s="436"/>
      <c r="BE132" s="383"/>
      <c r="BF132" s="383"/>
      <c r="BG132" s="383"/>
      <c r="BH132" s="383"/>
      <c r="BI132" s="383"/>
      <c r="BJ132" s="383"/>
      <c r="BK132" s="383"/>
      <c r="BL132" s="383"/>
      <c r="BM132" s="383"/>
      <c r="BN132" s="383"/>
      <c r="BO132" s="383"/>
    </row>
    <row r="133" spans="1:67" x14ac:dyDescent="0.25">
      <c r="A133" s="335">
        <v>5621</v>
      </c>
      <c r="B133" s="425" t="s">
        <v>405</v>
      </c>
      <c r="C133" s="446">
        <v>1046748.13</v>
      </c>
      <c r="D133" s="33">
        <v>128875.79</v>
      </c>
      <c r="E133" s="448"/>
      <c r="F133" s="452">
        <v>0</v>
      </c>
      <c r="G133" s="452">
        <v>306129.3</v>
      </c>
      <c r="H133" s="453">
        <v>2931.6</v>
      </c>
      <c r="I133" s="451">
        <v>0</v>
      </c>
      <c r="J133" s="448">
        <v>71331.09</v>
      </c>
      <c r="K133" s="453">
        <v>24888.65</v>
      </c>
      <c r="L133" s="448">
        <v>316197.90000000002</v>
      </c>
      <c r="M133" s="422">
        <f t="shared" si="3"/>
        <v>1897102.46</v>
      </c>
      <c r="N133" s="446">
        <v>163883.20000000001</v>
      </c>
      <c r="O133" s="446">
        <v>43551</v>
      </c>
      <c r="P133" s="446">
        <v>118046.65</v>
      </c>
      <c r="Q133" s="446">
        <v>34.49</v>
      </c>
      <c r="R133" s="33">
        <v>25159.75</v>
      </c>
      <c r="S133" s="340"/>
      <c r="T133" s="446">
        <v>71945.399999999994</v>
      </c>
      <c r="U133" s="33">
        <v>2520</v>
      </c>
      <c r="V133" s="446"/>
      <c r="W133" s="33"/>
      <c r="X133" s="417">
        <v>70885.45</v>
      </c>
      <c r="Y133" s="328">
        <f t="shared" si="4"/>
        <v>2393128.4000000004</v>
      </c>
      <c r="Z133" s="33">
        <v>22000</v>
      </c>
      <c r="AA133" s="33"/>
      <c r="AB133" s="33">
        <v>196864.9</v>
      </c>
      <c r="AC133" s="33"/>
      <c r="AD133" s="33">
        <v>43398.45</v>
      </c>
      <c r="AE133" s="33">
        <v>22000</v>
      </c>
      <c r="AF133" s="33"/>
      <c r="AG133" s="33"/>
      <c r="AH133" s="33"/>
      <c r="AI133" s="33"/>
      <c r="AJ133" s="33">
        <v>105492.9</v>
      </c>
      <c r="AK133" s="33"/>
      <c r="AL133" s="33"/>
      <c r="AM133" s="328">
        <f t="shared" si="5"/>
        <v>389756.25</v>
      </c>
      <c r="AN133" s="371">
        <v>62</v>
      </c>
      <c r="AO133" s="388">
        <v>539</v>
      </c>
      <c r="AP133" s="33">
        <v>-231875.29</v>
      </c>
      <c r="AQ133" s="332"/>
      <c r="AR133" s="33">
        <v>-1477.67</v>
      </c>
      <c r="AS133" s="340">
        <v>1.1000000000000001</v>
      </c>
      <c r="AT133" s="437"/>
      <c r="AU133" s="438"/>
      <c r="AV133" s="436"/>
      <c r="AW133" s="436"/>
      <c r="AX133" s="436"/>
      <c r="AY133" s="436"/>
      <c r="AZ133" s="436"/>
      <c r="BA133" s="436"/>
      <c r="BB133" s="436"/>
      <c r="BC133" s="436"/>
      <c r="BE133" s="383"/>
      <c r="BF133" s="383"/>
      <c r="BG133" s="383"/>
      <c r="BH133" s="383"/>
      <c r="BI133" s="383"/>
      <c r="BJ133" s="383"/>
      <c r="BK133" s="383"/>
      <c r="BL133" s="383"/>
      <c r="BM133" s="383"/>
      <c r="BN133" s="383"/>
      <c r="BO133" s="383"/>
    </row>
    <row r="134" spans="1:67" x14ac:dyDescent="0.25">
      <c r="A134" s="335">
        <v>5622</v>
      </c>
      <c r="B134" s="425" t="s">
        <v>147</v>
      </c>
      <c r="C134" s="446">
        <v>1399502.94</v>
      </c>
      <c r="D134" s="33">
        <v>286396.55</v>
      </c>
      <c r="E134" s="448"/>
      <c r="F134" s="452">
        <v>0</v>
      </c>
      <c r="G134" s="452">
        <v>-46230.25</v>
      </c>
      <c r="H134" s="453">
        <v>1840.6</v>
      </c>
      <c r="I134" s="451">
        <v>0</v>
      </c>
      <c r="J134" s="448">
        <v>606.11</v>
      </c>
      <c r="K134" s="453">
        <v>5229</v>
      </c>
      <c r="L134" s="453">
        <v>144929.4</v>
      </c>
      <c r="M134" s="422">
        <f t="shared" si="3"/>
        <v>1792274.35</v>
      </c>
      <c r="N134" s="446">
        <v>25229.55</v>
      </c>
      <c r="O134" s="446">
        <v>0</v>
      </c>
      <c r="P134" s="446">
        <v>103342.3</v>
      </c>
      <c r="Q134" s="446">
        <v>56.41</v>
      </c>
      <c r="R134" s="33">
        <v>123840.05</v>
      </c>
      <c r="S134" s="340"/>
      <c r="T134" s="446"/>
      <c r="U134" s="33">
        <v>2240</v>
      </c>
      <c r="V134" s="446"/>
      <c r="W134" s="33"/>
      <c r="X134" s="417">
        <v>37475.199999999997</v>
      </c>
      <c r="Y134" s="328">
        <f t="shared" si="4"/>
        <v>2084457.86</v>
      </c>
      <c r="Z134" s="33">
        <v>11665.45</v>
      </c>
      <c r="AA134" s="33" t="s">
        <v>599</v>
      </c>
      <c r="AB134" s="33">
        <v>188818.85</v>
      </c>
      <c r="AC134" s="33" t="s">
        <v>599</v>
      </c>
      <c r="AD134" s="33">
        <v>72191.55</v>
      </c>
      <c r="AE134" s="33">
        <v>9652</v>
      </c>
      <c r="AF134" s="33" t="s">
        <v>599</v>
      </c>
      <c r="AG134" s="33" t="s">
        <v>599</v>
      </c>
      <c r="AH134" s="33" t="s">
        <v>599</v>
      </c>
      <c r="AI134" s="33"/>
      <c r="AJ134" s="33"/>
      <c r="AK134" s="33"/>
      <c r="AL134" s="33"/>
      <c r="AM134" s="328">
        <f t="shared" si="5"/>
        <v>282327.85000000003</v>
      </c>
      <c r="AN134" s="371">
        <v>66</v>
      </c>
      <c r="AO134" s="388">
        <v>577</v>
      </c>
      <c r="AP134" s="33">
        <v>-14399.56</v>
      </c>
      <c r="AQ134" s="332"/>
      <c r="AR134" s="33">
        <v>-66.39</v>
      </c>
      <c r="AS134" s="340">
        <v>1</v>
      </c>
      <c r="AT134" s="437"/>
      <c r="AU134" s="438"/>
      <c r="AV134" s="436"/>
      <c r="AW134" s="436"/>
      <c r="AX134" s="436"/>
      <c r="AY134" s="436"/>
      <c r="AZ134" s="436"/>
      <c r="BA134" s="436"/>
      <c r="BB134" s="436"/>
      <c r="BC134" s="436"/>
      <c r="BE134" s="383"/>
      <c r="BF134" s="383"/>
      <c r="BG134" s="383"/>
      <c r="BH134" s="383"/>
      <c r="BI134" s="383"/>
      <c r="BJ134" s="383"/>
      <c r="BK134" s="383"/>
      <c r="BL134" s="383"/>
      <c r="BM134" s="383"/>
      <c r="BN134" s="383"/>
      <c r="BO134" s="383"/>
    </row>
    <row r="135" spans="1:67" x14ac:dyDescent="0.25">
      <c r="A135" s="335">
        <v>5623</v>
      </c>
      <c r="B135" s="425" t="s">
        <v>148</v>
      </c>
      <c r="C135" s="446">
        <v>2013599.87</v>
      </c>
      <c r="D135" s="33">
        <v>2094802.73</v>
      </c>
      <c r="E135" s="448"/>
      <c r="F135" s="452">
        <v>0</v>
      </c>
      <c r="G135" s="452">
        <v>-29882.7</v>
      </c>
      <c r="H135" s="453">
        <v>153579.45000000001</v>
      </c>
      <c r="I135" s="451">
        <v>218773.05</v>
      </c>
      <c r="J135" s="448">
        <v>-25990.65</v>
      </c>
      <c r="K135" s="453">
        <v>2749</v>
      </c>
      <c r="L135" s="448">
        <v>342307.8</v>
      </c>
      <c r="M135" s="422">
        <f t="shared" ref="M135:M198" si="6">SUM(C135:L135)</f>
        <v>4769938.5499999989</v>
      </c>
      <c r="N135" s="446">
        <v>1708.45</v>
      </c>
      <c r="O135" s="446">
        <v>0</v>
      </c>
      <c r="P135" s="446">
        <v>252395.05</v>
      </c>
      <c r="Q135" s="446">
        <v>0</v>
      </c>
      <c r="R135" s="33">
        <v>213419.05</v>
      </c>
      <c r="S135" s="340"/>
      <c r="T135" s="446"/>
      <c r="U135" s="33">
        <v>1537.5</v>
      </c>
      <c r="V135" s="446"/>
      <c r="W135" s="33"/>
      <c r="X135" s="417">
        <v>32731.85</v>
      </c>
      <c r="Y135" s="328">
        <f t="shared" si="4"/>
        <v>5271730.4499999983</v>
      </c>
      <c r="Z135" s="33">
        <v>23736.2</v>
      </c>
      <c r="AA135" s="33"/>
      <c r="AB135" s="33">
        <v>149162.35</v>
      </c>
      <c r="AC135" s="33"/>
      <c r="AD135" s="33">
        <v>55199.7</v>
      </c>
      <c r="AE135" s="33">
        <v>2274.75</v>
      </c>
      <c r="AF135" s="33"/>
      <c r="AG135" s="33"/>
      <c r="AH135" s="33"/>
      <c r="AI135" s="33"/>
      <c r="AJ135" s="33"/>
      <c r="AK135" s="33"/>
      <c r="AL135" s="33"/>
      <c r="AM135" s="328">
        <f t="shared" si="5"/>
        <v>230373</v>
      </c>
      <c r="AN135" s="371">
        <v>53</v>
      </c>
      <c r="AO135" s="388">
        <v>686</v>
      </c>
      <c r="AP135" s="33">
        <v>-14018.87</v>
      </c>
      <c r="AQ135" s="332"/>
      <c r="AR135" s="33">
        <v>-30316.97</v>
      </c>
      <c r="AS135" s="340">
        <v>1</v>
      </c>
      <c r="AT135" s="437"/>
      <c r="AU135" s="438"/>
      <c r="AV135" s="436"/>
      <c r="AW135" s="436"/>
      <c r="AX135" s="436"/>
      <c r="AY135" s="436"/>
      <c r="AZ135" s="436"/>
      <c r="BA135" s="436"/>
      <c r="BB135" s="436"/>
      <c r="BC135" s="436"/>
      <c r="BE135" s="383"/>
      <c r="BF135" s="383"/>
      <c r="BG135" s="383"/>
      <c r="BH135" s="383"/>
      <c r="BI135" s="383"/>
      <c r="BJ135" s="383"/>
      <c r="BK135" s="383"/>
      <c r="BL135" s="383"/>
      <c r="BM135" s="383"/>
      <c r="BN135" s="383"/>
      <c r="BO135" s="383"/>
    </row>
    <row r="136" spans="1:67" x14ac:dyDescent="0.25">
      <c r="A136" s="335">
        <v>5624</v>
      </c>
      <c r="B136" s="425" t="s">
        <v>439</v>
      </c>
      <c r="C136" s="446">
        <v>14021890.98</v>
      </c>
      <c r="D136" s="33">
        <v>1399279.75</v>
      </c>
      <c r="E136" s="448"/>
      <c r="F136" s="452">
        <v>0</v>
      </c>
      <c r="G136" s="452">
        <v>6757493.5499999998</v>
      </c>
      <c r="H136" s="453">
        <v>149743.79999999999</v>
      </c>
      <c r="I136" s="451">
        <v>0</v>
      </c>
      <c r="J136" s="448">
        <v>740012.36</v>
      </c>
      <c r="K136" s="453">
        <v>378271.35</v>
      </c>
      <c r="L136" s="448">
        <v>2419953.65</v>
      </c>
      <c r="M136" s="422">
        <f t="shared" si="6"/>
        <v>25866645.440000001</v>
      </c>
      <c r="N136" s="446">
        <v>1135079.8999999999</v>
      </c>
      <c r="O136" s="446">
        <v>105709.2</v>
      </c>
      <c r="P136" s="446">
        <v>1641700.45</v>
      </c>
      <c r="Q136" s="446">
        <v>78504.429999999993</v>
      </c>
      <c r="R136" s="33">
        <v>1435197.45</v>
      </c>
      <c r="S136" s="340">
        <v>50798.7</v>
      </c>
      <c r="T136" s="446"/>
      <c r="U136" s="33">
        <v>31120</v>
      </c>
      <c r="V136" s="446"/>
      <c r="W136" s="33"/>
      <c r="X136" s="417">
        <v>730454.55</v>
      </c>
      <c r="Y136" s="328">
        <f t="shared" ref="Y136:Y199" si="7">SUM(M136:X136)</f>
        <v>31075210.119999997</v>
      </c>
      <c r="Z136" s="33">
        <v>1640304.1</v>
      </c>
      <c r="AA136" s="33"/>
      <c r="AB136" s="33">
        <v>1659453.09</v>
      </c>
      <c r="AC136" s="33"/>
      <c r="AD136" s="33">
        <v>1006988.08</v>
      </c>
      <c r="AE136" s="33">
        <v>1048159.55</v>
      </c>
      <c r="AF136" s="33"/>
      <c r="AG136" s="33"/>
      <c r="AH136" s="33">
        <v>310284</v>
      </c>
      <c r="AI136" s="33">
        <v>488331.31</v>
      </c>
      <c r="AJ136" s="33"/>
      <c r="AK136" s="33"/>
      <c r="AL136" s="33">
        <v>488327.26</v>
      </c>
      <c r="AM136" s="328">
        <f t="shared" ref="AM136:AM199" si="8">SUM(Z136:AL136)</f>
        <v>6641847.3899999997</v>
      </c>
      <c r="AN136" s="371">
        <v>64</v>
      </c>
      <c r="AO136" s="388">
        <v>8962</v>
      </c>
      <c r="AP136" s="33">
        <v>-387152.82</v>
      </c>
      <c r="AQ136" s="332"/>
      <c r="AR136" s="33">
        <v>-335600.95</v>
      </c>
      <c r="AS136" s="340">
        <v>1.25</v>
      </c>
      <c r="AT136" s="437"/>
      <c r="AU136" s="438"/>
      <c r="AV136" s="436"/>
      <c r="AW136" s="436"/>
      <c r="AX136" s="436"/>
      <c r="AY136" s="436"/>
      <c r="AZ136" s="436"/>
      <c r="BA136" s="436"/>
      <c r="BB136" s="436"/>
      <c r="BC136" s="436"/>
      <c r="BE136" s="383"/>
      <c r="BF136" s="383"/>
      <c r="BG136" s="383"/>
      <c r="BH136" s="383"/>
      <c r="BI136" s="383"/>
      <c r="BJ136" s="383"/>
      <c r="BK136" s="383"/>
      <c r="BL136" s="383"/>
      <c r="BM136" s="383"/>
      <c r="BN136" s="383"/>
      <c r="BO136" s="383"/>
    </row>
    <row r="137" spans="1:67" x14ac:dyDescent="0.25">
      <c r="A137" s="335">
        <v>5625</v>
      </c>
      <c r="B137" s="425" t="s">
        <v>301</v>
      </c>
      <c r="C137" s="446">
        <v>955652.88</v>
      </c>
      <c r="D137" s="33">
        <v>133019.35</v>
      </c>
      <c r="E137" s="448"/>
      <c r="F137" s="452">
        <v>0</v>
      </c>
      <c r="G137" s="452">
        <v>18174.900000000001</v>
      </c>
      <c r="H137" s="453">
        <v>2431.1</v>
      </c>
      <c r="I137" s="451">
        <v>49113.7</v>
      </c>
      <c r="J137" s="448">
        <v>34954.1</v>
      </c>
      <c r="K137" s="453">
        <v>6069.5</v>
      </c>
      <c r="L137" s="448">
        <v>113056.6</v>
      </c>
      <c r="M137" s="422">
        <f t="shared" si="6"/>
        <v>1312472.1300000001</v>
      </c>
      <c r="N137" s="446">
        <v>0</v>
      </c>
      <c r="O137" s="446">
        <v>19338</v>
      </c>
      <c r="P137" s="446">
        <v>64394.5</v>
      </c>
      <c r="Q137" s="446">
        <v>0</v>
      </c>
      <c r="R137" s="33">
        <v>3389.35</v>
      </c>
      <c r="S137" s="340"/>
      <c r="T137" s="446"/>
      <c r="U137" s="33">
        <v>1080</v>
      </c>
      <c r="V137" s="446"/>
      <c r="W137" s="33"/>
      <c r="X137" s="417">
        <v>2095.1999999999998</v>
      </c>
      <c r="Y137" s="328">
        <f t="shared" si="7"/>
        <v>1402769.1800000002</v>
      </c>
      <c r="Z137" s="33">
        <v>127294</v>
      </c>
      <c r="AA137" s="33"/>
      <c r="AB137" s="33">
        <v>88315.6</v>
      </c>
      <c r="AC137" s="33"/>
      <c r="AD137" s="33">
        <v>36200.6</v>
      </c>
      <c r="AE137" s="33"/>
      <c r="AF137" s="33"/>
      <c r="AG137" s="33"/>
      <c r="AH137" s="33"/>
      <c r="AI137" s="33"/>
      <c r="AJ137" s="33"/>
      <c r="AK137" s="33"/>
      <c r="AL137" s="33"/>
      <c r="AM137" s="328">
        <f t="shared" si="8"/>
        <v>251810.2</v>
      </c>
      <c r="AN137" s="371">
        <v>77</v>
      </c>
      <c r="AO137" s="388">
        <v>384</v>
      </c>
      <c r="AP137" s="33">
        <v>-1509.34</v>
      </c>
      <c r="AQ137" s="332"/>
      <c r="AR137" s="33">
        <v>0</v>
      </c>
      <c r="AS137" s="340">
        <v>1.2</v>
      </c>
      <c r="AT137" s="437"/>
      <c r="AU137" s="438"/>
      <c r="AV137" s="436"/>
      <c r="AW137" s="436"/>
      <c r="AX137" s="436"/>
      <c r="AY137" s="436"/>
      <c r="AZ137" s="436"/>
      <c r="BA137" s="436"/>
      <c r="BB137" s="436"/>
      <c r="BC137" s="436"/>
      <c r="BE137" s="383"/>
      <c r="BF137" s="383"/>
      <c r="BG137" s="383"/>
      <c r="BH137" s="383"/>
      <c r="BI137" s="383"/>
      <c r="BJ137" s="383"/>
      <c r="BK137" s="383"/>
      <c r="BL137" s="383"/>
      <c r="BM137" s="383"/>
      <c r="BN137" s="383"/>
      <c r="BO137" s="383"/>
    </row>
    <row r="138" spans="1:67" x14ac:dyDescent="0.25">
      <c r="A138" s="335">
        <v>5627</v>
      </c>
      <c r="B138" s="425" t="s">
        <v>255</v>
      </c>
      <c r="C138" s="446">
        <v>10327926</v>
      </c>
      <c r="D138" s="33">
        <v>705799.75</v>
      </c>
      <c r="E138" s="448"/>
      <c r="F138" s="452">
        <v>0</v>
      </c>
      <c r="G138" s="452">
        <v>3511224.35</v>
      </c>
      <c r="H138" s="453">
        <v>178956.05</v>
      </c>
      <c r="I138" s="451">
        <v>0</v>
      </c>
      <c r="J138" s="448">
        <v>780514.01</v>
      </c>
      <c r="K138" s="453">
        <v>300233.40000000002</v>
      </c>
      <c r="L138" s="448">
        <v>1584737.8</v>
      </c>
      <c r="M138" s="422">
        <f t="shared" si="6"/>
        <v>17389391.359999999</v>
      </c>
      <c r="N138" s="446">
        <v>311973.45</v>
      </c>
      <c r="O138" s="446">
        <v>77730</v>
      </c>
      <c r="P138" s="446">
        <v>2063922.8</v>
      </c>
      <c r="Q138" s="446">
        <v>90439.6</v>
      </c>
      <c r="R138" s="33">
        <v>508679.1</v>
      </c>
      <c r="S138" s="340"/>
      <c r="T138" s="446">
        <v>58592.75</v>
      </c>
      <c r="U138" s="33">
        <v>33150</v>
      </c>
      <c r="V138" s="446">
        <v>349.95</v>
      </c>
      <c r="W138" s="33"/>
      <c r="X138" s="417">
        <v>287011.8</v>
      </c>
      <c r="Y138" s="328">
        <f t="shared" si="7"/>
        <v>20821240.810000002</v>
      </c>
      <c r="Z138" s="33">
        <v>10375.200000000001</v>
      </c>
      <c r="AA138" s="33"/>
      <c r="AB138" s="33">
        <v>612147.25</v>
      </c>
      <c r="AC138" s="33"/>
      <c r="AD138" s="33">
        <v>416508.9</v>
      </c>
      <c r="AE138" s="33"/>
      <c r="AF138" s="33"/>
      <c r="AG138" s="33"/>
      <c r="AH138" s="33">
        <v>30773.21</v>
      </c>
      <c r="AI138" s="33"/>
      <c r="AJ138" s="33"/>
      <c r="AK138" s="33"/>
      <c r="AL138" s="33"/>
      <c r="AM138" s="328">
        <f t="shared" si="8"/>
        <v>1069804.56</v>
      </c>
      <c r="AN138" s="371">
        <v>79</v>
      </c>
      <c r="AO138" s="388">
        <v>7887</v>
      </c>
      <c r="AP138" s="33">
        <v>-492020.83</v>
      </c>
      <c r="AQ138" s="332"/>
      <c r="AR138" s="33">
        <v>-445.13</v>
      </c>
      <c r="AS138" s="340">
        <v>1.5</v>
      </c>
      <c r="AT138" s="437"/>
      <c r="AU138" s="438"/>
      <c r="AV138" s="436"/>
      <c r="AW138" s="436"/>
      <c r="AX138" s="436"/>
      <c r="AY138" s="436"/>
      <c r="AZ138" s="436"/>
      <c r="BA138" s="436"/>
      <c r="BB138" s="436"/>
      <c r="BC138" s="436"/>
      <c r="BE138" s="383"/>
      <c r="BF138" s="383"/>
      <c r="BG138" s="383"/>
      <c r="BH138" s="383"/>
      <c r="BI138" s="383"/>
      <c r="BJ138" s="383"/>
      <c r="BK138" s="383"/>
      <c r="BL138" s="383"/>
      <c r="BM138" s="383"/>
      <c r="BN138" s="383"/>
      <c r="BO138" s="383"/>
    </row>
    <row r="139" spans="1:67" x14ac:dyDescent="0.25">
      <c r="A139" s="335">
        <v>5628</v>
      </c>
      <c r="B139" s="425" t="s">
        <v>256</v>
      </c>
      <c r="C139" s="446">
        <v>1274527.1000000001</v>
      </c>
      <c r="D139" s="33">
        <v>0</v>
      </c>
      <c r="E139" s="448"/>
      <c r="F139" s="452">
        <v>0</v>
      </c>
      <c r="G139" s="452">
        <v>-1091.05</v>
      </c>
      <c r="H139" s="453">
        <v>404.1</v>
      </c>
      <c r="I139" s="451">
        <v>0</v>
      </c>
      <c r="J139" s="448">
        <v>22632.46</v>
      </c>
      <c r="K139" s="453">
        <v>859.5</v>
      </c>
      <c r="L139" s="448">
        <v>94605.7</v>
      </c>
      <c r="M139" s="422">
        <f t="shared" si="6"/>
        <v>1391937.81</v>
      </c>
      <c r="N139" s="446">
        <v>11124.5</v>
      </c>
      <c r="O139" s="446">
        <v>2488.6999999999998</v>
      </c>
      <c r="P139" s="446">
        <v>84964.65</v>
      </c>
      <c r="Q139" s="446">
        <v>0</v>
      </c>
      <c r="R139" s="33">
        <v>64963.1</v>
      </c>
      <c r="S139" s="340"/>
      <c r="T139" s="446"/>
      <c r="U139" s="33">
        <v>0</v>
      </c>
      <c r="V139" s="446"/>
      <c r="W139" s="33"/>
      <c r="X139" s="417">
        <v>1174.25</v>
      </c>
      <c r="Y139" s="328">
        <f t="shared" si="7"/>
        <v>1556653.01</v>
      </c>
      <c r="Z139" s="33">
        <v>22540.2</v>
      </c>
      <c r="AA139" s="33"/>
      <c r="AB139" s="33">
        <v>72186.850000000006</v>
      </c>
      <c r="AC139" s="33"/>
      <c r="AD139" s="33">
        <v>26929.9</v>
      </c>
      <c r="AE139" s="33"/>
      <c r="AF139" s="33"/>
      <c r="AG139" s="33"/>
      <c r="AH139" s="33"/>
      <c r="AI139" s="33">
        <v>9363</v>
      </c>
      <c r="AJ139" s="33"/>
      <c r="AK139" s="33"/>
      <c r="AL139" s="33"/>
      <c r="AM139" s="328">
        <f t="shared" si="8"/>
        <v>131019.95000000001</v>
      </c>
      <c r="AN139" s="371">
        <v>62</v>
      </c>
      <c r="AO139" s="388">
        <v>382</v>
      </c>
      <c r="AP139" s="33">
        <v>-4872.49</v>
      </c>
      <c r="AQ139" s="332"/>
      <c r="AR139" s="33">
        <v>0</v>
      </c>
      <c r="AS139" s="340">
        <v>1</v>
      </c>
      <c r="AT139" s="437"/>
      <c r="AU139" s="438"/>
      <c r="AV139" s="436"/>
      <c r="AW139" s="436"/>
      <c r="AX139" s="436"/>
      <c r="AY139" s="436"/>
      <c r="AZ139" s="436"/>
      <c r="BA139" s="436"/>
      <c r="BB139" s="436"/>
      <c r="BC139" s="436"/>
      <c r="BE139" s="383"/>
      <c r="BF139" s="383"/>
      <c r="BG139" s="383"/>
      <c r="BH139" s="383"/>
      <c r="BI139" s="383"/>
      <c r="BJ139" s="383"/>
      <c r="BK139" s="383"/>
      <c r="BL139" s="383"/>
      <c r="BM139" s="383"/>
      <c r="BN139" s="383"/>
      <c r="BO139" s="383"/>
    </row>
    <row r="140" spans="1:67" x14ac:dyDescent="0.25">
      <c r="A140" s="335">
        <v>5629</v>
      </c>
      <c r="B140" s="425" t="s">
        <v>151</v>
      </c>
      <c r="C140" s="446">
        <v>401479.69</v>
      </c>
      <c r="D140" s="33">
        <v>53856.800000000003</v>
      </c>
      <c r="E140" s="448"/>
      <c r="F140" s="452">
        <v>0</v>
      </c>
      <c r="G140" s="452">
        <v>-647.85</v>
      </c>
      <c r="H140" s="453">
        <v>319.45</v>
      </c>
      <c r="I140" s="451">
        <v>0</v>
      </c>
      <c r="J140" s="448">
        <v>16923.8</v>
      </c>
      <c r="K140" s="453">
        <v>715.55</v>
      </c>
      <c r="L140" s="448">
        <v>36561.1</v>
      </c>
      <c r="M140" s="422">
        <f t="shared" si="6"/>
        <v>509208.54</v>
      </c>
      <c r="N140" s="446">
        <v>0</v>
      </c>
      <c r="O140" s="446">
        <v>3209.4</v>
      </c>
      <c r="P140" s="446">
        <v>34505.599999999999</v>
      </c>
      <c r="Q140" s="446">
        <v>0</v>
      </c>
      <c r="R140" s="33">
        <v>64977.95</v>
      </c>
      <c r="S140" s="340"/>
      <c r="T140" s="446"/>
      <c r="U140" s="33">
        <v>850</v>
      </c>
      <c r="V140" s="446"/>
      <c r="W140" s="33"/>
      <c r="X140" s="417">
        <v>1290.55</v>
      </c>
      <c r="Y140" s="328">
        <f t="shared" si="7"/>
        <v>614042.04</v>
      </c>
      <c r="Z140" s="33"/>
      <c r="AA140" s="33"/>
      <c r="AB140" s="33">
        <v>40494.400000000001</v>
      </c>
      <c r="AC140" s="33"/>
      <c r="AD140" s="33">
        <v>15718.4</v>
      </c>
      <c r="AE140" s="33"/>
      <c r="AF140" s="33"/>
      <c r="AG140" s="33"/>
      <c r="AH140" s="33"/>
      <c r="AI140" s="33"/>
      <c r="AJ140" s="33"/>
      <c r="AK140" s="33"/>
      <c r="AL140" s="33"/>
      <c r="AM140" s="328">
        <f t="shared" si="8"/>
        <v>56212.800000000003</v>
      </c>
      <c r="AN140" s="371">
        <v>75</v>
      </c>
      <c r="AO140" s="388">
        <v>191</v>
      </c>
      <c r="AP140" s="33">
        <v>-2964.76</v>
      </c>
      <c r="AQ140" s="332"/>
      <c r="AR140" s="33">
        <v>0</v>
      </c>
      <c r="AS140" s="340">
        <v>1</v>
      </c>
      <c r="AT140" s="437"/>
      <c r="AU140" s="438"/>
      <c r="AV140" s="436"/>
      <c r="AW140" s="436"/>
      <c r="AX140" s="436"/>
      <c r="AY140" s="436"/>
      <c r="AZ140" s="436"/>
      <c r="BA140" s="436"/>
      <c r="BB140" s="436"/>
      <c r="BC140" s="436"/>
      <c r="BE140" s="383"/>
      <c r="BF140" s="383"/>
      <c r="BG140" s="383"/>
      <c r="BH140" s="383"/>
      <c r="BI140" s="383"/>
      <c r="BJ140" s="383"/>
      <c r="BK140" s="383"/>
      <c r="BL140" s="383"/>
      <c r="BM140" s="383"/>
      <c r="BN140" s="383"/>
      <c r="BO140" s="383"/>
    </row>
    <row r="141" spans="1:67" x14ac:dyDescent="0.25">
      <c r="A141" s="335">
        <v>5631</v>
      </c>
      <c r="B141" s="425" t="s">
        <v>152</v>
      </c>
      <c r="C141" s="446">
        <v>2527498.0099999998</v>
      </c>
      <c r="D141" s="33">
        <v>755833.18</v>
      </c>
      <c r="E141" s="448"/>
      <c r="F141" s="452">
        <v>0</v>
      </c>
      <c r="G141" s="452">
        <v>-1863.95</v>
      </c>
      <c r="H141" s="453">
        <v>1720.2</v>
      </c>
      <c r="I141" s="451">
        <v>101041.75</v>
      </c>
      <c r="J141" s="448">
        <v>60445.14</v>
      </c>
      <c r="K141" s="453">
        <v>2363.65</v>
      </c>
      <c r="L141" s="448">
        <v>203402.45</v>
      </c>
      <c r="M141" s="422">
        <f t="shared" si="6"/>
        <v>3650440.43</v>
      </c>
      <c r="N141" s="446">
        <v>0</v>
      </c>
      <c r="O141" s="446">
        <v>3647.2</v>
      </c>
      <c r="P141" s="446">
        <v>73340.05</v>
      </c>
      <c r="Q141" s="446">
        <v>0</v>
      </c>
      <c r="R141" s="33">
        <v>27032.35</v>
      </c>
      <c r="S141" s="340"/>
      <c r="T141" s="446"/>
      <c r="U141" s="33">
        <v>1650</v>
      </c>
      <c r="V141" s="446"/>
      <c r="W141" s="33"/>
      <c r="X141" s="417">
        <v>7124.45</v>
      </c>
      <c r="Y141" s="328">
        <f t="shared" si="7"/>
        <v>3763234.4800000004</v>
      </c>
      <c r="Z141" s="33">
        <v>17425.900000000001</v>
      </c>
      <c r="AA141" s="33"/>
      <c r="AB141" s="33">
        <v>133022.1</v>
      </c>
      <c r="AC141" s="33"/>
      <c r="AD141" s="33">
        <v>51729</v>
      </c>
      <c r="AE141" s="33"/>
      <c r="AF141" s="33"/>
      <c r="AG141" s="33"/>
      <c r="AH141" s="33"/>
      <c r="AI141" s="33"/>
      <c r="AJ141" s="33"/>
      <c r="AK141" s="33"/>
      <c r="AL141" s="33"/>
      <c r="AM141" s="328">
        <f t="shared" si="8"/>
        <v>202177</v>
      </c>
      <c r="AN141" s="371">
        <v>70</v>
      </c>
      <c r="AO141" s="388">
        <v>742</v>
      </c>
      <c r="AP141" s="33">
        <v>-39463.47</v>
      </c>
      <c r="AQ141" s="332"/>
      <c r="AR141" s="33">
        <v>-14790.27</v>
      </c>
      <c r="AS141" s="340">
        <v>1</v>
      </c>
      <c r="AT141" s="437"/>
      <c r="AU141" s="438"/>
      <c r="AV141" s="436"/>
      <c r="AW141" s="436"/>
      <c r="AX141" s="436"/>
      <c r="AY141" s="436"/>
      <c r="AZ141" s="436"/>
      <c r="BA141" s="436"/>
      <c r="BB141" s="436"/>
      <c r="BC141" s="436"/>
      <c r="BE141" s="383"/>
      <c r="BF141" s="383"/>
      <c r="BG141" s="383"/>
      <c r="BH141" s="383"/>
      <c r="BI141" s="383"/>
      <c r="BJ141" s="383"/>
      <c r="BK141" s="383"/>
      <c r="BL141" s="383"/>
      <c r="BM141" s="383"/>
      <c r="BN141" s="383"/>
      <c r="BO141" s="383"/>
    </row>
    <row r="142" spans="1:67" x14ac:dyDescent="0.25">
      <c r="A142" s="335">
        <v>5632</v>
      </c>
      <c r="B142" s="425" t="s">
        <v>153</v>
      </c>
      <c r="C142" s="446">
        <v>3092591.47</v>
      </c>
      <c r="D142" s="33">
        <v>638742.60999999905</v>
      </c>
      <c r="E142" s="448"/>
      <c r="F142" s="452">
        <v>0</v>
      </c>
      <c r="G142" s="452">
        <v>277959.45</v>
      </c>
      <c r="H142" s="453">
        <v>17983.95</v>
      </c>
      <c r="I142" s="451">
        <v>0</v>
      </c>
      <c r="J142" s="448">
        <v>177144.53</v>
      </c>
      <c r="K142" s="453">
        <v>28386.3</v>
      </c>
      <c r="L142" s="448">
        <v>338397.1</v>
      </c>
      <c r="M142" s="422">
        <f t="shared" si="6"/>
        <v>4571205.4099999992</v>
      </c>
      <c r="N142" s="446">
        <v>46752.800000000003</v>
      </c>
      <c r="O142" s="446">
        <v>2487.1</v>
      </c>
      <c r="P142" s="446">
        <v>224497.25</v>
      </c>
      <c r="Q142" s="446">
        <v>5392.71</v>
      </c>
      <c r="R142" s="33">
        <v>89055.9</v>
      </c>
      <c r="S142" s="340"/>
      <c r="T142" s="446">
        <v>450</v>
      </c>
      <c r="U142" s="33">
        <v>4025</v>
      </c>
      <c r="V142" s="446"/>
      <c r="W142" s="33"/>
      <c r="X142" s="417">
        <v>27515.8</v>
      </c>
      <c r="Y142" s="328">
        <f t="shared" si="7"/>
        <v>4971381.9699999988</v>
      </c>
      <c r="Z142" s="33">
        <v>143493.15</v>
      </c>
      <c r="AA142" s="33">
        <v>4480</v>
      </c>
      <c r="AB142" s="33">
        <v>226987.6</v>
      </c>
      <c r="AC142" s="33">
        <v>68475.3</v>
      </c>
      <c r="AD142" s="33">
        <v>110925</v>
      </c>
      <c r="AE142" s="33"/>
      <c r="AF142" s="33"/>
      <c r="AG142" s="33"/>
      <c r="AH142" s="33"/>
      <c r="AI142" s="33">
        <v>50617.05</v>
      </c>
      <c r="AJ142" s="33"/>
      <c r="AK142" s="33"/>
      <c r="AL142" s="33"/>
      <c r="AM142" s="328">
        <f t="shared" si="8"/>
        <v>604978.10000000009</v>
      </c>
      <c r="AN142" s="371">
        <v>62</v>
      </c>
      <c r="AO142" s="388">
        <v>1609</v>
      </c>
      <c r="AP142" s="33">
        <v>-76071.17</v>
      </c>
      <c r="AQ142" s="332"/>
      <c r="AR142" s="33">
        <v>-2538.1799999999998</v>
      </c>
      <c r="AS142" s="340">
        <v>1</v>
      </c>
      <c r="AT142" s="437"/>
      <c r="AU142" s="438"/>
      <c r="AV142" s="436"/>
      <c r="AW142" s="436"/>
      <c r="AX142" s="436"/>
      <c r="AY142" s="436"/>
      <c r="AZ142" s="436"/>
      <c r="BA142" s="436"/>
      <c r="BB142" s="436"/>
      <c r="BC142" s="436"/>
      <c r="BE142" s="383"/>
      <c r="BF142" s="383"/>
      <c r="BG142" s="383"/>
      <c r="BH142" s="383"/>
      <c r="BI142" s="383"/>
      <c r="BJ142" s="383"/>
      <c r="BK142" s="383"/>
      <c r="BL142" s="383"/>
      <c r="BM142" s="383"/>
      <c r="BN142" s="383"/>
      <c r="BO142" s="383"/>
    </row>
    <row r="143" spans="1:67" x14ac:dyDescent="0.25">
      <c r="A143" s="335">
        <v>5633</v>
      </c>
      <c r="B143" s="425" t="s">
        <v>154</v>
      </c>
      <c r="C143" s="446">
        <v>6711381.9299999997</v>
      </c>
      <c r="D143" s="33">
        <v>1788755.47</v>
      </c>
      <c r="E143" s="448"/>
      <c r="F143" s="452">
        <v>0</v>
      </c>
      <c r="G143" s="452">
        <v>450265.97</v>
      </c>
      <c r="H143" s="453">
        <v>57591.1</v>
      </c>
      <c r="I143" s="451">
        <v>0</v>
      </c>
      <c r="J143" s="448">
        <v>313881.11</v>
      </c>
      <c r="K143" s="453">
        <v>28810.7</v>
      </c>
      <c r="L143" s="448">
        <v>633023.19999999995</v>
      </c>
      <c r="M143" s="422">
        <f t="shared" si="6"/>
        <v>9983709.4799999986</v>
      </c>
      <c r="N143" s="446">
        <v>224162.65</v>
      </c>
      <c r="O143" s="446">
        <v>50467</v>
      </c>
      <c r="P143" s="446">
        <v>197033.5</v>
      </c>
      <c r="Q143" s="446">
        <v>-320.33999999999997</v>
      </c>
      <c r="R143" s="33">
        <v>227823.38</v>
      </c>
      <c r="S143" s="340"/>
      <c r="T143" s="446">
        <v>12154.8</v>
      </c>
      <c r="U143" s="33">
        <v>9510</v>
      </c>
      <c r="V143" s="446"/>
      <c r="W143" s="33"/>
      <c r="X143" s="417">
        <v>93791.45</v>
      </c>
      <c r="Y143" s="328">
        <f t="shared" si="7"/>
        <v>10798331.92</v>
      </c>
      <c r="Z143" s="33">
        <v>95845.04</v>
      </c>
      <c r="AA143" s="33"/>
      <c r="AB143" s="33">
        <v>488965.94</v>
      </c>
      <c r="AC143" s="33"/>
      <c r="AD143" s="33">
        <v>308342.99</v>
      </c>
      <c r="AE143" s="33"/>
      <c r="AF143" s="33"/>
      <c r="AG143" s="33"/>
      <c r="AH143" s="33"/>
      <c r="AI143" s="33"/>
      <c r="AJ143" s="33"/>
      <c r="AK143" s="33"/>
      <c r="AL143" s="33"/>
      <c r="AM143" s="328">
        <f t="shared" si="8"/>
        <v>893153.97</v>
      </c>
      <c r="AN143" s="371">
        <v>62</v>
      </c>
      <c r="AO143" s="388">
        <v>2739</v>
      </c>
      <c r="AP143" s="33">
        <v>-101237.96</v>
      </c>
      <c r="AQ143" s="332"/>
      <c r="AR143" s="33">
        <v>0</v>
      </c>
      <c r="AS143" s="340">
        <v>1</v>
      </c>
      <c r="AT143" s="437"/>
      <c r="AU143" s="438"/>
      <c r="AV143" s="436"/>
      <c r="AW143" s="436"/>
      <c r="AX143" s="436"/>
      <c r="AY143" s="436"/>
      <c r="AZ143" s="436"/>
      <c r="BA143" s="436"/>
      <c r="BB143" s="436"/>
      <c r="BC143" s="436"/>
      <c r="BE143" s="383"/>
      <c r="BF143" s="383"/>
      <c r="BG143" s="383"/>
      <c r="BH143" s="383"/>
      <c r="BI143" s="383"/>
      <c r="BJ143" s="383"/>
      <c r="BK143" s="383"/>
      <c r="BL143" s="383"/>
      <c r="BM143" s="383"/>
      <c r="BN143" s="383"/>
      <c r="BO143" s="383"/>
    </row>
    <row r="144" spans="1:67" x14ac:dyDescent="0.25">
      <c r="A144" s="335">
        <v>5634</v>
      </c>
      <c r="B144" s="425" t="s">
        <v>155</v>
      </c>
      <c r="C144" s="446">
        <v>8993915.8300000001</v>
      </c>
      <c r="D144" s="33">
        <v>1535796.47</v>
      </c>
      <c r="E144" s="448"/>
      <c r="F144" s="452">
        <v>0</v>
      </c>
      <c r="G144" s="452">
        <v>470848.5</v>
      </c>
      <c r="H144" s="453">
        <v>23573.45</v>
      </c>
      <c r="I144" s="451">
        <v>95607.55</v>
      </c>
      <c r="J144" s="448">
        <v>62649.75</v>
      </c>
      <c r="K144" s="453">
        <v>-9073.4</v>
      </c>
      <c r="L144" s="448">
        <v>623912.19999999995</v>
      </c>
      <c r="M144" s="422">
        <f t="shared" si="6"/>
        <v>11797230.35</v>
      </c>
      <c r="N144" s="446">
        <v>32250.05</v>
      </c>
      <c r="O144" s="446">
        <v>830901.1</v>
      </c>
      <c r="P144" s="446">
        <v>245669.95</v>
      </c>
      <c r="Q144" s="446">
        <v>23807.08</v>
      </c>
      <c r="R144" s="33">
        <v>215107.85</v>
      </c>
      <c r="S144" s="340"/>
      <c r="T144" s="446">
        <v>1260</v>
      </c>
      <c r="U144" s="33">
        <v>8125</v>
      </c>
      <c r="V144" s="446"/>
      <c r="W144" s="33"/>
      <c r="X144" s="417">
        <v>20215.3</v>
      </c>
      <c r="Y144" s="328">
        <f t="shared" si="7"/>
        <v>13174566.68</v>
      </c>
      <c r="Z144" s="33">
        <v>139515.20000000001</v>
      </c>
      <c r="AA144" s="33"/>
      <c r="AB144" s="33">
        <v>626570.1</v>
      </c>
      <c r="AC144" s="33"/>
      <c r="AD144" s="33">
        <v>211733.25</v>
      </c>
      <c r="AE144" s="33">
        <v>137499.95000000001</v>
      </c>
      <c r="AF144" s="33"/>
      <c r="AG144" s="33"/>
      <c r="AH144" s="33"/>
      <c r="AI144" s="33"/>
      <c r="AJ144" s="33"/>
      <c r="AK144" s="33"/>
      <c r="AL144" s="33"/>
      <c r="AM144" s="328">
        <f t="shared" si="8"/>
        <v>1115318.5</v>
      </c>
      <c r="AN144" s="371">
        <v>68</v>
      </c>
      <c r="AO144" s="388">
        <v>3077</v>
      </c>
      <c r="AP144" s="33">
        <v>-53301.96</v>
      </c>
      <c r="AQ144" s="332"/>
      <c r="AR144" s="33">
        <v>-6746.24</v>
      </c>
      <c r="AS144" s="340">
        <v>1</v>
      </c>
      <c r="AT144" s="437"/>
      <c r="AU144" s="438"/>
      <c r="AV144" s="436"/>
      <c r="AW144" s="436"/>
      <c r="AX144" s="436"/>
      <c r="AY144" s="436"/>
      <c r="AZ144" s="436"/>
      <c r="BA144" s="436"/>
      <c r="BB144" s="436"/>
      <c r="BC144" s="436"/>
      <c r="BE144" s="383"/>
      <c r="BF144" s="383"/>
      <c r="BG144" s="383"/>
      <c r="BH144" s="383"/>
      <c r="BI144" s="383"/>
      <c r="BJ144" s="383"/>
      <c r="BK144" s="383"/>
      <c r="BL144" s="383"/>
      <c r="BM144" s="383"/>
      <c r="BN144" s="383"/>
      <c r="BO144" s="383"/>
    </row>
    <row r="145" spans="1:67" x14ac:dyDescent="0.25">
      <c r="A145" s="335">
        <v>5635</v>
      </c>
      <c r="B145" s="425" t="s">
        <v>156</v>
      </c>
      <c r="C145" s="446">
        <v>19510139.809999999</v>
      </c>
      <c r="D145" s="33">
        <v>2519536.13</v>
      </c>
      <c r="E145" s="448"/>
      <c r="F145" s="452">
        <v>0</v>
      </c>
      <c r="G145" s="452">
        <v>3514587.95</v>
      </c>
      <c r="H145" s="453">
        <v>858624.4</v>
      </c>
      <c r="I145" s="451">
        <v>0</v>
      </c>
      <c r="J145" s="448">
        <v>2019376.32</v>
      </c>
      <c r="K145" s="453">
        <v>456449.65</v>
      </c>
      <c r="L145" s="448">
        <v>2736104.25</v>
      </c>
      <c r="M145" s="422">
        <f t="shared" si="6"/>
        <v>31614818.509999994</v>
      </c>
      <c r="N145" s="446">
        <v>2637319.7000000002</v>
      </c>
      <c r="O145" s="446">
        <v>365998.6</v>
      </c>
      <c r="P145" s="446">
        <v>1139430.6499999999</v>
      </c>
      <c r="Q145" s="446">
        <v>226915.32</v>
      </c>
      <c r="R145" s="33">
        <v>768928.25</v>
      </c>
      <c r="S145" s="340"/>
      <c r="T145" s="446">
        <v>69637.05</v>
      </c>
      <c r="U145" s="33">
        <v>46300</v>
      </c>
      <c r="V145" s="446">
        <v>99941.21</v>
      </c>
      <c r="W145" s="33"/>
      <c r="X145" s="417">
        <v>620219.75</v>
      </c>
      <c r="Y145" s="328">
        <f t="shared" si="7"/>
        <v>37589509.039999992</v>
      </c>
      <c r="Z145" s="33">
        <v>369815</v>
      </c>
      <c r="AA145" s="33"/>
      <c r="AB145" s="33">
        <v>1429505.77</v>
      </c>
      <c r="AC145" s="33"/>
      <c r="AD145" s="33">
        <v>1209959.3</v>
      </c>
      <c r="AE145" s="33"/>
      <c r="AF145" s="33"/>
      <c r="AG145" s="33"/>
      <c r="AH145" s="33">
        <v>478288.7</v>
      </c>
      <c r="AI145" s="33">
        <v>1136291.8</v>
      </c>
      <c r="AJ145" s="33">
        <v>405818.85</v>
      </c>
      <c r="AK145" s="33"/>
      <c r="AL145" s="33">
        <v>162327.20000000001</v>
      </c>
      <c r="AM145" s="328">
        <f t="shared" si="8"/>
        <v>5192006.62</v>
      </c>
      <c r="AN145" s="371">
        <v>64</v>
      </c>
      <c r="AO145" s="388">
        <v>13089</v>
      </c>
      <c r="AP145" s="33">
        <v>-664495.43999999994</v>
      </c>
      <c r="AQ145" s="332"/>
      <c r="AR145" s="33">
        <v>-18039.45</v>
      </c>
      <c r="AS145" s="340">
        <v>1.2</v>
      </c>
      <c r="AT145" s="437"/>
      <c r="AU145" s="438"/>
      <c r="AV145" s="436"/>
      <c r="AW145" s="436"/>
      <c r="AX145" s="436"/>
      <c r="AY145" s="436"/>
      <c r="AZ145" s="436"/>
      <c r="BA145" s="436"/>
      <c r="BB145" s="436"/>
      <c r="BC145" s="436"/>
      <c r="BE145" s="383"/>
      <c r="BF145" s="383"/>
      <c r="BG145" s="383"/>
      <c r="BH145" s="383"/>
      <c r="BI145" s="383"/>
      <c r="BJ145" s="383"/>
      <c r="BK145" s="383"/>
      <c r="BL145" s="383"/>
      <c r="BM145" s="383"/>
      <c r="BN145" s="383"/>
      <c r="BO145" s="383"/>
    </row>
    <row r="146" spans="1:67" x14ac:dyDescent="0.25">
      <c r="A146" s="335">
        <v>5636</v>
      </c>
      <c r="B146" s="425" t="s">
        <v>157</v>
      </c>
      <c r="C146" s="446">
        <v>5930831.5099999998</v>
      </c>
      <c r="D146" s="33">
        <v>795982.53</v>
      </c>
      <c r="E146" s="448"/>
      <c r="F146" s="452">
        <v>0</v>
      </c>
      <c r="G146" s="452">
        <v>1979847.4</v>
      </c>
      <c r="H146" s="453">
        <v>164655.04999999999</v>
      </c>
      <c r="I146" s="451">
        <v>32257.9</v>
      </c>
      <c r="J146" s="448">
        <v>373806.47</v>
      </c>
      <c r="K146" s="453">
        <v>263230.15000000002</v>
      </c>
      <c r="L146" s="448">
        <v>1173372.95</v>
      </c>
      <c r="M146" s="422">
        <f t="shared" si="6"/>
        <v>10713983.960000001</v>
      </c>
      <c r="N146" s="446">
        <v>399939.55</v>
      </c>
      <c r="O146" s="446">
        <v>447133.8</v>
      </c>
      <c r="P146" s="446">
        <v>474254.5</v>
      </c>
      <c r="Q146" s="446">
        <v>8232.76</v>
      </c>
      <c r="R146" s="33">
        <v>124298.95</v>
      </c>
      <c r="S146" s="340"/>
      <c r="T146" s="446">
        <v>38047.75</v>
      </c>
      <c r="U146" s="33">
        <v>7825</v>
      </c>
      <c r="V146" s="446"/>
      <c r="W146" s="33"/>
      <c r="X146" s="417">
        <v>239901.5</v>
      </c>
      <c r="Y146" s="328">
        <f t="shared" si="7"/>
        <v>12453617.770000001</v>
      </c>
      <c r="Z146" s="33">
        <v>213521.2</v>
      </c>
      <c r="AA146" s="33"/>
      <c r="AB146" s="33">
        <v>253599.15</v>
      </c>
      <c r="AC146" s="33"/>
      <c r="AD146" s="33">
        <v>121591.5</v>
      </c>
      <c r="AE146" s="33">
        <v>8674.35</v>
      </c>
      <c r="AF146" s="33"/>
      <c r="AG146" s="33"/>
      <c r="AH146" s="33"/>
      <c r="AI146" s="33">
        <v>167260.4</v>
      </c>
      <c r="AJ146" s="33"/>
      <c r="AK146" s="33"/>
      <c r="AL146" s="33"/>
      <c r="AM146" s="328">
        <f t="shared" si="8"/>
        <v>764646.6</v>
      </c>
      <c r="AN146" s="371">
        <v>61</v>
      </c>
      <c r="AO146" s="388">
        <v>2933</v>
      </c>
      <c r="AP146" s="33">
        <v>-205987.35</v>
      </c>
      <c r="AQ146" s="332"/>
      <c r="AR146" s="33">
        <v>-4752.66</v>
      </c>
      <c r="AS146" s="340">
        <v>1</v>
      </c>
      <c r="AT146" s="437"/>
      <c r="AU146" s="438"/>
      <c r="AV146" s="459"/>
      <c r="AW146" s="459"/>
      <c r="AX146" s="459"/>
      <c r="AY146" s="459"/>
      <c r="AZ146" s="459"/>
      <c r="BA146" s="459"/>
      <c r="BB146" s="459"/>
      <c r="BC146" s="459"/>
      <c r="BE146" s="383"/>
      <c r="BF146" s="383"/>
      <c r="BG146" s="383"/>
      <c r="BH146" s="383"/>
      <c r="BI146" s="383"/>
      <c r="BJ146" s="383"/>
      <c r="BK146" s="383"/>
      <c r="BL146" s="383"/>
      <c r="BM146" s="383"/>
      <c r="BN146" s="383"/>
      <c r="BO146" s="383"/>
    </row>
    <row r="147" spans="1:67" x14ac:dyDescent="0.25">
      <c r="A147" s="335">
        <v>5637</v>
      </c>
      <c r="B147" s="425" t="s">
        <v>158</v>
      </c>
      <c r="C147" s="446">
        <v>2335581.1</v>
      </c>
      <c r="D147" s="33">
        <v>201458.93</v>
      </c>
      <c r="E147" s="448"/>
      <c r="F147" s="452">
        <v>0</v>
      </c>
      <c r="G147" s="452">
        <v>35054.699999999997</v>
      </c>
      <c r="H147" s="453">
        <v>1055.6500000000001</v>
      </c>
      <c r="I147" s="451">
        <v>0</v>
      </c>
      <c r="J147" s="448">
        <v>11133.04</v>
      </c>
      <c r="K147" s="453">
        <v>5192.3500000000004</v>
      </c>
      <c r="L147" s="448">
        <v>284574.05</v>
      </c>
      <c r="M147" s="422">
        <f t="shared" si="6"/>
        <v>2874049.8200000003</v>
      </c>
      <c r="N147" s="446">
        <v>207758.15</v>
      </c>
      <c r="O147" s="446">
        <v>3108.3</v>
      </c>
      <c r="P147" s="446">
        <v>90394.05</v>
      </c>
      <c r="Q147" s="446">
        <v>13718.99</v>
      </c>
      <c r="R147" s="33">
        <v>21970.65</v>
      </c>
      <c r="S147" s="340"/>
      <c r="T147" s="446">
        <v>784.35</v>
      </c>
      <c r="U147" s="33">
        <v>3960</v>
      </c>
      <c r="V147" s="446"/>
      <c r="W147" s="33"/>
      <c r="X147" s="417">
        <v>8748.5499999999993</v>
      </c>
      <c r="Y147" s="328">
        <f t="shared" si="7"/>
        <v>3224492.86</v>
      </c>
      <c r="Z147" s="33">
        <v>313552.7</v>
      </c>
      <c r="AA147" s="33"/>
      <c r="AB147" s="33">
        <v>177289.75</v>
      </c>
      <c r="AC147" s="33"/>
      <c r="AD147" s="33">
        <v>99149.8</v>
      </c>
      <c r="AE147" s="33">
        <v>318857.96000000002</v>
      </c>
      <c r="AF147" s="33"/>
      <c r="AG147" s="33"/>
      <c r="AH147" s="33"/>
      <c r="AI147" s="33">
        <v>40570.699999999997</v>
      </c>
      <c r="AJ147" s="33"/>
      <c r="AK147" s="33"/>
      <c r="AL147" s="33"/>
      <c r="AM147" s="328">
        <f t="shared" si="8"/>
        <v>949420.90999999992</v>
      </c>
      <c r="AN147" s="371">
        <v>74.5</v>
      </c>
      <c r="AO147" s="388">
        <v>992</v>
      </c>
      <c r="AP147" s="33">
        <v>-29860.47</v>
      </c>
      <c r="AQ147" s="332"/>
      <c r="AR147" s="33">
        <v>-927.84</v>
      </c>
      <c r="AS147" s="340">
        <v>1.5</v>
      </c>
      <c r="AT147" s="437"/>
      <c r="AU147" s="438"/>
      <c r="AV147" s="436"/>
      <c r="AW147" s="436"/>
      <c r="AX147" s="436"/>
      <c r="AY147" s="436"/>
      <c r="AZ147" s="436"/>
      <c r="BA147" s="436"/>
      <c r="BB147" s="436"/>
      <c r="BC147" s="436"/>
      <c r="BE147" s="383"/>
      <c r="BF147" s="383"/>
      <c r="BG147" s="383"/>
      <c r="BH147" s="383"/>
      <c r="BI147" s="383"/>
      <c r="BJ147" s="383"/>
      <c r="BK147" s="383"/>
      <c r="BL147" s="383"/>
      <c r="BM147" s="383"/>
      <c r="BN147" s="383"/>
      <c r="BO147" s="383"/>
    </row>
    <row r="148" spans="1:67" x14ac:dyDescent="0.25">
      <c r="A148" s="335">
        <v>5638</v>
      </c>
      <c r="B148" s="425" t="s">
        <v>159</v>
      </c>
      <c r="C148" s="446">
        <v>5622459.7800000003</v>
      </c>
      <c r="D148" s="33">
        <v>1454129.51</v>
      </c>
      <c r="E148" s="448"/>
      <c r="F148" s="452">
        <v>0</v>
      </c>
      <c r="G148" s="452">
        <v>354372.45</v>
      </c>
      <c r="H148" s="453">
        <v>86859.7</v>
      </c>
      <c r="I148" s="451">
        <v>212486.2</v>
      </c>
      <c r="J148" s="448">
        <v>130473.22</v>
      </c>
      <c r="K148" s="453">
        <v>62974.15</v>
      </c>
      <c r="L148" s="448">
        <v>644454.9</v>
      </c>
      <c r="M148" s="422">
        <f t="shared" si="6"/>
        <v>8568209.9100000001</v>
      </c>
      <c r="N148" s="446">
        <v>214877.05</v>
      </c>
      <c r="O148" s="446">
        <v>2114261</v>
      </c>
      <c r="P148" s="446">
        <v>596402.05000000005</v>
      </c>
      <c r="Q148" s="446">
        <v>8379.7900000000009</v>
      </c>
      <c r="R148" s="33">
        <v>436565.85</v>
      </c>
      <c r="S148" s="340"/>
      <c r="T148" s="446">
        <v>11410.6</v>
      </c>
      <c r="U148" s="33">
        <v>12950</v>
      </c>
      <c r="V148" s="446"/>
      <c r="W148" s="33"/>
      <c r="X148" s="417">
        <v>185365.9</v>
      </c>
      <c r="Y148" s="328">
        <f t="shared" si="7"/>
        <v>12148422.15</v>
      </c>
      <c r="Z148" s="33"/>
      <c r="AA148" s="33"/>
      <c r="AB148" s="33">
        <v>486871.6</v>
      </c>
      <c r="AC148" s="33"/>
      <c r="AD148" s="33">
        <v>312800.45</v>
      </c>
      <c r="AE148" s="33"/>
      <c r="AF148" s="33"/>
      <c r="AG148" s="33"/>
      <c r="AH148" s="33"/>
      <c r="AI148" s="33"/>
      <c r="AJ148" s="33"/>
      <c r="AK148" s="33"/>
      <c r="AL148" s="33"/>
      <c r="AM148" s="328">
        <f t="shared" si="8"/>
        <v>799672.05</v>
      </c>
      <c r="AN148" s="371">
        <v>55</v>
      </c>
      <c r="AO148" s="388">
        <v>2676</v>
      </c>
      <c r="AP148" s="33">
        <v>-107181.02</v>
      </c>
      <c r="AQ148" s="332"/>
      <c r="AR148" s="33">
        <v>-12185.43</v>
      </c>
      <c r="AS148" s="340">
        <v>1</v>
      </c>
      <c r="AT148" s="437"/>
      <c r="AU148" s="438"/>
      <c r="AV148" s="436"/>
      <c r="AW148" s="436"/>
      <c r="AX148" s="436"/>
      <c r="AY148" s="436"/>
      <c r="AZ148" s="436"/>
      <c r="BA148" s="436"/>
      <c r="BB148" s="436"/>
      <c r="BC148" s="436"/>
      <c r="BE148" s="383"/>
      <c r="BF148" s="383"/>
      <c r="BG148" s="383"/>
      <c r="BH148" s="383"/>
      <c r="BI148" s="383"/>
      <c r="BJ148" s="383"/>
      <c r="BK148" s="383"/>
      <c r="BL148" s="383"/>
      <c r="BM148" s="383"/>
      <c r="BN148" s="383"/>
      <c r="BO148" s="383"/>
    </row>
    <row r="149" spans="1:67" x14ac:dyDescent="0.25">
      <c r="A149" s="335">
        <v>5639</v>
      </c>
      <c r="B149" s="425" t="s">
        <v>160</v>
      </c>
      <c r="C149" s="446">
        <v>2171884.23</v>
      </c>
      <c r="D149" s="33">
        <v>484623.95</v>
      </c>
      <c r="E149" s="448"/>
      <c r="F149" s="452">
        <v>0</v>
      </c>
      <c r="G149" s="452">
        <v>356.64999999998798</v>
      </c>
      <c r="H149" s="453">
        <v>4320.6000000000004</v>
      </c>
      <c r="I149" s="451">
        <v>0</v>
      </c>
      <c r="J149" s="448">
        <v>20138.64</v>
      </c>
      <c r="K149" s="453">
        <v>2899.85</v>
      </c>
      <c r="L149" s="448">
        <v>245743.6</v>
      </c>
      <c r="M149" s="422">
        <f t="shared" si="6"/>
        <v>2929967.5200000005</v>
      </c>
      <c r="N149" s="446">
        <v>19523.8</v>
      </c>
      <c r="O149" s="446">
        <v>26199.7</v>
      </c>
      <c r="P149" s="446">
        <v>19754.650000000001</v>
      </c>
      <c r="Q149" s="446">
        <v>0</v>
      </c>
      <c r="R149" s="33">
        <v>72627.05</v>
      </c>
      <c r="S149" s="340"/>
      <c r="T149" s="446">
        <v>97.25</v>
      </c>
      <c r="U149" s="33">
        <v>3235</v>
      </c>
      <c r="V149" s="446"/>
      <c r="W149" s="33"/>
      <c r="X149" s="417">
        <v>11942.8</v>
      </c>
      <c r="Y149" s="328">
        <f t="shared" si="7"/>
        <v>3083347.77</v>
      </c>
      <c r="Z149" s="33">
        <v>-368.5</v>
      </c>
      <c r="AA149" s="33"/>
      <c r="AB149" s="33">
        <v>115439.85</v>
      </c>
      <c r="AC149" s="33"/>
      <c r="AD149" s="33">
        <v>66066.45</v>
      </c>
      <c r="AE149" s="33"/>
      <c r="AF149" s="33"/>
      <c r="AG149" s="33"/>
      <c r="AH149" s="33"/>
      <c r="AI149" s="33"/>
      <c r="AJ149" s="33"/>
      <c r="AK149" s="33"/>
      <c r="AL149" s="33"/>
      <c r="AM149" s="328">
        <f t="shared" si="8"/>
        <v>181137.8</v>
      </c>
      <c r="AN149" s="371">
        <v>61</v>
      </c>
      <c r="AO149" s="388">
        <v>818</v>
      </c>
      <c r="AP149" s="33">
        <v>-14999.26</v>
      </c>
      <c r="AQ149" s="332"/>
      <c r="AR149" s="33">
        <v>0</v>
      </c>
      <c r="AS149" s="340">
        <v>1.25</v>
      </c>
      <c r="AT149" s="437"/>
      <c r="AU149" s="438"/>
      <c r="AV149" s="436"/>
      <c r="AW149" s="436"/>
      <c r="AX149" s="436"/>
      <c r="AY149" s="436"/>
      <c r="AZ149" s="436"/>
      <c r="BA149" s="436"/>
      <c r="BB149" s="436"/>
      <c r="BC149" s="436"/>
      <c r="BE149" s="383"/>
      <c r="BF149" s="383"/>
      <c r="BG149" s="383"/>
      <c r="BH149" s="383"/>
      <c r="BI149" s="383"/>
      <c r="BJ149" s="383"/>
      <c r="BK149" s="383"/>
      <c r="BL149" s="383"/>
      <c r="BM149" s="383"/>
      <c r="BN149" s="383"/>
      <c r="BO149" s="383"/>
    </row>
    <row r="150" spans="1:67" x14ac:dyDescent="0.25">
      <c r="A150" s="335">
        <v>5640</v>
      </c>
      <c r="B150" s="425" t="s">
        <v>161</v>
      </c>
      <c r="C150" s="446">
        <v>2981721.71</v>
      </c>
      <c r="D150" s="33">
        <v>732237.12</v>
      </c>
      <c r="E150" s="448"/>
      <c r="F150" s="452">
        <v>0</v>
      </c>
      <c r="G150" s="452">
        <v>5327.6500000000096</v>
      </c>
      <c r="H150" s="453">
        <v>2572.3000000000002</v>
      </c>
      <c r="I150" s="451">
        <v>119895.5</v>
      </c>
      <c r="J150" s="448">
        <v>18504.43</v>
      </c>
      <c r="K150" s="453">
        <v>3117.85</v>
      </c>
      <c r="L150" s="448">
        <v>193586.65</v>
      </c>
      <c r="M150" s="422">
        <f t="shared" si="6"/>
        <v>4056963.21</v>
      </c>
      <c r="N150" s="446">
        <v>15620.7</v>
      </c>
      <c r="O150" s="446">
        <v>113753.3</v>
      </c>
      <c r="P150" s="446">
        <v>195804.35</v>
      </c>
      <c r="Q150" s="446">
        <v>28.27</v>
      </c>
      <c r="R150" s="33">
        <v>143142.1</v>
      </c>
      <c r="S150" s="340"/>
      <c r="T150" s="446"/>
      <c r="U150" s="33">
        <v>3800</v>
      </c>
      <c r="V150" s="446"/>
      <c r="W150" s="33"/>
      <c r="X150" s="417">
        <v>31888.9</v>
      </c>
      <c r="Y150" s="328">
        <f t="shared" si="7"/>
        <v>4561000.8299999991</v>
      </c>
      <c r="Z150" s="33">
        <v>28348.400000000001</v>
      </c>
      <c r="AA150" s="33"/>
      <c r="AB150" s="33">
        <v>71061.399999999994</v>
      </c>
      <c r="AC150" s="33"/>
      <c r="AD150" s="33">
        <v>39957</v>
      </c>
      <c r="AE150" s="33"/>
      <c r="AF150" s="33"/>
      <c r="AG150" s="33"/>
      <c r="AH150" s="33"/>
      <c r="AI150" s="33"/>
      <c r="AJ150" s="33"/>
      <c r="AK150" s="33"/>
      <c r="AL150" s="33"/>
      <c r="AM150" s="328">
        <f t="shared" si="8"/>
        <v>139366.79999999999</v>
      </c>
      <c r="AN150" s="371">
        <v>66</v>
      </c>
      <c r="AO150" s="388">
        <v>696</v>
      </c>
      <c r="AP150" s="33">
        <v>-16185.91</v>
      </c>
      <c r="AQ150" s="332"/>
      <c r="AR150" s="33">
        <v>-20264.330000000002</v>
      </c>
      <c r="AS150" s="340">
        <v>1</v>
      </c>
      <c r="AT150" s="437"/>
      <c r="AU150" s="438"/>
      <c r="AV150" s="436"/>
      <c r="AW150" s="436"/>
      <c r="AX150" s="436"/>
      <c r="AY150" s="436"/>
      <c r="AZ150" s="436"/>
      <c r="BA150" s="436"/>
      <c r="BB150" s="436"/>
      <c r="BC150" s="436"/>
      <c r="BE150" s="383"/>
      <c r="BF150" s="383"/>
      <c r="BG150" s="383"/>
      <c r="BH150" s="383"/>
      <c r="BI150" s="383"/>
      <c r="BJ150" s="383"/>
      <c r="BK150" s="383"/>
      <c r="BL150" s="383"/>
      <c r="BM150" s="383"/>
      <c r="BN150" s="383"/>
      <c r="BO150" s="383"/>
    </row>
    <row r="151" spans="1:67" x14ac:dyDescent="0.25">
      <c r="A151" s="335">
        <v>5642</v>
      </c>
      <c r="B151" s="425" t="s">
        <v>162</v>
      </c>
      <c r="C151" s="446">
        <v>37260767.979999997</v>
      </c>
      <c r="D151" s="33">
        <v>6394281.6200000001</v>
      </c>
      <c r="E151" s="448"/>
      <c r="F151" s="452">
        <v>0</v>
      </c>
      <c r="G151" s="452">
        <v>8130721.2000000002</v>
      </c>
      <c r="H151" s="453">
        <v>379814.15</v>
      </c>
      <c r="I151" s="451">
        <v>386281.49</v>
      </c>
      <c r="J151" s="448">
        <v>974774.53</v>
      </c>
      <c r="K151" s="453">
        <v>469443.35</v>
      </c>
      <c r="L151" s="448">
        <v>3187867.1</v>
      </c>
      <c r="M151" s="422">
        <f t="shared" si="6"/>
        <v>57183951.420000002</v>
      </c>
      <c r="N151" s="446">
        <v>1302438.1000000001</v>
      </c>
      <c r="O151" s="446">
        <v>3595802.8</v>
      </c>
      <c r="P151" s="446">
        <v>1515678.2</v>
      </c>
      <c r="Q151" s="446">
        <v>248701.47</v>
      </c>
      <c r="R151" s="33">
        <v>866803.05</v>
      </c>
      <c r="S151" s="340">
        <v>88293.55</v>
      </c>
      <c r="T151" s="446"/>
      <c r="U151" s="33">
        <v>47920</v>
      </c>
      <c r="V151" s="446"/>
      <c r="W151" s="33"/>
      <c r="X151" s="417">
        <v>1250189.2</v>
      </c>
      <c r="Y151" s="328">
        <f t="shared" si="7"/>
        <v>66099777.789999999</v>
      </c>
      <c r="Z151" s="33">
        <v>1007088.9</v>
      </c>
      <c r="AA151" s="33"/>
      <c r="AB151" s="33">
        <v>4403225.6399999997</v>
      </c>
      <c r="AC151" s="33"/>
      <c r="AD151" s="33">
        <v>1091070.1599999999</v>
      </c>
      <c r="AE151" s="33">
        <v>1204797.2</v>
      </c>
      <c r="AF151" s="33"/>
      <c r="AG151" s="33"/>
      <c r="AH151" s="33">
        <v>222500.5</v>
      </c>
      <c r="AI151" s="33">
        <v>175774.35</v>
      </c>
      <c r="AJ151" s="33"/>
      <c r="AK151" s="33"/>
      <c r="AL151" s="33"/>
      <c r="AM151" s="328">
        <f t="shared" si="8"/>
        <v>8104456.75</v>
      </c>
      <c r="AN151" s="371">
        <v>68.5</v>
      </c>
      <c r="AO151" s="388">
        <v>15862</v>
      </c>
      <c r="AP151" s="33">
        <v>-926252.95</v>
      </c>
      <c r="AQ151" s="332"/>
      <c r="AR151" s="33">
        <v>-71725.69</v>
      </c>
      <c r="AS151" s="340">
        <v>1</v>
      </c>
      <c r="AT151" s="437"/>
      <c r="AU151" s="438"/>
      <c r="AV151" s="436"/>
      <c r="AW151" s="436"/>
      <c r="AX151" s="436"/>
      <c r="AY151" s="436"/>
      <c r="AZ151" s="436"/>
      <c r="BA151" s="436"/>
      <c r="BB151" s="436"/>
      <c r="BC151" s="436"/>
      <c r="BE151" s="383"/>
      <c r="BF151" s="383"/>
      <c r="BG151" s="383"/>
      <c r="BH151" s="383"/>
      <c r="BI151" s="383"/>
      <c r="BJ151" s="383"/>
      <c r="BK151" s="383"/>
      <c r="BL151" s="383"/>
      <c r="BM151" s="383"/>
      <c r="BN151" s="383"/>
      <c r="BO151" s="383"/>
    </row>
    <row r="152" spans="1:67" x14ac:dyDescent="0.25">
      <c r="A152" s="335">
        <v>5643</v>
      </c>
      <c r="B152" s="425" t="s">
        <v>163</v>
      </c>
      <c r="C152" s="446">
        <v>11929612.15</v>
      </c>
      <c r="D152" s="33">
        <v>2127286.7400000002</v>
      </c>
      <c r="E152" s="448"/>
      <c r="F152" s="452">
        <v>0</v>
      </c>
      <c r="G152" s="452">
        <v>697867.65</v>
      </c>
      <c r="H152" s="453">
        <v>48915.75</v>
      </c>
      <c r="I152" s="451">
        <v>358888.1</v>
      </c>
      <c r="J152" s="448">
        <v>295460.8</v>
      </c>
      <c r="K152" s="453">
        <v>108921.35</v>
      </c>
      <c r="L152" s="448">
        <v>1105116.3</v>
      </c>
      <c r="M152" s="422">
        <f t="shared" si="6"/>
        <v>16672068.840000002</v>
      </c>
      <c r="N152" s="446">
        <v>126106.3</v>
      </c>
      <c r="O152" s="446">
        <v>1167339</v>
      </c>
      <c r="P152" s="446">
        <v>344960.75</v>
      </c>
      <c r="Q152" s="446">
        <v>16539.09</v>
      </c>
      <c r="R152" s="33">
        <v>267113.75</v>
      </c>
      <c r="S152" s="340"/>
      <c r="T152" s="446">
        <v>3777.25</v>
      </c>
      <c r="U152" s="33">
        <v>18315</v>
      </c>
      <c r="V152" s="446"/>
      <c r="W152" s="33"/>
      <c r="X152" s="417">
        <v>135094.54999999999</v>
      </c>
      <c r="Y152" s="328">
        <f t="shared" si="7"/>
        <v>18751314.530000001</v>
      </c>
      <c r="Z152" s="33">
        <v>179730.15</v>
      </c>
      <c r="AA152" s="33"/>
      <c r="AB152" s="33">
        <v>886923.86</v>
      </c>
      <c r="AC152" s="33"/>
      <c r="AD152" s="33">
        <v>391221</v>
      </c>
      <c r="AE152" s="33"/>
      <c r="AF152" s="33"/>
      <c r="AG152" s="33"/>
      <c r="AH152" s="33"/>
      <c r="AI152" s="33">
        <v>121385.55</v>
      </c>
      <c r="AJ152" s="33"/>
      <c r="AK152" s="33"/>
      <c r="AL152" s="33"/>
      <c r="AM152" s="328">
        <f t="shared" si="8"/>
        <v>1579260.56</v>
      </c>
      <c r="AN152" s="371">
        <v>64</v>
      </c>
      <c r="AO152" s="388">
        <v>5243</v>
      </c>
      <c r="AP152" s="33">
        <v>-192147.49</v>
      </c>
      <c r="AQ152" s="332"/>
      <c r="AR152" s="33">
        <v>-32210.31</v>
      </c>
      <c r="AS152" s="340">
        <v>1</v>
      </c>
      <c r="AT152" s="437"/>
      <c r="AU152" s="438"/>
      <c r="AV152" s="436"/>
      <c r="AW152" s="436"/>
      <c r="AX152" s="436"/>
      <c r="AY152" s="436"/>
      <c r="AZ152" s="436"/>
      <c r="BA152" s="436"/>
      <c r="BB152" s="436"/>
      <c r="BC152" s="436"/>
      <c r="BE152" s="383"/>
      <c r="BF152" s="383"/>
      <c r="BG152" s="383"/>
      <c r="BH152" s="383"/>
      <c r="BI152" s="383"/>
      <c r="BJ152" s="383"/>
      <c r="BK152" s="383"/>
      <c r="BL152" s="383"/>
      <c r="BM152" s="383"/>
      <c r="BN152" s="383"/>
      <c r="BO152" s="383"/>
    </row>
    <row r="153" spans="1:67" x14ac:dyDescent="0.25">
      <c r="A153" s="335">
        <v>5644</v>
      </c>
      <c r="B153" s="425" t="s">
        <v>312</v>
      </c>
      <c r="C153" s="446">
        <v>973471.01</v>
      </c>
      <c r="D153" s="33">
        <v>186033.87</v>
      </c>
      <c r="E153" s="448"/>
      <c r="F153" s="452">
        <v>0</v>
      </c>
      <c r="G153" s="452">
        <v>9906.6</v>
      </c>
      <c r="H153" s="453">
        <v>198.6</v>
      </c>
      <c r="I153" s="451">
        <v>0</v>
      </c>
      <c r="J153" s="448">
        <v>29983.67</v>
      </c>
      <c r="K153" s="453">
        <v>0</v>
      </c>
      <c r="L153" s="448">
        <v>79397.45</v>
      </c>
      <c r="M153" s="422">
        <f t="shared" si="6"/>
        <v>1278991.2</v>
      </c>
      <c r="N153" s="446">
        <v>5384.9</v>
      </c>
      <c r="O153" s="446">
        <v>5382.7</v>
      </c>
      <c r="P153" s="446">
        <v>27356.9</v>
      </c>
      <c r="Q153" s="446">
        <v>0</v>
      </c>
      <c r="R153" s="33">
        <v>45609.55</v>
      </c>
      <c r="S153" s="340"/>
      <c r="T153" s="446">
        <v>400</v>
      </c>
      <c r="U153" s="33">
        <v>2500</v>
      </c>
      <c r="V153" s="446"/>
      <c r="W153" s="33"/>
      <c r="X153" s="417">
        <v>5378.1</v>
      </c>
      <c r="Y153" s="328">
        <f t="shared" si="7"/>
        <v>1371003.3499999999</v>
      </c>
      <c r="Z153" s="33"/>
      <c r="AA153" s="33"/>
      <c r="AB153" s="33">
        <v>68690.3</v>
      </c>
      <c r="AC153" s="33"/>
      <c r="AD153" s="33">
        <v>35880</v>
      </c>
      <c r="AE153" s="33"/>
      <c r="AF153" s="33"/>
      <c r="AG153" s="33"/>
      <c r="AH153" s="33"/>
      <c r="AI153" s="33"/>
      <c r="AJ153" s="33">
        <v>7342.6</v>
      </c>
      <c r="AK153" s="33"/>
      <c r="AL153" s="33"/>
      <c r="AM153" s="328">
        <f t="shared" si="8"/>
        <v>111912.90000000001</v>
      </c>
      <c r="AN153" s="371">
        <v>76</v>
      </c>
      <c r="AO153" s="388">
        <v>413</v>
      </c>
      <c r="AP153" s="33">
        <v>-2568.08</v>
      </c>
      <c r="AQ153" s="332"/>
      <c r="AR153" s="33">
        <v>-461.69</v>
      </c>
      <c r="AS153" s="340">
        <v>1</v>
      </c>
      <c r="AT153" s="437"/>
      <c r="AU153" s="438"/>
      <c r="AV153" s="436"/>
      <c r="AW153" s="436"/>
      <c r="AX153" s="436"/>
      <c r="AY153" s="436"/>
      <c r="AZ153" s="436"/>
      <c r="BA153" s="436"/>
      <c r="BB153" s="436"/>
      <c r="BC153" s="436"/>
      <c r="BE153" s="383"/>
      <c r="BF153" s="383"/>
      <c r="BG153" s="383"/>
      <c r="BH153" s="383"/>
      <c r="BI153" s="383"/>
      <c r="BJ153" s="383"/>
      <c r="BK153" s="383"/>
      <c r="BL153" s="383"/>
      <c r="BM153" s="383"/>
      <c r="BN153" s="383"/>
      <c r="BO153" s="383"/>
    </row>
    <row r="154" spans="1:67" x14ac:dyDescent="0.25">
      <c r="A154" s="335">
        <v>5645</v>
      </c>
      <c r="B154" s="425" t="s">
        <v>313</v>
      </c>
      <c r="C154" s="446">
        <v>985499.37</v>
      </c>
      <c r="D154" s="33">
        <v>207006.43</v>
      </c>
      <c r="E154" s="448"/>
      <c r="F154" s="452">
        <v>0</v>
      </c>
      <c r="G154" s="452">
        <v>179686.1</v>
      </c>
      <c r="H154" s="453">
        <v>91463.6</v>
      </c>
      <c r="I154" s="451">
        <v>0</v>
      </c>
      <c r="J154" s="448">
        <v>43274.31</v>
      </c>
      <c r="K154" s="453">
        <v>20606.599999999999</v>
      </c>
      <c r="L154" s="448">
        <v>157832.95000000001</v>
      </c>
      <c r="M154" s="422">
        <f t="shared" si="6"/>
        <v>1685369.3600000003</v>
      </c>
      <c r="N154" s="446">
        <v>70369.600000000006</v>
      </c>
      <c r="O154" s="446">
        <v>27306.7</v>
      </c>
      <c r="P154" s="446">
        <v>76500.899999999994</v>
      </c>
      <c r="Q154" s="446">
        <v>27.15</v>
      </c>
      <c r="R154" s="33">
        <v>34024.15</v>
      </c>
      <c r="S154" s="340"/>
      <c r="T154" s="446"/>
      <c r="U154" s="33">
        <v>875</v>
      </c>
      <c r="V154" s="446"/>
      <c r="W154" s="33"/>
      <c r="X154" s="417">
        <v>14582.7</v>
      </c>
      <c r="Y154" s="328">
        <f t="shared" si="7"/>
        <v>1909055.56</v>
      </c>
      <c r="Z154" s="33">
        <v>810</v>
      </c>
      <c r="AA154" s="33"/>
      <c r="AB154" s="33">
        <v>119354.9</v>
      </c>
      <c r="AC154" s="33"/>
      <c r="AD154" s="33">
        <v>54646.400000000001</v>
      </c>
      <c r="AE154" s="33"/>
      <c r="AF154" s="33"/>
      <c r="AG154" s="33"/>
      <c r="AH154" s="33"/>
      <c r="AI154" s="33">
        <v>27907.65</v>
      </c>
      <c r="AJ154" s="33"/>
      <c r="AK154" s="33"/>
      <c r="AL154" s="33"/>
      <c r="AM154" s="328">
        <f t="shared" si="8"/>
        <v>202718.94999999998</v>
      </c>
      <c r="AN154" s="371">
        <v>56</v>
      </c>
      <c r="AO154" s="388">
        <v>470</v>
      </c>
      <c r="AP154" s="33">
        <v>-31008.32</v>
      </c>
      <c r="AQ154" s="332"/>
      <c r="AR154" s="33">
        <v>-3331.97</v>
      </c>
      <c r="AS154" s="340">
        <v>1</v>
      </c>
      <c r="AT154" s="437"/>
      <c r="AU154" s="438"/>
      <c r="AV154" s="436"/>
      <c r="AW154" s="436"/>
      <c r="AX154" s="436"/>
      <c r="AY154" s="436"/>
      <c r="AZ154" s="436"/>
      <c r="BA154" s="436"/>
      <c r="BB154" s="436"/>
      <c r="BC154" s="436"/>
      <c r="BE154" s="383"/>
      <c r="BF154" s="383"/>
      <c r="BG154" s="383"/>
      <c r="BH154" s="383"/>
      <c r="BI154" s="383"/>
      <c r="BJ154" s="383"/>
      <c r="BK154" s="383"/>
      <c r="BL154" s="383"/>
      <c r="BM154" s="383"/>
      <c r="BN154" s="383"/>
      <c r="BO154" s="383"/>
    </row>
    <row r="155" spans="1:67" x14ac:dyDescent="0.25">
      <c r="A155" s="335">
        <v>5646</v>
      </c>
      <c r="B155" s="425" t="s">
        <v>314</v>
      </c>
      <c r="C155" s="446">
        <v>11682214.710000001</v>
      </c>
      <c r="D155" s="33">
        <v>2558202.9900000002</v>
      </c>
      <c r="E155" s="448"/>
      <c r="F155" s="452">
        <v>0</v>
      </c>
      <c r="G155" s="452">
        <v>-1508660.9</v>
      </c>
      <c r="H155" s="453">
        <v>6602628.0499999998</v>
      </c>
      <c r="I155" s="451">
        <v>714109.59</v>
      </c>
      <c r="J155" s="448">
        <v>418996.58</v>
      </c>
      <c r="K155" s="453">
        <v>94264.9</v>
      </c>
      <c r="L155" s="448">
        <v>1632300.65</v>
      </c>
      <c r="M155" s="422">
        <f t="shared" si="6"/>
        <v>22194056.569999997</v>
      </c>
      <c r="N155" s="446">
        <v>176250.1</v>
      </c>
      <c r="O155" s="446">
        <v>967461.4</v>
      </c>
      <c r="P155" s="446">
        <v>582807.35</v>
      </c>
      <c r="Q155" s="446">
        <v>15012.8</v>
      </c>
      <c r="R155" s="33">
        <v>216281.25</v>
      </c>
      <c r="S155" s="340"/>
      <c r="T155" s="446">
        <v>22910.25</v>
      </c>
      <c r="U155" s="33">
        <v>46950</v>
      </c>
      <c r="V155" s="446"/>
      <c r="W155" s="33"/>
      <c r="X155" s="426">
        <v>1104091.3</v>
      </c>
      <c r="Y155" s="328">
        <f t="shared" si="7"/>
        <v>25325821.02</v>
      </c>
      <c r="Z155" s="33">
        <v>148633.95000000001</v>
      </c>
      <c r="AA155" s="33"/>
      <c r="AB155" s="33">
        <v>805874.61</v>
      </c>
      <c r="AC155" s="33"/>
      <c r="AD155" s="33">
        <v>496099.35</v>
      </c>
      <c r="AE155" s="33">
        <v>94548.4</v>
      </c>
      <c r="AF155" s="33"/>
      <c r="AG155" s="33"/>
      <c r="AH155" s="33"/>
      <c r="AI155" s="33"/>
      <c r="AJ155" s="33"/>
      <c r="AK155" s="33"/>
      <c r="AL155" s="33"/>
      <c r="AM155" s="328">
        <f t="shared" si="8"/>
        <v>1545156.31</v>
      </c>
      <c r="AN155" s="371">
        <v>55</v>
      </c>
      <c r="AO155" s="388">
        <v>5774</v>
      </c>
      <c r="AP155" s="33">
        <v>-231208.23</v>
      </c>
      <c r="AQ155" s="332"/>
      <c r="AR155" s="33">
        <v>-32363.4</v>
      </c>
      <c r="AS155" s="340">
        <v>1</v>
      </c>
      <c r="AT155" s="437"/>
      <c r="AU155" s="438"/>
      <c r="AV155" s="436"/>
      <c r="AW155" s="436"/>
      <c r="AX155" s="436"/>
      <c r="AY155" s="436"/>
      <c r="AZ155" s="436"/>
      <c r="BA155" s="436"/>
      <c r="BB155" s="436"/>
      <c r="BC155" s="436"/>
      <c r="BE155" s="383"/>
      <c r="BF155" s="383"/>
      <c r="BG155" s="383"/>
      <c r="BH155" s="383"/>
      <c r="BI155" s="383"/>
      <c r="BJ155" s="383"/>
      <c r="BK155" s="383"/>
      <c r="BL155" s="383"/>
      <c r="BM155" s="383"/>
      <c r="BN155" s="383"/>
      <c r="BO155" s="383"/>
    </row>
    <row r="156" spans="1:67" x14ac:dyDescent="0.25">
      <c r="A156" s="335">
        <v>5648</v>
      </c>
      <c r="B156" s="425" t="s">
        <v>315</v>
      </c>
      <c r="C156" s="446">
        <v>14326963.560000001</v>
      </c>
      <c r="D156" s="33">
        <v>3241790.31</v>
      </c>
      <c r="E156" s="448"/>
      <c r="F156" s="452">
        <v>0</v>
      </c>
      <c r="G156" s="452">
        <v>714390.9</v>
      </c>
      <c r="H156" s="453">
        <v>347620.7</v>
      </c>
      <c r="I156" s="451">
        <v>334616.83</v>
      </c>
      <c r="J156" s="448">
        <v>510702.23</v>
      </c>
      <c r="K156" s="453">
        <v>107669.8</v>
      </c>
      <c r="L156" s="448">
        <v>1200471.3600000001</v>
      </c>
      <c r="M156" s="422">
        <f t="shared" si="6"/>
        <v>20784225.689999998</v>
      </c>
      <c r="N156" s="446">
        <v>78291.899999999994</v>
      </c>
      <c r="O156" s="446">
        <v>432571.95</v>
      </c>
      <c r="P156" s="446">
        <v>1019805.4</v>
      </c>
      <c r="Q156" s="446">
        <v>11460.43</v>
      </c>
      <c r="R156" s="33">
        <v>877498.95</v>
      </c>
      <c r="S156" s="340"/>
      <c r="T156" s="446">
        <v>1655.65</v>
      </c>
      <c r="U156" s="33">
        <v>19350</v>
      </c>
      <c r="V156" s="446">
        <v>198</v>
      </c>
      <c r="W156" s="33"/>
      <c r="X156" s="417">
        <v>178702.5</v>
      </c>
      <c r="Y156" s="328">
        <f t="shared" si="7"/>
        <v>23403760.469999991</v>
      </c>
      <c r="Z156" s="33">
        <v>484273.35</v>
      </c>
      <c r="AA156" s="33"/>
      <c r="AB156" s="33">
        <v>1184734.46</v>
      </c>
      <c r="AC156" s="33"/>
      <c r="AD156" s="33">
        <v>333060.95</v>
      </c>
      <c r="AE156" s="33"/>
      <c r="AF156" s="33"/>
      <c r="AG156" s="33"/>
      <c r="AH156" s="33">
        <v>266756.15999999997</v>
      </c>
      <c r="AI156" s="33">
        <v>144643.67000000001</v>
      </c>
      <c r="AJ156" s="33"/>
      <c r="AK156" s="33"/>
      <c r="AL156" s="33"/>
      <c r="AM156" s="328">
        <f t="shared" si="8"/>
        <v>2413468.59</v>
      </c>
      <c r="AN156" s="371">
        <v>55</v>
      </c>
      <c r="AO156" s="388">
        <v>4717</v>
      </c>
      <c r="AP156" s="33">
        <v>-136579.99</v>
      </c>
      <c r="AQ156" s="332"/>
      <c r="AR156" s="33">
        <v>-46984.38</v>
      </c>
      <c r="AS156" s="340">
        <v>0.8</v>
      </c>
      <c r="AT156" s="437"/>
      <c r="AU156" s="438"/>
      <c r="AV156" s="436"/>
      <c r="AW156" s="436"/>
      <c r="AX156" s="436"/>
      <c r="AY156" s="436"/>
      <c r="AZ156" s="436"/>
      <c r="BA156" s="436"/>
      <c r="BB156" s="436"/>
      <c r="BC156" s="436"/>
      <c r="BE156" s="383"/>
      <c r="BF156" s="383"/>
      <c r="BG156" s="383"/>
      <c r="BH156" s="383"/>
      <c r="BI156" s="383"/>
      <c r="BJ156" s="383"/>
      <c r="BK156" s="383"/>
      <c r="BL156" s="383"/>
      <c r="BM156" s="383"/>
      <c r="BN156" s="383"/>
      <c r="BO156" s="383"/>
    </row>
    <row r="157" spans="1:67" x14ac:dyDescent="0.25">
      <c r="A157" s="335">
        <v>5649</v>
      </c>
      <c r="B157" s="425" t="s">
        <v>316</v>
      </c>
      <c r="C157" s="446">
        <v>4134747.1</v>
      </c>
      <c r="D157" s="33">
        <v>689558.49</v>
      </c>
      <c r="E157" s="448"/>
      <c r="F157" s="452">
        <v>0</v>
      </c>
      <c r="G157" s="452">
        <v>365334.05</v>
      </c>
      <c r="H157" s="453">
        <v>495430.8</v>
      </c>
      <c r="I157" s="451">
        <v>-56037.05</v>
      </c>
      <c r="J157" s="448">
        <v>410441.92</v>
      </c>
      <c r="K157" s="453">
        <v>62475.1</v>
      </c>
      <c r="L157" s="448">
        <v>556264.69999999995</v>
      </c>
      <c r="M157" s="422">
        <f t="shared" si="6"/>
        <v>6658215.1099999994</v>
      </c>
      <c r="N157" s="446">
        <v>359125.2</v>
      </c>
      <c r="O157" s="446">
        <v>22152.799999999999</v>
      </c>
      <c r="P157" s="446">
        <v>70804.3</v>
      </c>
      <c r="Q157" s="446">
        <v>-5078.16</v>
      </c>
      <c r="R157" s="33">
        <v>60016.75</v>
      </c>
      <c r="S157" s="340"/>
      <c r="T157" s="446">
        <v>2544.5</v>
      </c>
      <c r="U157" s="33">
        <v>3735</v>
      </c>
      <c r="V157" s="446"/>
      <c r="W157" s="33"/>
      <c r="X157" s="417">
        <v>568212</v>
      </c>
      <c r="Y157" s="328">
        <f t="shared" si="7"/>
        <v>7739727.4999999991</v>
      </c>
      <c r="Z157" s="33">
        <v>15189.4</v>
      </c>
      <c r="AA157" s="33"/>
      <c r="AB157" s="33">
        <v>486806.05</v>
      </c>
      <c r="AC157" s="33"/>
      <c r="AD157" s="33">
        <v>103880.6</v>
      </c>
      <c r="AE157" s="33"/>
      <c r="AF157" s="33"/>
      <c r="AG157" s="33"/>
      <c r="AH157" s="33"/>
      <c r="AI157" s="33">
        <v>124511.25</v>
      </c>
      <c r="AJ157" s="33"/>
      <c r="AK157" s="33"/>
      <c r="AL157" s="33"/>
      <c r="AM157" s="328">
        <f t="shared" si="8"/>
        <v>730387.3</v>
      </c>
      <c r="AN157" s="371">
        <v>65</v>
      </c>
      <c r="AO157" s="388">
        <v>1907</v>
      </c>
      <c r="AP157" s="33">
        <v>-79452.100000000006</v>
      </c>
      <c r="AQ157" s="332"/>
      <c r="AR157" s="33">
        <v>-5271.85</v>
      </c>
      <c r="AS157" s="340">
        <v>1</v>
      </c>
      <c r="AT157" s="437"/>
      <c r="AU157" s="438"/>
      <c r="AV157" s="436"/>
      <c r="AW157" s="436"/>
      <c r="AX157" s="436"/>
      <c r="AY157" s="436"/>
      <c r="AZ157" s="436"/>
      <c r="BA157" s="436"/>
      <c r="BB157" s="436"/>
      <c r="BC157" s="436"/>
      <c r="BE157" s="383"/>
      <c r="BF157" s="383"/>
      <c r="BG157" s="383"/>
      <c r="BH157" s="383"/>
      <c r="BI157" s="383"/>
      <c r="BJ157" s="383"/>
      <c r="BK157" s="383"/>
      <c r="BL157" s="383"/>
      <c r="BM157" s="383"/>
      <c r="BN157" s="383"/>
      <c r="BO157" s="383"/>
    </row>
    <row r="158" spans="1:67" s="330" customFormat="1" x14ac:dyDescent="0.25">
      <c r="A158" s="336">
        <v>5650</v>
      </c>
      <c r="B158" s="425" t="s">
        <v>317</v>
      </c>
      <c r="C158" s="446">
        <v>5257910.32</v>
      </c>
      <c r="D158" s="33">
        <v>3741413.5</v>
      </c>
      <c r="E158" s="448"/>
      <c r="F158" s="452">
        <v>0</v>
      </c>
      <c r="G158" s="452">
        <v>-2658.9</v>
      </c>
      <c r="H158" s="453">
        <v>-581.75</v>
      </c>
      <c r="I158" s="451">
        <v>0</v>
      </c>
      <c r="J158" s="448">
        <v>78605.399999999994</v>
      </c>
      <c r="K158" s="453">
        <v>0</v>
      </c>
      <c r="L158" s="448">
        <v>55321.25</v>
      </c>
      <c r="M158" s="422">
        <f t="shared" si="6"/>
        <v>9130009.8200000003</v>
      </c>
      <c r="N158" s="446">
        <v>0</v>
      </c>
      <c r="O158" s="446">
        <v>0</v>
      </c>
      <c r="P158" s="446">
        <v>13849</v>
      </c>
      <c r="Q158" s="446">
        <v>0</v>
      </c>
      <c r="R158" s="33">
        <v>0</v>
      </c>
      <c r="S158" s="340"/>
      <c r="T158" s="446"/>
      <c r="U158" s="33">
        <v>465</v>
      </c>
      <c r="V158" s="446"/>
      <c r="W158" s="33"/>
      <c r="X158" s="417">
        <v>3215.35</v>
      </c>
      <c r="Y158" s="328">
        <f t="shared" si="7"/>
        <v>9147539.1699999999</v>
      </c>
      <c r="Z158" s="329">
        <v>2400</v>
      </c>
      <c r="AA158" s="329"/>
      <c r="AB158" s="329">
        <v>29371</v>
      </c>
      <c r="AC158" s="329"/>
      <c r="AD158" s="329">
        <v>26461.45</v>
      </c>
      <c r="AE158" s="329"/>
      <c r="AF158" s="329"/>
      <c r="AG158" s="329"/>
      <c r="AH158" s="329"/>
      <c r="AI158" s="329"/>
      <c r="AJ158" s="329"/>
      <c r="AK158" s="329"/>
      <c r="AL158" s="329"/>
      <c r="AM158" s="328">
        <f t="shared" si="8"/>
        <v>58232.45</v>
      </c>
      <c r="AN158" s="371">
        <v>56</v>
      </c>
      <c r="AO158" s="1">
        <v>196</v>
      </c>
      <c r="AP158" s="33">
        <v>-3418.06</v>
      </c>
      <c r="AQ158" s="332"/>
      <c r="AR158" s="33">
        <v>0</v>
      </c>
      <c r="AS158" s="340">
        <v>1.25</v>
      </c>
      <c r="AT158" s="437"/>
      <c r="AU158" s="438"/>
      <c r="AV158" s="436"/>
      <c r="AW158" s="436"/>
      <c r="AX158" s="436"/>
      <c r="AY158" s="436"/>
      <c r="AZ158" s="436"/>
      <c r="BA158" s="436"/>
      <c r="BB158" s="436"/>
      <c r="BC158" s="436"/>
      <c r="BE158" s="383"/>
      <c r="BF158" s="383"/>
      <c r="BG158" s="383"/>
      <c r="BH158" s="383"/>
      <c r="BI158" s="383"/>
      <c r="BJ158" s="383"/>
      <c r="BK158" s="383"/>
      <c r="BL158" s="383"/>
      <c r="BM158" s="383"/>
      <c r="BN158" s="383"/>
      <c r="BO158" s="383"/>
    </row>
    <row r="159" spans="1:67" x14ac:dyDescent="0.25">
      <c r="A159" s="335">
        <v>5651</v>
      </c>
      <c r="B159" s="425" t="s">
        <v>318</v>
      </c>
      <c r="C159" s="446">
        <v>2173072.9900000002</v>
      </c>
      <c r="D159" s="33">
        <v>310947.82</v>
      </c>
      <c r="E159" s="448"/>
      <c r="F159" s="452">
        <v>0</v>
      </c>
      <c r="G159" s="452">
        <v>641024.44999999995</v>
      </c>
      <c r="H159" s="453">
        <v>16650.349999999999</v>
      </c>
      <c r="I159" s="451">
        <v>0</v>
      </c>
      <c r="J159" s="448">
        <v>70492.320000000007</v>
      </c>
      <c r="K159" s="453">
        <v>37359.9</v>
      </c>
      <c r="L159" s="448">
        <v>397600.6</v>
      </c>
      <c r="M159" s="422">
        <f t="shared" si="6"/>
        <v>3647148.4299999997</v>
      </c>
      <c r="N159" s="446">
        <v>159294.39999999999</v>
      </c>
      <c r="O159" s="446">
        <v>0</v>
      </c>
      <c r="P159" s="446">
        <v>106095</v>
      </c>
      <c r="Q159" s="446">
        <v>8859.3799999999992</v>
      </c>
      <c r="R159" s="33">
        <v>79948.649999999994</v>
      </c>
      <c r="S159" s="340"/>
      <c r="T159" s="446"/>
      <c r="U159" s="33">
        <v>4640</v>
      </c>
      <c r="V159" s="446"/>
      <c r="W159" s="33"/>
      <c r="X159" s="417">
        <v>66691.05</v>
      </c>
      <c r="Y159" s="328">
        <f t="shared" si="7"/>
        <v>4072676.9099999992</v>
      </c>
      <c r="Z159" s="33"/>
      <c r="AA159" s="33"/>
      <c r="AB159" s="33">
        <v>129111.3</v>
      </c>
      <c r="AC159" s="33"/>
      <c r="AD159" s="33">
        <v>107235.45</v>
      </c>
      <c r="AE159" s="33"/>
      <c r="AF159" s="33"/>
      <c r="AG159" s="33"/>
      <c r="AH159" s="33"/>
      <c r="AI159" s="33"/>
      <c r="AJ159" s="33"/>
      <c r="AK159" s="33"/>
      <c r="AL159" s="33"/>
      <c r="AM159" s="328">
        <f t="shared" si="8"/>
        <v>236346.75</v>
      </c>
      <c r="AN159" s="371">
        <v>62</v>
      </c>
      <c r="AO159" s="388">
        <v>973</v>
      </c>
      <c r="AP159" s="33">
        <v>-84189.47</v>
      </c>
      <c r="AQ159" s="332"/>
      <c r="AR159" s="33">
        <v>-175.33</v>
      </c>
      <c r="AS159" s="340">
        <v>1</v>
      </c>
      <c r="AT159" s="437"/>
      <c r="AU159" s="438"/>
      <c r="AV159" s="436"/>
      <c r="AW159" s="436"/>
      <c r="AX159" s="436"/>
      <c r="AY159" s="436"/>
      <c r="AZ159" s="436"/>
      <c r="BA159" s="436"/>
      <c r="BB159" s="436"/>
      <c r="BC159" s="436"/>
      <c r="BE159" s="383"/>
      <c r="BF159" s="383"/>
      <c r="BG159" s="383"/>
      <c r="BH159" s="383"/>
      <c r="BI159" s="383"/>
      <c r="BJ159" s="383"/>
      <c r="BK159" s="383"/>
      <c r="BL159" s="383"/>
      <c r="BM159" s="383"/>
      <c r="BN159" s="383"/>
      <c r="BO159" s="383"/>
    </row>
    <row r="160" spans="1:67" x14ac:dyDescent="0.25">
      <c r="A160" s="335">
        <v>5652</v>
      </c>
      <c r="B160" s="425" t="s">
        <v>198</v>
      </c>
      <c r="C160" s="446">
        <v>2069820.9</v>
      </c>
      <c r="D160" s="33">
        <v>390738.23</v>
      </c>
      <c r="E160" s="448"/>
      <c r="F160" s="452">
        <v>0</v>
      </c>
      <c r="G160" s="452">
        <v>3584.8</v>
      </c>
      <c r="H160" s="453">
        <v>567.54999999999995</v>
      </c>
      <c r="I160" s="451">
        <v>0</v>
      </c>
      <c r="J160" s="448">
        <v>-47839.44</v>
      </c>
      <c r="K160" s="453">
        <v>863.65</v>
      </c>
      <c r="L160" s="448">
        <v>129890.45</v>
      </c>
      <c r="M160" s="422">
        <f t="shared" si="6"/>
        <v>2547626.1399999997</v>
      </c>
      <c r="N160" s="446">
        <v>3541.45</v>
      </c>
      <c r="O160" s="446">
        <v>744.6</v>
      </c>
      <c r="P160" s="446">
        <v>45085.75</v>
      </c>
      <c r="Q160" s="446">
        <v>6540.02</v>
      </c>
      <c r="R160" s="33">
        <v>19488.400000000001</v>
      </c>
      <c r="S160" s="340"/>
      <c r="T160" s="446">
        <v>471.5</v>
      </c>
      <c r="U160" s="33">
        <v>3800</v>
      </c>
      <c r="V160" s="446"/>
      <c r="W160" s="33"/>
      <c r="X160" s="417">
        <v>2089.4</v>
      </c>
      <c r="Y160" s="328">
        <f t="shared" si="7"/>
        <v>2629387.2599999998</v>
      </c>
      <c r="Z160" s="33">
        <v>21988.9</v>
      </c>
      <c r="AA160" s="33"/>
      <c r="AB160" s="33">
        <v>81777.899999999994</v>
      </c>
      <c r="AC160" s="33"/>
      <c r="AD160" s="33">
        <v>38569.800000000003</v>
      </c>
      <c r="AE160" s="33"/>
      <c r="AF160" s="33"/>
      <c r="AG160" s="33"/>
      <c r="AH160" s="33"/>
      <c r="AI160" s="33"/>
      <c r="AJ160" s="33"/>
      <c r="AK160" s="33"/>
      <c r="AL160" s="33"/>
      <c r="AM160" s="328">
        <f t="shared" si="8"/>
        <v>142336.59999999998</v>
      </c>
      <c r="AN160" s="371">
        <v>76</v>
      </c>
      <c r="AO160" s="388">
        <v>603</v>
      </c>
      <c r="AP160" s="33">
        <v>-30240.560000000001</v>
      </c>
      <c r="AQ160" s="332"/>
      <c r="AR160" s="33">
        <v>-1291.3699999999999</v>
      </c>
      <c r="AS160" s="340">
        <v>1.2</v>
      </c>
      <c r="AT160" s="437"/>
      <c r="AU160" s="438"/>
      <c r="AV160" s="436"/>
      <c r="AW160" s="436"/>
      <c r="AX160" s="436"/>
      <c r="AY160" s="436"/>
      <c r="AZ160" s="436"/>
      <c r="BA160" s="436"/>
      <c r="BB160" s="436"/>
      <c r="BC160" s="436"/>
      <c r="BE160" s="383"/>
      <c r="BF160" s="383"/>
      <c r="BG160" s="383"/>
      <c r="BH160" s="383"/>
      <c r="BI160" s="383"/>
      <c r="BJ160" s="383"/>
      <c r="BK160" s="383"/>
      <c r="BL160" s="383"/>
      <c r="BM160" s="383"/>
      <c r="BN160" s="383"/>
      <c r="BO160" s="383"/>
    </row>
    <row r="161" spans="1:67" x14ac:dyDescent="0.25">
      <c r="A161" s="335">
        <v>5653</v>
      </c>
      <c r="B161" s="425" t="s">
        <v>199</v>
      </c>
      <c r="C161" s="33">
        <v>2868871.0700000003</v>
      </c>
      <c r="D161" s="33">
        <v>975936.21</v>
      </c>
      <c r="E161" s="448"/>
      <c r="F161" s="452">
        <v>0</v>
      </c>
      <c r="G161" s="452">
        <v>48681.7</v>
      </c>
      <c r="H161" s="453">
        <v>6040.8</v>
      </c>
      <c r="I161" s="451">
        <v>122474.25</v>
      </c>
      <c r="J161" s="448">
        <v>45635.3</v>
      </c>
      <c r="K161" s="453">
        <v>3412.75</v>
      </c>
      <c r="L161" s="448">
        <v>201464.8</v>
      </c>
      <c r="M161" s="422">
        <f t="shared" si="6"/>
        <v>4272516.88</v>
      </c>
      <c r="N161" s="446">
        <v>1599.2</v>
      </c>
      <c r="O161" s="446">
        <v>1641167.4</v>
      </c>
      <c r="P161" s="446">
        <v>108889</v>
      </c>
      <c r="Q161" s="446">
        <v>0</v>
      </c>
      <c r="R161" s="33">
        <v>75926.100000000006</v>
      </c>
      <c r="S161" s="340"/>
      <c r="T161" s="446"/>
      <c r="U161" s="33">
        <v>5450</v>
      </c>
      <c r="V161" s="446"/>
      <c r="W161" s="33"/>
      <c r="X161" s="417">
        <v>2333.0500000000002</v>
      </c>
      <c r="Y161" s="328">
        <f t="shared" si="7"/>
        <v>6107881.6299999999</v>
      </c>
      <c r="Z161" s="329">
        <v>32674.2</v>
      </c>
      <c r="AA161" s="329" t="s">
        <v>599</v>
      </c>
      <c r="AB161" s="329">
        <v>111567.35</v>
      </c>
      <c r="AC161" s="329" t="s">
        <v>599</v>
      </c>
      <c r="AD161" s="329">
        <v>65215.65</v>
      </c>
      <c r="AE161" s="329" t="s">
        <v>599</v>
      </c>
      <c r="AF161" s="329" t="s">
        <v>599</v>
      </c>
      <c r="AG161" s="329" t="s">
        <v>599</v>
      </c>
      <c r="AH161" s="329" t="s">
        <v>599</v>
      </c>
      <c r="AI161" s="329"/>
      <c r="AJ161" s="329"/>
      <c r="AK161" s="329"/>
      <c r="AL161" s="329"/>
      <c r="AM161" s="328">
        <f t="shared" si="8"/>
        <v>209457.2</v>
      </c>
      <c r="AN161" s="371">
        <v>60</v>
      </c>
      <c r="AO161" s="388">
        <v>883</v>
      </c>
      <c r="AP161" s="33">
        <v>-2683.39</v>
      </c>
      <c r="AQ161" s="332"/>
      <c r="AR161" s="33">
        <v>-10523.06</v>
      </c>
      <c r="AS161" s="340">
        <v>0.8</v>
      </c>
      <c r="AT161" s="437"/>
      <c r="AU161" s="438"/>
      <c r="AV161" s="436"/>
      <c r="AW161" s="436"/>
      <c r="AX161" s="436"/>
      <c r="AY161" s="436"/>
      <c r="AZ161" s="436"/>
      <c r="BA161" s="436"/>
      <c r="BB161" s="436"/>
      <c r="BC161" s="436"/>
      <c r="BE161" s="383"/>
      <c r="BF161" s="383"/>
      <c r="BG161" s="383"/>
      <c r="BH161" s="383"/>
      <c r="BI161" s="383"/>
      <c r="BJ161" s="383"/>
      <c r="BK161" s="383"/>
      <c r="BL161" s="383"/>
      <c r="BM161" s="383"/>
      <c r="BN161" s="383"/>
      <c r="BO161" s="383"/>
    </row>
    <row r="162" spans="1:67" x14ac:dyDescent="0.25">
      <c r="A162" s="335">
        <v>5654</v>
      </c>
      <c r="B162" s="425" t="s">
        <v>200</v>
      </c>
      <c r="C162" s="446">
        <v>1066349.29</v>
      </c>
      <c r="D162" s="33">
        <v>161548.79</v>
      </c>
      <c r="E162" s="448"/>
      <c r="F162" s="452">
        <v>0</v>
      </c>
      <c r="G162" s="452">
        <v>3300.7</v>
      </c>
      <c r="H162" s="453">
        <v>960.5</v>
      </c>
      <c r="I162" s="451">
        <v>0</v>
      </c>
      <c r="J162" s="448">
        <v>28665.41</v>
      </c>
      <c r="K162" s="453">
        <v>1512.45</v>
      </c>
      <c r="L162" s="448">
        <v>101901.1</v>
      </c>
      <c r="M162" s="422">
        <f t="shared" si="6"/>
        <v>1364238.24</v>
      </c>
      <c r="N162" s="446">
        <v>6198.3</v>
      </c>
      <c r="O162" s="446">
        <v>7570.4</v>
      </c>
      <c r="P162" s="446">
        <v>30107</v>
      </c>
      <c r="Q162" s="446">
        <v>12677.46</v>
      </c>
      <c r="R162" s="33">
        <v>12263.3</v>
      </c>
      <c r="S162" s="340"/>
      <c r="T162" s="446">
        <v>1144</v>
      </c>
      <c r="U162" s="33">
        <v>4100</v>
      </c>
      <c r="V162" s="446"/>
      <c r="W162" s="33"/>
      <c r="X162" s="417">
        <v>3828.25</v>
      </c>
      <c r="Y162" s="328">
        <f t="shared" si="7"/>
        <v>1442126.95</v>
      </c>
      <c r="Z162" s="33">
        <v>33338.25</v>
      </c>
      <c r="AA162" s="33"/>
      <c r="AB162" s="33">
        <v>161905.4</v>
      </c>
      <c r="AC162" s="33"/>
      <c r="AD162" s="33">
        <v>25445</v>
      </c>
      <c r="AE162" s="33">
        <v>16000</v>
      </c>
      <c r="AF162" s="33"/>
      <c r="AG162" s="33"/>
      <c r="AH162" s="33"/>
      <c r="AI162" s="33">
        <v>13414.9</v>
      </c>
      <c r="AJ162" s="33"/>
      <c r="AK162" s="33"/>
      <c r="AL162" s="33"/>
      <c r="AM162" s="328">
        <f t="shared" si="8"/>
        <v>250103.55</v>
      </c>
      <c r="AN162" s="371">
        <v>76</v>
      </c>
      <c r="AO162" s="388">
        <v>513</v>
      </c>
      <c r="AP162" s="33">
        <v>-7285.54</v>
      </c>
      <c r="AQ162" s="332"/>
      <c r="AR162" s="33">
        <v>-335.82</v>
      </c>
      <c r="AS162" s="340">
        <v>1</v>
      </c>
      <c r="AT162" s="437"/>
      <c r="AU162" s="438"/>
      <c r="AV162" s="436"/>
      <c r="AW162" s="436"/>
      <c r="AX162" s="436"/>
      <c r="AY162" s="436"/>
      <c r="AZ162" s="436"/>
      <c r="BA162" s="436"/>
      <c r="BB162" s="436"/>
      <c r="BC162" s="436"/>
      <c r="BE162" s="383"/>
      <c r="BF162" s="383"/>
      <c r="BG162" s="383"/>
      <c r="BH162" s="383"/>
      <c r="BI162" s="383"/>
      <c r="BJ162" s="383"/>
      <c r="BK162" s="383"/>
      <c r="BL162" s="383"/>
      <c r="BM162" s="383"/>
      <c r="BN162" s="383"/>
      <c r="BO162" s="383"/>
    </row>
    <row r="163" spans="1:67" x14ac:dyDescent="0.25">
      <c r="A163" s="335">
        <v>5655</v>
      </c>
      <c r="B163" s="425" t="s">
        <v>201</v>
      </c>
      <c r="C163" s="446">
        <v>4393546.57</v>
      </c>
      <c r="D163" s="33">
        <v>714385.25</v>
      </c>
      <c r="E163" s="448"/>
      <c r="F163" s="452">
        <v>0</v>
      </c>
      <c r="G163" s="452">
        <v>49202.2</v>
      </c>
      <c r="H163" s="453">
        <v>4358.8</v>
      </c>
      <c r="I163" s="451">
        <v>67621.55</v>
      </c>
      <c r="J163" s="448">
        <v>6472.53</v>
      </c>
      <c r="K163" s="453">
        <v>8380.2999999999993</v>
      </c>
      <c r="L163" s="448">
        <v>397516.65</v>
      </c>
      <c r="M163" s="422">
        <f t="shared" si="6"/>
        <v>5641483.8500000006</v>
      </c>
      <c r="N163" s="446">
        <v>61074.9</v>
      </c>
      <c r="O163" s="446">
        <v>39902.199999999997</v>
      </c>
      <c r="P163" s="446">
        <v>238146.9</v>
      </c>
      <c r="Q163" s="446">
        <v>4258.6000000000004</v>
      </c>
      <c r="R163" s="33">
        <v>213875.35</v>
      </c>
      <c r="S163" s="340"/>
      <c r="T163" s="446"/>
      <c r="U163" s="33">
        <v>6960</v>
      </c>
      <c r="V163" s="446"/>
      <c r="W163" s="33"/>
      <c r="X163" s="417">
        <v>23646.7</v>
      </c>
      <c r="Y163" s="328">
        <f t="shared" si="7"/>
        <v>6229348.5000000009</v>
      </c>
      <c r="Z163" s="33">
        <v>13426.55</v>
      </c>
      <c r="AA163" s="33"/>
      <c r="AB163" s="33">
        <v>179511.7</v>
      </c>
      <c r="AC163" s="33"/>
      <c r="AD163" s="33">
        <v>104226.4</v>
      </c>
      <c r="AE163" s="33">
        <v>21766.5</v>
      </c>
      <c r="AF163" s="33"/>
      <c r="AG163" s="33"/>
      <c r="AH163" s="33"/>
      <c r="AI163" s="33"/>
      <c r="AJ163" s="33"/>
      <c r="AK163" s="33"/>
      <c r="AL163" s="33"/>
      <c r="AM163" s="328">
        <f t="shared" si="8"/>
        <v>318931.15000000002</v>
      </c>
      <c r="AN163" s="371">
        <v>73</v>
      </c>
      <c r="AO163" s="388">
        <v>1477</v>
      </c>
      <c r="AP163" s="33">
        <v>-21967.68</v>
      </c>
      <c r="AQ163" s="332"/>
      <c r="AR163" s="33">
        <v>-9516.2199999999993</v>
      </c>
      <c r="AS163" s="340">
        <v>1</v>
      </c>
      <c r="AT163" s="437"/>
      <c r="AU163" s="438"/>
      <c r="AV163" s="436"/>
      <c r="AW163" s="436"/>
      <c r="AX163" s="436"/>
      <c r="AY163" s="436"/>
      <c r="AZ163" s="436"/>
      <c r="BA163" s="436"/>
      <c r="BB163" s="436"/>
      <c r="BC163" s="436"/>
      <c r="BE163" s="383"/>
      <c r="BF163" s="383"/>
      <c r="BG163" s="383"/>
      <c r="BH163" s="383"/>
      <c r="BI163" s="383"/>
      <c r="BJ163" s="383"/>
      <c r="BK163" s="383"/>
      <c r="BL163" s="383"/>
      <c r="BM163" s="383"/>
      <c r="BN163" s="383"/>
      <c r="BO163" s="383"/>
    </row>
    <row r="164" spans="1:67" x14ac:dyDescent="0.25">
      <c r="A164" s="335">
        <v>5661</v>
      </c>
      <c r="B164" s="425" t="s">
        <v>202</v>
      </c>
      <c r="C164" s="446">
        <v>612266.23</v>
      </c>
      <c r="D164" s="33">
        <v>53720</v>
      </c>
      <c r="E164" s="448"/>
      <c r="F164" s="452">
        <v>0</v>
      </c>
      <c r="G164" s="452">
        <v>1682.1</v>
      </c>
      <c r="H164" s="453">
        <v>188</v>
      </c>
      <c r="I164" s="451">
        <v>0</v>
      </c>
      <c r="J164" s="448">
        <v>9757.7800000000007</v>
      </c>
      <c r="K164" s="453">
        <v>425</v>
      </c>
      <c r="L164" s="448">
        <v>55213</v>
      </c>
      <c r="M164" s="422">
        <f t="shared" si="6"/>
        <v>733252.11</v>
      </c>
      <c r="N164" s="446">
        <v>16467.349999999999</v>
      </c>
      <c r="O164" s="446">
        <v>557.70000000000005</v>
      </c>
      <c r="P164" s="446">
        <v>1925</v>
      </c>
      <c r="Q164" s="446">
        <v>1204.74</v>
      </c>
      <c r="R164" s="33">
        <v>0</v>
      </c>
      <c r="S164" s="340"/>
      <c r="T164" s="446"/>
      <c r="U164" s="33">
        <v>4600</v>
      </c>
      <c r="V164" s="446"/>
      <c r="W164" s="33"/>
      <c r="X164" s="417">
        <v>478.4</v>
      </c>
      <c r="Y164" s="328">
        <f t="shared" si="7"/>
        <v>758485.29999999993</v>
      </c>
      <c r="Z164" s="33">
        <v>34000</v>
      </c>
      <c r="AA164" s="33"/>
      <c r="AB164" s="33">
        <v>34827.85</v>
      </c>
      <c r="AC164" s="33"/>
      <c r="AD164" s="33">
        <v>27210.1</v>
      </c>
      <c r="AE164" s="33"/>
      <c r="AF164" s="33"/>
      <c r="AG164" s="33"/>
      <c r="AH164" s="33"/>
      <c r="AI164" s="33"/>
      <c r="AJ164" s="33"/>
      <c r="AK164" s="33"/>
      <c r="AL164" s="33"/>
      <c r="AM164" s="328">
        <f t="shared" si="8"/>
        <v>96037.950000000012</v>
      </c>
      <c r="AN164" s="371">
        <v>73</v>
      </c>
      <c r="AO164" s="388">
        <v>361</v>
      </c>
      <c r="AP164" s="33">
        <v>-17.5</v>
      </c>
      <c r="AQ164" s="332"/>
      <c r="AR164" s="33">
        <v>0</v>
      </c>
      <c r="AS164" s="340">
        <v>1</v>
      </c>
      <c r="AT164" s="437"/>
      <c r="AU164" s="438"/>
      <c r="AV164" s="436"/>
      <c r="AW164" s="436"/>
      <c r="AX164" s="436"/>
      <c r="AY164" s="436"/>
      <c r="AZ164" s="436"/>
      <c r="BA164" s="436"/>
      <c r="BB164" s="436"/>
      <c r="BC164" s="436"/>
      <c r="BE164" s="383"/>
      <c r="BF164" s="383"/>
      <c r="BG164" s="383"/>
      <c r="BH164" s="383"/>
      <c r="BI164" s="383"/>
      <c r="BJ164" s="383"/>
      <c r="BK164" s="383"/>
      <c r="BL164" s="383"/>
      <c r="BM164" s="383"/>
      <c r="BN164" s="383"/>
      <c r="BO164" s="383"/>
    </row>
    <row r="165" spans="1:67" x14ac:dyDescent="0.25">
      <c r="A165" s="335">
        <v>5663</v>
      </c>
      <c r="B165" s="425" t="s">
        <v>203</v>
      </c>
      <c r="C165" s="446">
        <v>419862.98</v>
      </c>
      <c r="D165" s="33">
        <v>44827.41</v>
      </c>
      <c r="E165" s="448"/>
      <c r="F165" s="452">
        <v>1360</v>
      </c>
      <c r="G165" s="452">
        <v>12597.85</v>
      </c>
      <c r="H165" s="453">
        <v>691.3</v>
      </c>
      <c r="I165" s="451">
        <v>0</v>
      </c>
      <c r="J165" s="448">
        <v>7572.79</v>
      </c>
      <c r="K165" s="453">
        <v>67.650000000000006</v>
      </c>
      <c r="L165" s="448">
        <v>30402.7</v>
      </c>
      <c r="M165" s="422">
        <f t="shared" si="6"/>
        <v>517382.68</v>
      </c>
      <c r="N165" s="446">
        <v>0</v>
      </c>
      <c r="O165" s="446">
        <v>0</v>
      </c>
      <c r="P165" s="446">
        <v>21339.95</v>
      </c>
      <c r="Q165" s="446">
        <v>-0.32</v>
      </c>
      <c r="R165" s="33">
        <v>24054.2</v>
      </c>
      <c r="S165" s="340"/>
      <c r="T165" s="446">
        <v>150</v>
      </c>
      <c r="U165" s="33">
        <v>1290</v>
      </c>
      <c r="V165" s="446"/>
      <c r="W165" s="33"/>
      <c r="X165" s="417">
        <v>699.05</v>
      </c>
      <c r="Y165" s="328">
        <f t="shared" si="7"/>
        <v>564915.56000000006</v>
      </c>
      <c r="Z165" s="33">
        <v>3496</v>
      </c>
      <c r="AA165" s="33" t="s">
        <v>599</v>
      </c>
      <c r="AB165" s="33">
        <v>29024.65</v>
      </c>
      <c r="AC165" s="33" t="s">
        <v>599</v>
      </c>
      <c r="AD165" s="33">
        <v>19156.5</v>
      </c>
      <c r="AE165" s="33"/>
      <c r="AF165" s="33"/>
      <c r="AG165" s="33"/>
      <c r="AH165" s="33"/>
      <c r="AI165" s="33"/>
      <c r="AJ165" s="33"/>
      <c r="AK165" s="33"/>
      <c r="AL165" s="33"/>
      <c r="AM165" s="328">
        <f t="shared" si="8"/>
        <v>51677.15</v>
      </c>
      <c r="AN165" s="371">
        <v>80</v>
      </c>
      <c r="AO165" s="388">
        <v>218</v>
      </c>
      <c r="AP165" s="33">
        <v>-9479.2199999999993</v>
      </c>
      <c r="AQ165" s="332"/>
      <c r="AR165" s="33">
        <v>0</v>
      </c>
      <c r="AS165" s="340">
        <v>1</v>
      </c>
      <c r="AT165" s="437"/>
      <c r="AU165" s="438"/>
      <c r="AV165" s="436"/>
      <c r="AW165" s="436"/>
      <c r="AX165" s="436"/>
      <c r="AY165" s="436"/>
      <c r="AZ165" s="439"/>
      <c r="BA165" s="436"/>
      <c r="BB165" s="436"/>
      <c r="BC165" s="436"/>
      <c r="BE165" s="383"/>
      <c r="BF165" s="383"/>
      <c r="BG165" s="383"/>
      <c r="BH165" s="383"/>
      <c r="BI165" s="383"/>
      <c r="BJ165" s="383"/>
      <c r="BK165" s="383"/>
      <c r="BL165" s="383"/>
      <c r="BM165" s="383"/>
      <c r="BN165" s="383"/>
      <c r="BO165" s="383"/>
    </row>
    <row r="166" spans="1:67" x14ac:dyDescent="0.25">
      <c r="A166" s="335">
        <v>5665</v>
      </c>
      <c r="B166" s="425" t="s">
        <v>97</v>
      </c>
      <c r="C166" s="446">
        <v>271366.78000000003</v>
      </c>
      <c r="D166" s="33">
        <v>42894.93</v>
      </c>
      <c r="E166" s="448"/>
      <c r="F166" s="452">
        <v>0</v>
      </c>
      <c r="G166" s="452">
        <v>-145.15</v>
      </c>
      <c r="H166" s="453">
        <v>33.700000000000003</v>
      </c>
      <c r="I166" s="451">
        <v>0</v>
      </c>
      <c r="J166" s="448">
        <v>6370.32</v>
      </c>
      <c r="K166" s="453">
        <v>4.5</v>
      </c>
      <c r="L166" s="448">
        <v>24517.7</v>
      </c>
      <c r="M166" s="422">
        <f t="shared" si="6"/>
        <v>345042.78</v>
      </c>
      <c r="N166" s="446">
        <v>0</v>
      </c>
      <c r="O166" s="446">
        <v>0</v>
      </c>
      <c r="P166" s="446">
        <v>12534.55</v>
      </c>
      <c r="Q166" s="446">
        <v>0</v>
      </c>
      <c r="R166" s="33">
        <v>16966.8</v>
      </c>
      <c r="S166" s="340">
        <v>250</v>
      </c>
      <c r="T166" s="446"/>
      <c r="U166" s="33">
        <v>900</v>
      </c>
      <c r="V166" s="446"/>
      <c r="W166" s="33"/>
      <c r="X166" s="417">
        <v>663.05</v>
      </c>
      <c r="Y166" s="328">
        <f t="shared" si="7"/>
        <v>376357.18</v>
      </c>
      <c r="Z166" s="33"/>
      <c r="AA166" s="33"/>
      <c r="AB166" s="33">
        <v>15966.25</v>
      </c>
      <c r="AC166" s="33"/>
      <c r="AD166" s="33">
        <v>20848.75</v>
      </c>
      <c r="AE166" s="33"/>
      <c r="AF166" s="33"/>
      <c r="AG166" s="33"/>
      <c r="AH166" s="33"/>
      <c r="AI166" s="33"/>
      <c r="AJ166" s="33"/>
      <c r="AK166" s="33"/>
      <c r="AL166" s="33"/>
      <c r="AM166" s="328">
        <f t="shared" si="8"/>
        <v>36815</v>
      </c>
      <c r="AN166" s="371">
        <v>73</v>
      </c>
      <c r="AO166" s="388">
        <v>210</v>
      </c>
      <c r="AP166" s="33">
        <v>-58.23</v>
      </c>
      <c r="AQ166" s="332"/>
      <c r="AR166" s="33">
        <v>0</v>
      </c>
      <c r="AS166" s="340">
        <v>1</v>
      </c>
      <c r="AT166" s="437"/>
      <c r="AU166" s="438"/>
      <c r="AV166" s="436"/>
      <c r="AW166" s="436"/>
      <c r="AX166" s="436"/>
      <c r="AY166" s="436"/>
      <c r="AZ166" s="436"/>
      <c r="BA166" s="436"/>
      <c r="BB166" s="436"/>
      <c r="BC166" s="436"/>
      <c r="BE166" s="383"/>
      <c r="BF166" s="383"/>
      <c r="BG166" s="383"/>
      <c r="BH166" s="383"/>
      <c r="BI166" s="383"/>
      <c r="BJ166" s="383"/>
      <c r="BK166" s="383"/>
      <c r="BL166" s="383"/>
      <c r="BM166" s="383"/>
      <c r="BN166" s="383"/>
      <c r="BO166" s="383"/>
    </row>
    <row r="167" spans="1:67" x14ac:dyDescent="0.25">
      <c r="A167" s="335">
        <v>5669</v>
      </c>
      <c r="B167" s="425" t="s">
        <v>98</v>
      </c>
      <c r="C167" s="446">
        <v>571082.85</v>
      </c>
      <c r="D167" s="33">
        <v>138671.89000000001</v>
      </c>
      <c r="E167" s="448"/>
      <c r="F167" s="452">
        <v>0</v>
      </c>
      <c r="G167" s="452">
        <v>1524.5</v>
      </c>
      <c r="H167" s="453">
        <v>496.3</v>
      </c>
      <c r="I167" s="451">
        <v>0</v>
      </c>
      <c r="J167" s="448">
        <v>8617.1</v>
      </c>
      <c r="K167" s="453">
        <v>356.7</v>
      </c>
      <c r="L167" s="448">
        <v>23309.85</v>
      </c>
      <c r="M167" s="422">
        <f t="shared" si="6"/>
        <v>744059.19</v>
      </c>
      <c r="N167" s="446">
        <v>0</v>
      </c>
      <c r="O167" s="446">
        <v>0</v>
      </c>
      <c r="P167" s="446">
        <v>12328.35</v>
      </c>
      <c r="Q167" s="446">
        <v>0</v>
      </c>
      <c r="R167" s="33">
        <v>2904.75</v>
      </c>
      <c r="S167" s="340"/>
      <c r="T167" s="446"/>
      <c r="U167" s="33">
        <v>3950</v>
      </c>
      <c r="V167" s="446"/>
      <c r="W167" s="33"/>
      <c r="X167" s="417">
        <v>1831.95</v>
      </c>
      <c r="Y167" s="328">
        <f t="shared" si="7"/>
        <v>765074.23999999987</v>
      </c>
      <c r="Z167" s="33"/>
      <c r="AA167" s="33"/>
      <c r="AB167" s="33">
        <v>21126.85</v>
      </c>
      <c r="AC167" s="33"/>
      <c r="AD167" s="33">
        <v>27473.3</v>
      </c>
      <c r="AE167" s="33">
        <v>298.64999999999998</v>
      </c>
      <c r="AF167" s="33"/>
      <c r="AG167" s="33"/>
      <c r="AH167" s="33"/>
      <c r="AI167" s="33"/>
      <c r="AJ167" s="33"/>
      <c r="AK167" s="33"/>
      <c r="AL167" s="33"/>
      <c r="AM167" s="328">
        <f t="shared" si="8"/>
        <v>48898.799999999996</v>
      </c>
      <c r="AN167" s="371">
        <v>75</v>
      </c>
      <c r="AO167" s="388">
        <v>310</v>
      </c>
      <c r="AP167" s="33">
        <v>-18897.330000000002</v>
      </c>
      <c r="AQ167" s="332"/>
      <c r="AR167" s="33">
        <v>-138.72999999999999</v>
      </c>
      <c r="AS167" s="340">
        <v>0.5</v>
      </c>
      <c r="AT167" s="437"/>
      <c r="AU167" s="438"/>
      <c r="AV167" s="436"/>
      <c r="AW167" s="436"/>
      <c r="AX167" s="436"/>
      <c r="AY167" s="436"/>
      <c r="AZ167" s="439"/>
      <c r="BA167" s="436"/>
      <c r="BB167" s="436"/>
      <c r="BC167" s="436"/>
      <c r="BE167" s="383"/>
      <c r="BF167" s="383"/>
      <c r="BG167" s="383"/>
      <c r="BH167" s="383"/>
      <c r="BI167" s="383"/>
      <c r="BJ167" s="383"/>
      <c r="BK167" s="383"/>
      <c r="BL167" s="383"/>
      <c r="BM167" s="383"/>
      <c r="BN167" s="383"/>
      <c r="BO167" s="383"/>
    </row>
    <row r="168" spans="1:67" x14ac:dyDescent="0.25">
      <c r="A168" s="335">
        <v>5671</v>
      </c>
      <c r="B168" s="425" t="s">
        <v>99</v>
      </c>
      <c r="C168" s="446">
        <v>445322.88</v>
      </c>
      <c r="D168" s="33">
        <v>54393.32</v>
      </c>
      <c r="E168" s="448"/>
      <c r="F168" s="452">
        <v>0</v>
      </c>
      <c r="G168" s="452">
        <v>5667</v>
      </c>
      <c r="H168" s="453">
        <v>130.1</v>
      </c>
      <c r="I168" s="451">
        <v>0</v>
      </c>
      <c r="J168" s="448">
        <v>-1378.84</v>
      </c>
      <c r="K168" s="453">
        <v>223.5</v>
      </c>
      <c r="L168" s="448">
        <v>32609.200000000001</v>
      </c>
      <c r="M168" s="422">
        <f t="shared" si="6"/>
        <v>536967.15999999992</v>
      </c>
      <c r="N168" s="446">
        <v>0</v>
      </c>
      <c r="O168" s="446">
        <v>0</v>
      </c>
      <c r="P168" s="446">
        <v>19723</v>
      </c>
      <c r="Q168" s="446">
        <v>169.8</v>
      </c>
      <c r="R168" s="33">
        <v>28291.05</v>
      </c>
      <c r="S168" s="340"/>
      <c r="T168" s="446"/>
      <c r="U168" s="33">
        <v>2565</v>
      </c>
      <c r="V168" s="446"/>
      <c r="W168" s="33"/>
      <c r="X168" s="417">
        <v>2753.5</v>
      </c>
      <c r="Y168" s="328">
        <f t="shared" si="7"/>
        <v>590469.51</v>
      </c>
      <c r="Z168" s="33">
        <v>6000</v>
      </c>
      <c r="AA168" s="33"/>
      <c r="AB168" s="33">
        <v>12185</v>
      </c>
      <c r="AC168" s="33"/>
      <c r="AD168" s="33">
        <v>16423.650000000001</v>
      </c>
      <c r="AE168" s="33"/>
      <c r="AF168" s="33"/>
      <c r="AG168" s="33"/>
      <c r="AH168" s="33"/>
      <c r="AI168" s="33"/>
      <c r="AJ168" s="33"/>
      <c r="AK168" s="33"/>
      <c r="AL168" s="33"/>
      <c r="AM168" s="328">
        <f t="shared" si="8"/>
        <v>34608.65</v>
      </c>
      <c r="AN168" s="371">
        <v>80</v>
      </c>
      <c r="AO168" s="388">
        <v>232</v>
      </c>
      <c r="AP168" s="33">
        <v>-14179.7</v>
      </c>
      <c r="AQ168" s="332"/>
      <c r="AR168" s="33">
        <v>0</v>
      </c>
      <c r="AS168" s="340">
        <v>1</v>
      </c>
      <c r="AT168" s="437"/>
      <c r="AU168" s="438"/>
      <c r="AV168" s="436"/>
      <c r="AW168" s="436"/>
      <c r="AX168" s="436"/>
      <c r="AY168" s="436"/>
      <c r="AZ168" s="436"/>
      <c r="BA168" s="436"/>
      <c r="BB168" s="436"/>
      <c r="BC168" s="436"/>
      <c r="BE168" s="383"/>
      <c r="BF168" s="383"/>
      <c r="BG168" s="383"/>
      <c r="BH168" s="383"/>
      <c r="BI168" s="383"/>
      <c r="BJ168" s="383"/>
      <c r="BK168" s="383"/>
      <c r="BL168" s="383"/>
      <c r="BM168" s="383"/>
      <c r="BN168" s="383"/>
      <c r="BO168" s="383"/>
    </row>
    <row r="169" spans="1:67" x14ac:dyDescent="0.25">
      <c r="A169" s="335">
        <v>5673</v>
      </c>
      <c r="B169" s="425" t="s">
        <v>100</v>
      </c>
      <c r="C169" s="446">
        <v>629630.09</v>
      </c>
      <c r="D169" s="33">
        <v>86265.72</v>
      </c>
      <c r="E169" s="448"/>
      <c r="F169" s="452">
        <v>1940</v>
      </c>
      <c r="G169" s="452">
        <v>2666.7</v>
      </c>
      <c r="H169" s="453">
        <v>537.1</v>
      </c>
      <c r="I169" s="451">
        <v>0</v>
      </c>
      <c r="J169" s="448">
        <v>-2566.7800000000002</v>
      </c>
      <c r="K169" s="453">
        <v>7.5</v>
      </c>
      <c r="L169" s="448">
        <v>28093.8</v>
      </c>
      <c r="M169" s="422">
        <f t="shared" si="6"/>
        <v>746574.12999999989</v>
      </c>
      <c r="N169" s="446">
        <v>17325.349999999999</v>
      </c>
      <c r="O169" s="446">
        <v>1115.5</v>
      </c>
      <c r="P169" s="446">
        <v>21242.45</v>
      </c>
      <c r="Q169" s="446">
        <v>417.37</v>
      </c>
      <c r="R169" s="33">
        <v>13870.5</v>
      </c>
      <c r="S169" s="340"/>
      <c r="T169" s="446">
        <v>340</v>
      </c>
      <c r="U169" s="33">
        <v>1375</v>
      </c>
      <c r="V169" s="446"/>
      <c r="W169" s="33"/>
      <c r="X169" s="417">
        <v>277.2</v>
      </c>
      <c r="Y169" s="328">
        <f t="shared" si="7"/>
        <v>802537.49999999977</v>
      </c>
      <c r="Z169" s="33">
        <v>17500</v>
      </c>
      <c r="AA169" s="33"/>
      <c r="AB169" s="33">
        <v>63042.7</v>
      </c>
      <c r="AC169" s="33"/>
      <c r="AD169" s="33">
        <v>23198.1</v>
      </c>
      <c r="AE169" s="33"/>
      <c r="AF169" s="33"/>
      <c r="AG169" s="33"/>
      <c r="AH169" s="33"/>
      <c r="AI169" s="33"/>
      <c r="AJ169" s="33"/>
      <c r="AK169" s="33"/>
      <c r="AL169" s="33"/>
      <c r="AM169" s="328">
        <f t="shared" si="8"/>
        <v>103740.79999999999</v>
      </c>
      <c r="AN169" s="371">
        <v>75</v>
      </c>
      <c r="AO169" s="388">
        <v>367</v>
      </c>
      <c r="AP169" s="33">
        <v>-22722.15</v>
      </c>
      <c r="AQ169" s="332"/>
      <c r="AR169" s="33">
        <v>-48.33</v>
      </c>
      <c r="AS169" s="340">
        <v>0.6</v>
      </c>
      <c r="AT169" s="437"/>
      <c r="AU169" s="438"/>
      <c r="AV169" s="441"/>
      <c r="AW169" s="441"/>
      <c r="AX169" s="441"/>
      <c r="AY169" s="441"/>
      <c r="AZ169" s="442"/>
      <c r="BA169" s="441"/>
      <c r="BB169" s="441"/>
      <c r="BC169" s="441"/>
      <c r="BE169" s="383"/>
      <c r="BF169" s="383"/>
      <c r="BG169" s="383"/>
      <c r="BH169" s="383"/>
      <c r="BI169" s="383"/>
      <c r="BJ169" s="383"/>
      <c r="BK169" s="383"/>
      <c r="BL169" s="383"/>
      <c r="BM169" s="383"/>
      <c r="BN169" s="383"/>
      <c r="BO169" s="383"/>
    </row>
    <row r="170" spans="1:67" x14ac:dyDescent="0.25">
      <c r="A170" s="335">
        <v>5674</v>
      </c>
      <c r="B170" s="425" t="s">
        <v>101</v>
      </c>
      <c r="C170" s="446">
        <v>183613.86</v>
      </c>
      <c r="D170" s="33">
        <v>42933.15</v>
      </c>
      <c r="E170" s="448"/>
      <c r="F170" s="452">
        <v>0</v>
      </c>
      <c r="G170" s="452">
        <v>-572.25</v>
      </c>
      <c r="H170" s="453">
        <v>111.25</v>
      </c>
      <c r="I170" s="451">
        <v>0</v>
      </c>
      <c r="J170" s="448">
        <v>-3248.21</v>
      </c>
      <c r="K170" s="453">
        <v>64.099999999999994</v>
      </c>
      <c r="L170" s="448">
        <v>12647.6</v>
      </c>
      <c r="M170" s="422">
        <f t="shared" si="6"/>
        <v>235549.5</v>
      </c>
      <c r="N170" s="446">
        <v>0</v>
      </c>
      <c r="O170" s="446">
        <v>0</v>
      </c>
      <c r="P170" s="446">
        <v>189.35</v>
      </c>
      <c r="Q170" s="446">
        <v>0</v>
      </c>
      <c r="R170" s="33">
        <v>0</v>
      </c>
      <c r="S170" s="340"/>
      <c r="T170" s="446"/>
      <c r="U170" s="33">
        <v>702.5</v>
      </c>
      <c r="V170" s="446"/>
      <c r="W170" s="33"/>
      <c r="X170" s="417">
        <v>174.8</v>
      </c>
      <c r="Y170" s="328">
        <f t="shared" si="7"/>
        <v>236616.15</v>
      </c>
      <c r="Z170" s="33"/>
      <c r="AA170" s="33"/>
      <c r="AB170" s="33">
        <v>9218.7999999999993</v>
      </c>
      <c r="AC170" s="33"/>
      <c r="AD170" s="33">
        <v>11835</v>
      </c>
      <c r="AE170" s="33">
        <v>10043.25</v>
      </c>
      <c r="AF170" s="33">
        <v>1500</v>
      </c>
      <c r="AG170" s="33"/>
      <c r="AH170" s="33"/>
      <c r="AI170" s="33">
        <v>3178.9</v>
      </c>
      <c r="AJ170" s="33"/>
      <c r="AK170" s="33"/>
      <c r="AL170" s="33"/>
      <c r="AM170" s="328">
        <f t="shared" si="8"/>
        <v>35775.949999999997</v>
      </c>
      <c r="AN170" s="371">
        <v>75</v>
      </c>
      <c r="AO170" s="388">
        <v>136</v>
      </c>
      <c r="AP170" s="33">
        <v>-15.89</v>
      </c>
      <c r="AQ170" s="332"/>
      <c r="AR170" s="33">
        <v>0</v>
      </c>
      <c r="AS170" s="340">
        <v>0.7</v>
      </c>
      <c r="AT170" s="437"/>
      <c r="AU170" s="438"/>
      <c r="AV170" s="441"/>
      <c r="AW170" s="441"/>
      <c r="AX170" s="441"/>
      <c r="AY170" s="441"/>
      <c r="AZ170" s="441"/>
      <c r="BA170" s="441"/>
      <c r="BB170" s="441"/>
      <c r="BC170" s="441"/>
      <c r="BE170" s="383"/>
      <c r="BF170" s="383"/>
      <c r="BG170" s="383"/>
      <c r="BH170" s="383"/>
      <c r="BI170" s="383"/>
      <c r="BJ170" s="383"/>
      <c r="BK170" s="383"/>
      <c r="BL170" s="383"/>
      <c r="BM170" s="383"/>
      <c r="BN170" s="383"/>
      <c r="BO170" s="383"/>
    </row>
    <row r="171" spans="1:67" x14ac:dyDescent="0.25">
      <c r="A171" s="335">
        <v>5675</v>
      </c>
      <c r="B171" s="425" t="s">
        <v>102</v>
      </c>
      <c r="C171" s="446">
        <v>4971977.13</v>
      </c>
      <c r="D171" s="33">
        <v>573063.63</v>
      </c>
      <c r="E171" s="448"/>
      <c r="F171" s="452">
        <v>0</v>
      </c>
      <c r="G171" s="452">
        <v>350804.5</v>
      </c>
      <c r="H171" s="453">
        <v>13727.6</v>
      </c>
      <c r="I171" s="451">
        <v>0</v>
      </c>
      <c r="J171" s="448">
        <v>198177.01</v>
      </c>
      <c r="K171" s="453">
        <v>79567.75</v>
      </c>
      <c r="L171" s="448">
        <v>687676.3</v>
      </c>
      <c r="M171" s="422">
        <f t="shared" si="6"/>
        <v>6874993.919999999</v>
      </c>
      <c r="N171" s="446">
        <v>30334.9</v>
      </c>
      <c r="O171" s="446">
        <v>85294.2</v>
      </c>
      <c r="P171" s="446">
        <v>655277.30000000005</v>
      </c>
      <c r="Q171" s="446">
        <v>72992.66</v>
      </c>
      <c r="R171" s="33">
        <v>160087.54999999999</v>
      </c>
      <c r="S171" s="340"/>
      <c r="T171" s="446">
        <v>15555.75</v>
      </c>
      <c r="U171" s="33">
        <v>31600</v>
      </c>
      <c r="V171" s="446">
        <v>1890</v>
      </c>
      <c r="W171" s="33"/>
      <c r="X171" s="417">
        <v>87253.25</v>
      </c>
      <c r="Y171" s="328">
        <f t="shared" si="7"/>
        <v>8015279.5299999993</v>
      </c>
      <c r="Z171" s="33">
        <v>39968.75</v>
      </c>
      <c r="AA171" s="33"/>
      <c r="AB171" s="33">
        <v>282865.90000000002</v>
      </c>
      <c r="AC171" s="33"/>
      <c r="AD171" s="33">
        <v>392191.68</v>
      </c>
      <c r="AE171" s="33">
        <v>17594.5</v>
      </c>
      <c r="AF171" s="33"/>
      <c r="AG171" s="33"/>
      <c r="AH171" s="33"/>
      <c r="AI171" s="33">
        <v>474794.35</v>
      </c>
      <c r="AJ171" s="33"/>
      <c r="AK171" s="33"/>
      <c r="AL171" s="33"/>
      <c r="AM171" s="328">
        <f t="shared" si="8"/>
        <v>1207415.1800000002</v>
      </c>
      <c r="AN171" s="371">
        <v>69</v>
      </c>
      <c r="AO171" s="388">
        <v>4220</v>
      </c>
      <c r="AP171" s="33">
        <v>-226748.47</v>
      </c>
      <c r="AQ171" s="332"/>
      <c r="AR171" s="33">
        <v>-645.66999999999996</v>
      </c>
      <c r="AS171" s="340">
        <v>1.1000000000000001</v>
      </c>
      <c r="AT171" s="437"/>
      <c r="AU171" s="438"/>
      <c r="AV171" s="441"/>
      <c r="AW171" s="441"/>
      <c r="AX171" s="441"/>
      <c r="AY171" s="441"/>
      <c r="AZ171" s="441"/>
      <c r="BA171" s="441"/>
      <c r="BB171" s="441"/>
      <c r="BC171" s="441"/>
      <c r="BE171" s="383"/>
      <c r="BF171" s="383"/>
      <c r="BG171" s="383"/>
      <c r="BH171" s="383"/>
      <c r="BI171" s="383"/>
      <c r="BJ171" s="383"/>
      <c r="BK171" s="383"/>
      <c r="BL171" s="383"/>
      <c r="BM171" s="383"/>
      <c r="BN171" s="383"/>
      <c r="BO171" s="383"/>
    </row>
    <row r="172" spans="1:67" x14ac:dyDescent="0.25">
      <c r="A172" s="335">
        <v>5678</v>
      </c>
      <c r="B172" s="425" t="s">
        <v>103</v>
      </c>
      <c r="C172" s="446">
        <v>7231610.7199999997</v>
      </c>
      <c r="D172" s="33">
        <v>692264.42</v>
      </c>
      <c r="E172" s="448"/>
      <c r="F172" s="452">
        <v>34497.199999999997</v>
      </c>
      <c r="G172" s="452">
        <v>369779.3</v>
      </c>
      <c r="H172" s="453">
        <v>22149.85</v>
      </c>
      <c r="I172" s="451">
        <v>0</v>
      </c>
      <c r="J172" s="448">
        <v>425548.7</v>
      </c>
      <c r="K172" s="453">
        <v>66149.149999999994</v>
      </c>
      <c r="L172" s="448">
        <v>795346.6</v>
      </c>
      <c r="M172" s="422">
        <f t="shared" si="6"/>
        <v>9637345.9399999995</v>
      </c>
      <c r="N172" s="446">
        <v>212403.65</v>
      </c>
      <c r="O172" s="446">
        <v>690611</v>
      </c>
      <c r="P172" s="446">
        <v>404404.45</v>
      </c>
      <c r="Q172" s="446">
        <v>63702.52</v>
      </c>
      <c r="R172" s="33">
        <v>285736.5</v>
      </c>
      <c r="S172" s="340">
        <v>33835.050000000003</v>
      </c>
      <c r="T172" s="446">
        <v>1010</v>
      </c>
      <c r="U172" s="33">
        <v>46140</v>
      </c>
      <c r="V172" s="446">
        <v>19257.8</v>
      </c>
      <c r="W172" s="33"/>
      <c r="X172" s="417">
        <v>132007.54999999999</v>
      </c>
      <c r="Y172" s="328">
        <f t="shared" si="7"/>
        <v>11526454.460000001</v>
      </c>
      <c r="Z172" s="33">
        <v>70796.149999999994</v>
      </c>
      <c r="AA172" s="33"/>
      <c r="AB172" s="33">
        <v>924019.95</v>
      </c>
      <c r="AC172" s="33"/>
      <c r="AD172" s="33">
        <v>617127.92000000004</v>
      </c>
      <c r="AE172" s="33">
        <v>37134.35</v>
      </c>
      <c r="AF172" s="33"/>
      <c r="AG172" s="33"/>
      <c r="AH172" s="33">
        <v>2011.2</v>
      </c>
      <c r="AI172" s="33">
        <v>193303.85</v>
      </c>
      <c r="AJ172" s="33"/>
      <c r="AK172" s="33"/>
      <c r="AL172" s="33"/>
      <c r="AM172" s="328">
        <f t="shared" si="8"/>
        <v>1844393.4200000002</v>
      </c>
      <c r="AN172" s="371">
        <v>75</v>
      </c>
      <c r="AO172" s="388">
        <v>6080</v>
      </c>
      <c r="AP172" s="33">
        <v>-375161.61</v>
      </c>
      <c r="AQ172" s="332"/>
      <c r="AR172" s="33">
        <v>-1873.93</v>
      </c>
      <c r="AS172" s="340">
        <v>1</v>
      </c>
      <c r="AT172" s="437"/>
      <c r="AU172" s="438"/>
      <c r="AV172" s="441"/>
      <c r="AW172" s="441"/>
      <c r="AX172" s="441"/>
      <c r="AY172" s="441"/>
      <c r="AZ172" s="441"/>
      <c r="BA172" s="441"/>
      <c r="BB172" s="441"/>
      <c r="BC172" s="441"/>
      <c r="BE172" s="383"/>
      <c r="BF172" s="383"/>
      <c r="BG172" s="383"/>
      <c r="BH172" s="383"/>
      <c r="BI172" s="383"/>
      <c r="BJ172" s="383"/>
      <c r="BK172" s="383"/>
      <c r="BL172" s="383"/>
      <c r="BM172" s="383"/>
      <c r="BN172" s="383"/>
      <c r="BO172" s="383"/>
    </row>
    <row r="173" spans="1:67" x14ac:dyDescent="0.25">
      <c r="A173" s="335">
        <v>5680</v>
      </c>
      <c r="B173" s="425" t="s">
        <v>104</v>
      </c>
      <c r="C173" s="446">
        <v>394480.71</v>
      </c>
      <c r="D173" s="33">
        <v>46480.36</v>
      </c>
      <c r="E173" s="448"/>
      <c r="F173" s="452">
        <v>0</v>
      </c>
      <c r="G173" s="452">
        <v>10742.55</v>
      </c>
      <c r="H173" s="453">
        <v>194.85</v>
      </c>
      <c r="I173" s="451">
        <v>0</v>
      </c>
      <c r="J173" s="448">
        <v>538.85</v>
      </c>
      <c r="K173" s="453">
        <v>625</v>
      </c>
      <c r="L173" s="448">
        <v>72618.350000000006</v>
      </c>
      <c r="M173" s="422">
        <f t="shared" si="6"/>
        <v>525680.66999999993</v>
      </c>
      <c r="N173" s="446">
        <v>0</v>
      </c>
      <c r="O173" s="446">
        <v>0</v>
      </c>
      <c r="P173" s="446">
        <v>44268.3</v>
      </c>
      <c r="Q173" s="446">
        <v>1060.17</v>
      </c>
      <c r="R173" s="33">
        <v>29081.75</v>
      </c>
      <c r="S173" s="340"/>
      <c r="T173" s="446"/>
      <c r="U173" s="33">
        <v>2200</v>
      </c>
      <c r="V173" s="446"/>
      <c r="W173" s="33"/>
      <c r="X173" s="417">
        <v>898.35</v>
      </c>
      <c r="Y173" s="328">
        <f t="shared" si="7"/>
        <v>603189.24</v>
      </c>
      <c r="Z173" s="33"/>
      <c r="AA173" s="33"/>
      <c r="AB173" s="33">
        <v>29316.65</v>
      </c>
      <c r="AC173" s="33"/>
      <c r="AD173" s="33">
        <v>13776.21</v>
      </c>
      <c r="AE173" s="33"/>
      <c r="AF173" s="33"/>
      <c r="AG173" s="33"/>
      <c r="AH173" s="33"/>
      <c r="AI173" s="33">
        <v>5932.65</v>
      </c>
      <c r="AJ173" s="33"/>
      <c r="AK173" s="33"/>
      <c r="AL173" s="33"/>
      <c r="AM173" s="328">
        <f t="shared" si="8"/>
        <v>49025.51</v>
      </c>
      <c r="AN173" s="371">
        <v>78</v>
      </c>
      <c r="AO173" s="388">
        <v>296</v>
      </c>
      <c r="AP173" s="33">
        <v>-10978.59</v>
      </c>
      <c r="AQ173" s="332"/>
      <c r="AR173" s="33">
        <v>-1.19</v>
      </c>
      <c r="AS173" s="340">
        <v>1.5</v>
      </c>
      <c r="AT173" s="437"/>
      <c r="AU173" s="438"/>
      <c r="AV173" s="441"/>
      <c r="AW173" s="441"/>
      <c r="AX173" s="441"/>
      <c r="AY173" s="441"/>
      <c r="AZ173" s="441"/>
      <c r="BA173" s="441"/>
      <c r="BB173" s="441"/>
      <c r="BC173" s="441"/>
      <c r="BE173" s="383"/>
      <c r="BF173" s="383"/>
      <c r="BG173" s="383"/>
      <c r="BH173" s="383"/>
      <c r="BI173" s="383"/>
      <c r="BJ173" s="383"/>
      <c r="BK173" s="383"/>
      <c r="BL173" s="383"/>
      <c r="BM173" s="383"/>
      <c r="BN173" s="383"/>
      <c r="BO173" s="383"/>
    </row>
    <row r="174" spans="1:67" x14ac:dyDescent="0.25">
      <c r="A174" s="335">
        <v>5683</v>
      </c>
      <c r="B174" s="425" t="s">
        <v>105</v>
      </c>
      <c r="C174" s="446">
        <v>307598.44</v>
      </c>
      <c r="D174" s="33">
        <v>24709.78</v>
      </c>
      <c r="E174" s="448"/>
      <c r="F174" s="452">
        <v>0</v>
      </c>
      <c r="G174" s="452">
        <v>-6232.2</v>
      </c>
      <c r="H174" s="453">
        <v>1234.75</v>
      </c>
      <c r="I174" s="451">
        <v>0</v>
      </c>
      <c r="J174" s="448">
        <v>-936.58</v>
      </c>
      <c r="K174" s="453">
        <v>2220.5</v>
      </c>
      <c r="L174" s="448">
        <v>28558.75</v>
      </c>
      <c r="M174" s="422">
        <f t="shared" si="6"/>
        <v>357153.43999999994</v>
      </c>
      <c r="N174" s="446">
        <v>0</v>
      </c>
      <c r="O174" s="446">
        <v>0</v>
      </c>
      <c r="P174" s="446">
        <v>8253.2999999999993</v>
      </c>
      <c r="Q174" s="446">
        <v>-1032.82</v>
      </c>
      <c r="R174" s="33">
        <v>0</v>
      </c>
      <c r="S174" s="340"/>
      <c r="T174" s="446"/>
      <c r="U174" s="33">
        <v>1300</v>
      </c>
      <c r="V174" s="446"/>
      <c r="W174" s="33"/>
      <c r="X174" s="417">
        <v>2609.5</v>
      </c>
      <c r="Y174" s="328">
        <f t="shared" si="7"/>
        <v>368283.41999999993</v>
      </c>
      <c r="Z174" s="33">
        <v>1500</v>
      </c>
      <c r="AA174" s="33"/>
      <c r="AB174" s="33">
        <v>13171.9</v>
      </c>
      <c r="AC174" s="33"/>
      <c r="AD174" s="33">
        <v>9630.1</v>
      </c>
      <c r="AE174" s="33">
        <v>1000</v>
      </c>
      <c r="AF174" s="33"/>
      <c r="AG174" s="33"/>
      <c r="AH174" s="33"/>
      <c r="AI174" s="33"/>
      <c r="AJ174" s="33"/>
      <c r="AK174" s="33"/>
      <c r="AL174" s="33"/>
      <c r="AM174" s="328">
        <f t="shared" si="8"/>
        <v>25302</v>
      </c>
      <c r="AN174" s="371">
        <v>74</v>
      </c>
      <c r="AO174" s="388">
        <v>194</v>
      </c>
      <c r="AP174" s="33">
        <v>-19115.46</v>
      </c>
      <c r="AQ174" s="332"/>
      <c r="AR174" s="33">
        <v>0</v>
      </c>
      <c r="AS174" s="340">
        <v>1</v>
      </c>
      <c r="AT174" s="437"/>
      <c r="AU174" s="438"/>
      <c r="AV174" s="441"/>
      <c r="AW174" s="441"/>
      <c r="AX174" s="441"/>
      <c r="AY174" s="441"/>
      <c r="AZ174" s="441"/>
      <c r="BA174" s="441"/>
      <c r="BB174" s="441"/>
      <c r="BC174" s="441"/>
      <c r="BE174" s="383"/>
      <c r="BF174" s="383"/>
      <c r="BG174" s="383"/>
      <c r="BH174" s="383"/>
      <c r="BI174" s="383"/>
      <c r="BJ174" s="383"/>
      <c r="BK174" s="383"/>
      <c r="BL174" s="383"/>
      <c r="BM174" s="383"/>
      <c r="BN174" s="383"/>
      <c r="BO174" s="383"/>
    </row>
    <row r="175" spans="1:67" x14ac:dyDescent="0.25">
      <c r="A175" s="335">
        <v>5684</v>
      </c>
      <c r="B175" s="425" t="s">
        <v>106</v>
      </c>
      <c r="C175" s="446">
        <v>129474.04</v>
      </c>
      <c r="D175" s="33">
        <v>98491.3</v>
      </c>
      <c r="E175" s="448"/>
      <c r="F175" s="452">
        <v>0</v>
      </c>
      <c r="G175" s="452">
        <v>664.15</v>
      </c>
      <c r="H175" s="453">
        <v>294.75</v>
      </c>
      <c r="I175" s="451">
        <v>0</v>
      </c>
      <c r="J175" s="448">
        <v>0</v>
      </c>
      <c r="K175" s="453">
        <v>0</v>
      </c>
      <c r="L175" s="448">
        <v>6461.9</v>
      </c>
      <c r="M175" s="422">
        <f t="shared" si="6"/>
        <v>235386.13999999998</v>
      </c>
      <c r="N175" s="446">
        <v>0</v>
      </c>
      <c r="O175" s="446">
        <v>0</v>
      </c>
      <c r="P175" s="446">
        <v>0</v>
      </c>
      <c r="Q175" s="446">
        <v>0</v>
      </c>
      <c r="R175" s="33">
        <v>0</v>
      </c>
      <c r="S175" s="340"/>
      <c r="T175" s="446"/>
      <c r="U175" s="33">
        <v>0</v>
      </c>
      <c r="V175" s="446"/>
      <c r="W175" s="33"/>
      <c r="X175" s="417">
        <v>57.55</v>
      </c>
      <c r="Y175" s="328">
        <f t="shared" si="7"/>
        <v>235443.68999999997</v>
      </c>
      <c r="Z175" s="33"/>
      <c r="AA175" s="33"/>
      <c r="AB175" s="33">
        <v>3686.25</v>
      </c>
      <c r="AC175" s="33"/>
      <c r="AD175" s="33">
        <v>7168.75</v>
      </c>
      <c r="AE175" s="33"/>
      <c r="AF175" s="33"/>
      <c r="AG175" s="33"/>
      <c r="AH175" s="33"/>
      <c r="AI175" s="33"/>
      <c r="AJ175" s="33"/>
      <c r="AK175" s="33"/>
      <c r="AL175" s="33"/>
      <c r="AM175" s="328">
        <f t="shared" si="8"/>
        <v>10855</v>
      </c>
      <c r="AN175" s="371">
        <v>75</v>
      </c>
      <c r="AO175" s="388">
        <v>84</v>
      </c>
      <c r="AP175" s="33">
        <v>-4645.16</v>
      </c>
      <c r="AQ175" s="332"/>
      <c r="AR175" s="33">
        <v>-9.93</v>
      </c>
      <c r="AS175" s="340">
        <v>0.8</v>
      </c>
      <c r="AT175" s="437"/>
      <c r="AU175" s="438"/>
      <c r="AV175" s="441"/>
      <c r="AW175" s="441"/>
      <c r="AX175" s="441"/>
      <c r="AY175" s="441"/>
      <c r="AZ175" s="441"/>
      <c r="BA175" s="441"/>
      <c r="BB175" s="441"/>
      <c r="BC175" s="441"/>
      <c r="BE175" s="383"/>
      <c r="BF175" s="383"/>
      <c r="BG175" s="383"/>
      <c r="BH175" s="383"/>
      <c r="BI175" s="383"/>
      <c r="BJ175" s="383"/>
      <c r="BK175" s="383"/>
      <c r="BL175" s="383"/>
      <c r="BM175" s="383"/>
      <c r="BN175" s="383"/>
      <c r="BO175" s="383"/>
    </row>
    <row r="176" spans="1:67" x14ac:dyDescent="0.25">
      <c r="A176" s="335">
        <v>5688</v>
      </c>
      <c r="B176" s="425" t="s">
        <v>107</v>
      </c>
      <c r="C176" s="446">
        <v>117141.78</v>
      </c>
      <c r="D176" s="33">
        <v>37634.25</v>
      </c>
      <c r="E176" s="448"/>
      <c r="F176" s="452">
        <v>0</v>
      </c>
      <c r="G176" s="452">
        <v>18805.599999999999</v>
      </c>
      <c r="H176" s="453">
        <v>255.65</v>
      </c>
      <c r="I176" s="451">
        <v>0</v>
      </c>
      <c r="J176" s="448">
        <v>5766.42</v>
      </c>
      <c r="K176" s="453">
        <v>52.5</v>
      </c>
      <c r="L176" s="448">
        <v>23709.5</v>
      </c>
      <c r="M176" s="422">
        <f t="shared" si="6"/>
        <v>203365.7</v>
      </c>
      <c r="N176" s="446">
        <v>398.4</v>
      </c>
      <c r="O176" s="446">
        <v>0</v>
      </c>
      <c r="P176" s="446">
        <v>4.1500000000000004</v>
      </c>
      <c r="Q176" s="446">
        <v>0</v>
      </c>
      <c r="R176" s="33">
        <v>0</v>
      </c>
      <c r="S176" s="340"/>
      <c r="T176" s="446"/>
      <c r="U176" s="33">
        <v>720</v>
      </c>
      <c r="V176" s="446"/>
      <c r="W176" s="33"/>
      <c r="X176" s="417">
        <v>3959.6</v>
      </c>
      <c r="Y176" s="328">
        <f t="shared" si="7"/>
        <v>208447.85</v>
      </c>
      <c r="Z176" s="33">
        <v>16695</v>
      </c>
      <c r="AA176" s="33"/>
      <c r="AB176" s="33">
        <v>8835</v>
      </c>
      <c r="AC176" s="33"/>
      <c r="AD176" s="33">
        <v>15012.5</v>
      </c>
      <c r="AE176" s="33"/>
      <c r="AF176" s="33"/>
      <c r="AG176" s="33"/>
      <c r="AH176" s="33"/>
      <c r="AI176" s="33"/>
      <c r="AJ176" s="33"/>
      <c r="AK176" s="33"/>
      <c r="AL176" s="33"/>
      <c r="AM176" s="328">
        <f t="shared" si="8"/>
        <v>40542.5</v>
      </c>
      <c r="AN176" s="371">
        <v>75.599999999999994</v>
      </c>
      <c r="AO176" s="388">
        <v>155</v>
      </c>
      <c r="AP176" s="33">
        <v>-5.27</v>
      </c>
      <c r="AQ176" s="332"/>
      <c r="AR176" s="33">
        <v>0</v>
      </c>
      <c r="AS176" s="340">
        <v>1</v>
      </c>
      <c r="AT176" s="437"/>
      <c r="AU176" s="438"/>
      <c r="AV176" s="441"/>
      <c r="AW176" s="441"/>
      <c r="AX176" s="441"/>
      <c r="AY176" s="441"/>
      <c r="AZ176" s="441"/>
      <c r="BA176" s="441"/>
      <c r="BB176" s="441"/>
      <c r="BC176" s="441"/>
      <c r="BE176" s="383"/>
      <c r="BF176" s="383"/>
      <c r="BG176" s="383"/>
      <c r="BH176" s="383"/>
      <c r="BI176" s="383"/>
      <c r="BJ176" s="383"/>
      <c r="BK176" s="383"/>
      <c r="BL176" s="383"/>
      <c r="BM176" s="383"/>
      <c r="BN176" s="383"/>
      <c r="BO176" s="383"/>
    </row>
    <row r="177" spans="1:67" x14ac:dyDescent="0.25">
      <c r="A177" s="335">
        <v>5690</v>
      </c>
      <c r="B177" s="425" t="s">
        <v>108</v>
      </c>
      <c r="C177" s="446">
        <v>156621.17000000001</v>
      </c>
      <c r="D177" s="33">
        <v>33817.4</v>
      </c>
      <c r="E177" s="448"/>
      <c r="F177" s="452">
        <v>830</v>
      </c>
      <c r="G177" s="452">
        <v>-144.94999999999999</v>
      </c>
      <c r="H177" s="453">
        <v>406.25</v>
      </c>
      <c r="I177" s="451">
        <v>0</v>
      </c>
      <c r="J177" s="448">
        <v>74.989999999999995</v>
      </c>
      <c r="K177" s="453">
        <v>184.1</v>
      </c>
      <c r="L177" s="448">
        <v>24606.15</v>
      </c>
      <c r="M177" s="422">
        <f t="shared" si="6"/>
        <v>216395.11</v>
      </c>
      <c r="N177" s="446">
        <v>0</v>
      </c>
      <c r="O177" s="446">
        <v>143331.4</v>
      </c>
      <c r="P177" s="446">
        <v>4698.1000000000004</v>
      </c>
      <c r="Q177" s="446">
        <v>0</v>
      </c>
      <c r="R177" s="33">
        <v>9702.5</v>
      </c>
      <c r="S177" s="340"/>
      <c r="T177" s="446"/>
      <c r="U177" s="33">
        <v>425</v>
      </c>
      <c r="V177" s="446"/>
      <c r="W177" s="33"/>
      <c r="X177" s="417">
        <v>186.65</v>
      </c>
      <c r="Y177" s="328">
        <f t="shared" si="7"/>
        <v>374738.76</v>
      </c>
      <c r="Z177" s="33"/>
      <c r="AA177" s="33"/>
      <c r="AB177" s="33">
        <v>26240.05</v>
      </c>
      <c r="AC177" s="33"/>
      <c r="AD177" s="33">
        <v>14275</v>
      </c>
      <c r="AE177" s="33"/>
      <c r="AF177" s="33"/>
      <c r="AG177" s="33"/>
      <c r="AH177" s="33"/>
      <c r="AI177" s="33"/>
      <c r="AJ177" s="33"/>
      <c r="AK177" s="33"/>
      <c r="AL177" s="33"/>
      <c r="AM177" s="328">
        <f t="shared" si="8"/>
        <v>40515.050000000003</v>
      </c>
      <c r="AN177" s="371">
        <v>70</v>
      </c>
      <c r="AO177" s="388">
        <v>122</v>
      </c>
      <c r="AP177" s="33">
        <v>-1209.22</v>
      </c>
      <c r="AQ177" s="332"/>
      <c r="AR177" s="33">
        <v>0</v>
      </c>
      <c r="AS177" s="340">
        <v>1.2</v>
      </c>
      <c r="AT177" s="437"/>
      <c r="AU177" s="438"/>
      <c r="AV177" s="441"/>
      <c r="AW177" s="441"/>
      <c r="AX177" s="441"/>
      <c r="AY177" s="441"/>
      <c r="AZ177" s="441"/>
      <c r="BA177" s="441"/>
      <c r="BB177" s="441"/>
      <c r="BC177" s="441"/>
      <c r="BE177" s="383"/>
      <c r="BF177" s="383"/>
      <c r="BG177" s="383"/>
      <c r="BH177" s="383"/>
      <c r="BI177" s="383"/>
      <c r="BJ177" s="383"/>
      <c r="BK177" s="383"/>
      <c r="BL177" s="383"/>
      <c r="BM177" s="383"/>
      <c r="BN177" s="383"/>
      <c r="BO177" s="383"/>
    </row>
    <row r="178" spans="1:67" x14ac:dyDescent="0.25">
      <c r="A178" s="335">
        <v>5692</v>
      </c>
      <c r="B178" s="425" t="s">
        <v>109</v>
      </c>
      <c r="C178" s="446">
        <v>1043783.94</v>
      </c>
      <c r="D178" s="33">
        <v>119105.55</v>
      </c>
      <c r="E178" s="448"/>
      <c r="F178" s="452">
        <v>0</v>
      </c>
      <c r="G178" s="452">
        <v>-2056.35</v>
      </c>
      <c r="H178" s="453">
        <v>900.8</v>
      </c>
      <c r="I178" s="451">
        <v>0</v>
      </c>
      <c r="J178" s="448">
        <v>18224.849999999999</v>
      </c>
      <c r="K178" s="453">
        <v>2423.4499999999998</v>
      </c>
      <c r="L178" s="448">
        <v>92848</v>
      </c>
      <c r="M178" s="422">
        <f t="shared" si="6"/>
        <v>1275230.24</v>
      </c>
      <c r="N178" s="446">
        <v>8874.2999999999993</v>
      </c>
      <c r="O178" s="446">
        <v>0</v>
      </c>
      <c r="P178" s="446">
        <v>55154</v>
      </c>
      <c r="Q178" s="446">
        <v>0</v>
      </c>
      <c r="R178" s="33">
        <v>40705.449999999997</v>
      </c>
      <c r="S178" s="340"/>
      <c r="T178" s="446"/>
      <c r="U178" s="33">
        <v>6650</v>
      </c>
      <c r="V178" s="446"/>
      <c r="W178" s="33"/>
      <c r="X178" s="417">
        <v>2028.1</v>
      </c>
      <c r="Y178" s="328">
        <f t="shared" si="7"/>
        <v>1388642.09</v>
      </c>
      <c r="Z178" s="33">
        <v>3211.6</v>
      </c>
      <c r="AA178" s="33"/>
      <c r="AB178" s="33">
        <v>76825</v>
      </c>
      <c r="AC178" s="33"/>
      <c r="AD178" s="33">
        <v>34932.550000000003</v>
      </c>
      <c r="AE178" s="33">
        <v>17011.45</v>
      </c>
      <c r="AF178" s="33"/>
      <c r="AG178" s="33"/>
      <c r="AH178" s="33"/>
      <c r="AI178" s="33"/>
      <c r="AJ178" s="33"/>
      <c r="AK178" s="33">
        <v>9140.5499999999993</v>
      </c>
      <c r="AL178" s="33"/>
      <c r="AM178" s="328">
        <f t="shared" si="8"/>
        <v>141121.15</v>
      </c>
      <c r="AN178" s="371">
        <v>79</v>
      </c>
      <c r="AO178" s="388">
        <v>580</v>
      </c>
      <c r="AP178" s="33">
        <v>-13064.71</v>
      </c>
      <c r="AQ178" s="332"/>
      <c r="AR178" s="33">
        <v>-20.58</v>
      </c>
      <c r="AS178" s="340">
        <v>1</v>
      </c>
      <c r="AT178" s="437"/>
      <c r="AU178" s="438"/>
      <c r="AV178" s="441"/>
      <c r="AW178" s="441"/>
      <c r="AX178" s="441"/>
      <c r="AY178" s="441"/>
      <c r="AZ178" s="441"/>
      <c r="BA178" s="441"/>
      <c r="BB178" s="441"/>
      <c r="BC178" s="441"/>
      <c r="BE178" s="383"/>
      <c r="BF178" s="383"/>
      <c r="BG178" s="383"/>
      <c r="BH178" s="383"/>
      <c r="BI178" s="383"/>
      <c r="BJ178" s="383"/>
      <c r="BK178" s="383"/>
      <c r="BL178" s="383"/>
      <c r="BM178" s="383"/>
      <c r="BN178" s="383"/>
      <c r="BO178" s="383"/>
    </row>
    <row r="179" spans="1:67" x14ac:dyDescent="0.25">
      <c r="A179" s="335">
        <v>5693</v>
      </c>
      <c r="B179" s="425" t="s">
        <v>441</v>
      </c>
      <c r="C179" s="446">
        <v>4214053.3099999996</v>
      </c>
      <c r="D179" s="33">
        <v>508142.64</v>
      </c>
      <c r="E179" s="448"/>
      <c r="F179" s="452">
        <v>0</v>
      </c>
      <c r="G179" s="452">
        <v>7531.5999999999804</v>
      </c>
      <c r="H179" s="453">
        <v>3713</v>
      </c>
      <c r="I179" s="451">
        <v>0</v>
      </c>
      <c r="J179" s="448">
        <v>77341.009999999995</v>
      </c>
      <c r="K179" s="453">
        <v>885.8</v>
      </c>
      <c r="L179" s="448">
        <v>379238.3</v>
      </c>
      <c r="M179" s="422">
        <f t="shared" si="6"/>
        <v>5190905.6599999983</v>
      </c>
      <c r="N179" s="446">
        <v>22355.5</v>
      </c>
      <c r="O179" s="446">
        <v>13396.8</v>
      </c>
      <c r="P179" s="446">
        <v>155186.5</v>
      </c>
      <c r="Q179" s="446">
        <v>94603.39</v>
      </c>
      <c r="R179" s="33">
        <v>155158.9</v>
      </c>
      <c r="S179" s="340">
        <v>650</v>
      </c>
      <c r="T179" s="446">
        <v>7005</v>
      </c>
      <c r="U179" s="33">
        <v>16110</v>
      </c>
      <c r="V179" s="446"/>
      <c r="W179" s="33"/>
      <c r="X179" s="417">
        <v>24935.75</v>
      </c>
      <c r="Y179" s="328">
        <f t="shared" si="7"/>
        <v>5680307.4999999981</v>
      </c>
      <c r="Z179" s="33">
        <v>153236.5</v>
      </c>
      <c r="AA179" s="33"/>
      <c r="AB179" s="33">
        <v>436051.4</v>
      </c>
      <c r="AC179" s="33"/>
      <c r="AD179" s="33">
        <v>275471.75</v>
      </c>
      <c r="AE179" s="33">
        <v>62339.5</v>
      </c>
      <c r="AF179" s="33"/>
      <c r="AG179" s="33"/>
      <c r="AH179" s="33"/>
      <c r="AI179" s="33">
        <v>75752.25</v>
      </c>
      <c r="AJ179" s="33"/>
      <c r="AK179" s="33"/>
      <c r="AL179" s="33"/>
      <c r="AM179" s="328">
        <f t="shared" si="8"/>
        <v>1002851.4</v>
      </c>
      <c r="AN179" s="371">
        <v>72</v>
      </c>
      <c r="AO179" s="388">
        <v>2717</v>
      </c>
      <c r="AP179" s="33">
        <v>-212044.27</v>
      </c>
      <c r="AQ179" s="332"/>
      <c r="AR179" s="33">
        <v>-281.23</v>
      </c>
      <c r="AS179" s="340">
        <v>1</v>
      </c>
      <c r="AT179" s="437"/>
      <c r="AU179" s="438"/>
      <c r="AV179" s="441"/>
      <c r="AW179" s="441"/>
      <c r="AX179" s="441"/>
      <c r="AY179" s="441"/>
      <c r="AZ179" s="441"/>
      <c r="BA179" s="441"/>
      <c r="BB179" s="441"/>
      <c r="BC179" s="441"/>
      <c r="BE179" s="383"/>
      <c r="BF179" s="383"/>
      <c r="BG179" s="383"/>
      <c r="BH179" s="383"/>
      <c r="BI179" s="383"/>
      <c r="BJ179" s="383"/>
      <c r="BK179" s="383"/>
      <c r="BL179" s="383"/>
      <c r="BM179" s="383"/>
      <c r="BN179" s="383"/>
      <c r="BO179" s="383"/>
    </row>
    <row r="180" spans="1:67" x14ac:dyDescent="0.25">
      <c r="A180" s="335">
        <v>5701</v>
      </c>
      <c r="B180" s="425" t="s">
        <v>110</v>
      </c>
      <c r="C180" s="446">
        <v>498743.75</v>
      </c>
      <c r="D180" s="33">
        <v>160192.01999999999</v>
      </c>
      <c r="E180" s="448"/>
      <c r="F180" s="452">
        <v>0</v>
      </c>
      <c r="G180" s="452">
        <v>39849.75</v>
      </c>
      <c r="H180" s="453">
        <v>397.7</v>
      </c>
      <c r="I180" s="451">
        <v>68770.899999999994</v>
      </c>
      <c r="J180" s="448">
        <v>18865.12</v>
      </c>
      <c r="K180" s="453">
        <v>-496.75</v>
      </c>
      <c r="L180" s="448">
        <v>69702.100000000006</v>
      </c>
      <c r="M180" s="422">
        <f t="shared" si="6"/>
        <v>856024.59</v>
      </c>
      <c r="N180" s="446">
        <v>0</v>
      </c>
      <c r="O180" s="446">
        <v>30548.400000000001</v>
      </c>
      <c r="P180" s="446">
        <v>11565.4</v>
      </c>
      <c r="Q180" s="446">
        <v>0</v>
      </c>
      <c r="R180" s="33">
        <v>0</v>
      </c>
      <c r="S180" s="340"/>
      <c r="T180" s="446"/>
      <c r="U180" s="33">
        <v>1075</v>
      </c>
      <c r="V180" s="446"/>
      <c r="W180" s="33"/>
      <c r="X180" s="417">
        <v>1941.5</v>
      </c>
      <c r="Y180" s="328">
        <f t="shared" si="7"/>
        <v>901154.89</v>
      </c>
      <c r="Z180" s="33">
        <v>23200</v>
      </c>
      <c r="AA180" s="33"/>
      <c r="AB180" s="33">
        <v>26432.560000000001</v>
      </c>
      <c r="AC180" s="33"/>
      <c r="AD180" s="33">
        <v>18391.75</v>
      </c>
      <c r="AE180" s="33">
        <v>350</v>
      </c>
      <c r="AF180" s="33"/>
      <c r="AG180" s="33"/>
      <c r="AH180" s="33"/>
      <c r="AI180" s="33"/>
      <c r="AJ180" s="33"/>
      <c r="AK180" s="33"/>
      <c r="AL180" s="33"/>
      <c r="AM180" s="328">
        <f t="shared" si="8"/>
        <v>68374.31</v>
      </c>
      <c r="AN180" s="371">
        <v>70</v>
      </c>
      <c r="AO180" s="388">
        <v>229</v>
      </c>
      <c r="AP180" s="33">
        <v>-12788.5</v>
      </c>
      <c r="AQ180" s="332"/>
      <c r="AR180" s="33">
        <v>-408.19</v>
      </c>
      <c r="AS180" s="340">
        <v>1</v>
      </c>
      <c r="AT180" s="437"/>
      <c r="AU180" s="438"/>
      <c r="AV180" s="441"/>
      <c r="AW180" s="441"/>
      <c r="AX180" s="441"/>
      <c r="AY180" s="441"/>
      <c r="AZ180" s="441"/>
      <c r="BA180" s="441"/>
      <c r="BB180" s="441"/>
      <c r="BC180" s="441"/>
      <c r="BE180" s="383"/>
      <c r="BF180" s="383"/>
      <c r="BG180" s="383"/>
      <c r="BH180" s="383"/>
      <c r="BI180" s="383"/>
      <c r="BJ180" s="383"/>
      <c r="BK180" s="383"/>
      <c r="BL180" s="383"/>
      <c r="BM180" s="383"/>
      <c r="BN180" s="383"/>
      <c r="BO180" s="383"/>
    </row>
    <row r="181" spans="1:67" x14ac:dyDescent="0.25">
      <c r="A181" s="335">
        <v>5702</v>
      </c>
      <c r="B181" s="425" t="s">
        <v>440</v>
      </c>
      <c r="C181" s="446">
        <v>8085678.1299999999</v>
      </c>
      <c r="D181" s="33">
        <v>1449013.79</v>
      </c>
      <c r="E181" s="448"/>
      <c r="F181" s="452">
        <v>0</v>
      </c>
      <c r="G181" s="452">
        <v>389451.75</v>
      </c>
      <c r="H181" s="453">
        <v>22219.55</v>
      </c>
      <c r="I181" s="451">
        <v>408952.26</v>
      </c>
      <c r="J181" s="448">
        <v>46710.89</v>
      </c>
      <c r="K181" s="453">
        <v>12753.15</v>
      </c>
      <c r="L181" s="448">
        <v>1182352</v>
      </c>
      <c r="M181" s="422">
        <f t="shared" si="6"/>
        <v>11597131.520000001</v>
      </c>
      <c r="N181" s="446">
        <v>56289.4</v>
      </c>
      <c r="O181" s="446">
        <v>113223.5</v>
      </c>
      <c r="P181" s="446">
        <v>791698.1</v>
      </c>
      <c r="Q181" s="446">
        <v>32415.46</v>
      </c>
      <c r="R181" s="33">
        <v>405610.55</v>
      </c>
      <c r="S181" s="340"/>
      <c r="T181" s="446"/>
      <c r="U181" s="33">
        <v>0</v>
      </c>
      <c r="V181" s="446"/>
      <c r="W181" s="33"/>
      <c r="X181" s="417">
        <v>20339.900000000001</v>
      </c>
      <c r="Y181" s="328">
        <f t="shared" si="7"/>
        <v>13016708.430000003</v>
      </c>
      <c r="Z181" s="33">
        <v>132202.9</v>
      </c>
      <c r="AA181" s="33" t="s">
        <v>599</v>
      </c>
      <c r="AB181" s="33">
        <v>252068.65000000002</v>
      </c>
      <c r="AC181" s="33" t="s">
        <v>599</v>
      </c>
      <c r="AD181" s="33">
        <v>288949</v>
      </c>
      <c r="AE181" s="33">
        <v>254401.05</v>
      </c>
      <c r="AF181" s="33" t="s">
        <v>599</v>
      </c>
      <c r="AG181" s="33" t="s">
        <v>599</v>
      </c>
      <c r="AH181" s="33">
        <v>33836.85</v>
      </c>
      <c r="AI181" s="33"/>
      <c r="AJ181" s="33"/>
      <c r="AK181" s="33"/>
      <c r="AL181" s="33"/>
      <c r="AM181" s="328">
        <f t="shared" si="8"/>
        <v>961458.45000000007</v>
      </c>
      <c r="AN181" s="371">
        <v>64</v>
      </c>
      <c r="AO181" s="388">
        <v>2801</v>
      </c>
      <c r="AP181" s="33">
        <v>-97536.73</v>
      </c>
      <c r="AQ181" s="332"/>
      <c r="AR181" s="33">
        <v>-25255.599999999999</v>
      </c>
      <c r="AS181" s="340">
        <v>1.5</v>
      </c>
      <c r="AT181" s="437"/>
      <c r="AU181" s="438"/>
      <c r="AV181" s="441"/>
      <c r="AW181" s="441"/>
      <c r="AX181" s="441"/>
      <c r="AY181" s="441"/>
      <c r="AZ181" s="441"/>
      <c r="BA181" s="442"/>
      <c r="BB181" s="441"/>
      <c r="BC181" s="441"/>
      <c r="BE181" s="383"/>
      <c r="BF181" s="383"/>
      <c r="BG181" s="383"/>
      <c r="BH181" s="383"/>
      <c r="BI181" s="383"/>
      <c r="BJ181" s="383"/>
      <c r="BK181" s="383"/>
      <c r="BL181" s="383"/>
      <c r="BM181" s="383"/>
      <c r="BN181" s="383"/>
      <c r="BO181" s="383"/>
    </row>
    <row r="182" spans="1:67" x14ac:dyDescent="0.25">
      <c r="A182" s="335">
        <v>5703</v>
      </c>
      <c r="B182" s="425" t="s">
        <v>111</v>
      </c>
      <c r="C182" s="446">
        <v>3604055.6</v>
      </c>
      <c r="D182" s="33">
        <v>359297.05</v>
      </c>
      <c r="E182" s="448"/>
      <c r="F182" s="452">
        <v>0</v>
      </c>
      <c r="G182" s="452">
        <v>13775</v>
      </c>
      <c r="H182" s="453">
        <v>1491.05</v>
      </c>
      <c r="I182" s="451">
        <v>33499.1</v>
      </c>
      <c r="J182" s="448">
        <v>109867.44</v>
      </c>
      <c r="K182" s="453">
        <v>610.79999999999995</v>
      </c>
      <c r="L182" s="448">
        <v>436618.5</v>
      </c>
      <c r="M182" s="422">
        <f t="shared" si="6"/>
        <v>4559214.5399999991</v>
      </c>
      <c r="N182" s="446">
        <v>23240.400000000001</v>
      </c>
      <c r="O182" s="446">
        <v>103271.2</v>
      </c>
      <c r="P182" s="446">
        <v>175898.55</v>
      </c>
      <c r="Q182" s="446">
        <v>742.12</v>
      </c>
      <c r="R182" s="33">
        <v>57400.1</v>
      </c>
      <c r="S182" s="340"/>
      <c r="T182" s="446"/>
      <c r="U182" s="33">
        <v>11430</v>
      </c>
      <c r="V182" s="446"/>
      <c r="W182" s="33"/>
      <c r="X182" s="417">
        <v>6156.8</v>
      </c>
      <c r="Y182" s="328">
        <f t="shared" si="7"/>
        <v>4937353.709999999</v>
      </c>
      <c r="Z182" s="33">
        <v>51326.95</v>
      </c>
      <c r="AA182" s="33" t="s">
        <v>599</v>
      </c>
      <c r="AB182" s="33">
        <v>179604.45</v>
      </c>
      <c r="AC182" s="33" t="s">
        <v>599</v>
      </c>
      <c r="AD182" s="33">
        <v>99326.399999999994</v>
      </c>
      <c r="AE182" s="33">
        <v>65417.7</v>
      </c>
      <c r="AF182" s="33"/>
      <c r="AG182" s="33"/>
      <c r="AH182" s="33"/>
      <c r="AI182" s="33"/>
      <c r="AJ182" s="33"/>
      <c r="AK182" s="33"/>
      <c r="AL182" s="33"/>
      <c r="AM182" s="328">
        <f t="shared" si="8"/>
        <v>395675.50000000006</v>
      </c>
      <c r="AN182" s="371">
        <v>74</v>
      </c>
      <c r="AO182" s="388">
        <v>1395</v>
      </c>
      <c r="AP182" s="33">
        <v>-74973.509999999995</v>
      </c>
      <c r="AQ182" s="332"/>
      <c r="AR182" s="33">
        <v>-962.97</v>
      </c>
      <c r="AS182" s="340">
        <v>1.4</v>
      </c>
      <c r="AT182" s="437"/>
      <c r="AU182" s="438"/>
      <c r="AV182" s="441"/>
      <c r="AW182" s="441"/>
      <c r="AX182" s="441"/>
      <c r="AY182" s="441"/>
      <c r="AZ182" s="441"/>
      <c r="BA182" s="441"/>
      <c r="BB182" s="441"/>
      <c r="BC182" s="441"/>
      <c r="BE182" s="383"/>
      <c r="BF182" s="383"/>
      <c r="BG182" s="383"/>
      <c r="BH182" s="383"/>
      <c r="BI182" s="383"/>
      <c r="BJ182" s="383"/>
      <c r="BK182" s="383"/>
      <c r="BL182" s="383"/>
      <c r="BM182" s="383"/>
      <c r="BN182" s="383"/>
      <c r="BO182" s="383"/>
    </row>
    <row r="183" spans="1:67" x14ac:dyDescent="0.25">
      <c r="A183" s="335">
        <v>5704</v>
      </c>
      <c r="B183" s="425" t="s">
        <v>221</v>
      </c>
      <c r="C183" s="446">
        <v>5811788.8899999997</v>
      </c>
      <c r="D183" s="33">
        <v>1503273.26</v>
      </c>
      <c r="E183" s="448"/>
      <c r="F183" s="452">
        <v>0</v>
      </c>
      <c r="G183" s="452">
        <v>111648.8</v>
      </c>
      <c r="H183" s="453">
        <v>8036.2</v>
      </c>
      <c r="I183" s="451">
        <v>427515.55</v>
      </c>
      <c r="J183" s="448">
        <v>119653.12</v>
      </c>
      <c r="K183" s="453">
        <v>14444.5</v>
      </c>
      <c r="L183" s="448">
        <v>765726.5</v>
      </c>
      <c r="M183" s="422">
        <f t="shared" si="6"/>
        <v>8762086.8200000003</v>
      </c>
      <c r="N183" s="446">
        <v>49246.95</v>
      </c>
      <c r="O183" s="446">
        <v>93498.5</v>
      </c>
      <c r="P183" s="446">
        <v>301834.65000000002</v>
      </c>
      <c r="Q183" s="446">
        <v>16688.71</v>
      </c>
      <c r="R183" s="33">
        <v>205732.7</v>
      </c>
      <c r="S183" s="340"/>
      <c r="T183" s="446"/>
      <c r="U183" s="33">
        <v>12350</v>
      </c>
      <c r="V183" s="446"/>
      <c r="W183" s="33"/>
      <c r="X183" s="417">
        <v>18947.400000000001</v>
      </c>
      <c r="Y183" s="328">
        <f t="shared" si="7"/>
        <v>9460385.7300000004</v>
      </c>
      <c r="Z183" s="33">
        <v>27060.9</v>
      </c>
      <c r="AA183" s="33"/>
      <c r="AB183" s="33">
        <v>199458.14</v>
      </c>
      <c r="AC183" s="33"/>
      <c r="AD183" s="33">
        <v>107642.45</v>
      </c>
      <c r="AE183" s="33">
        <v>51764.58</v>
      </c>
      <c r="AF183" s="33"/>
      <c r="AG183" s="33"/>
      <c r="AH183" s="33">
        <v>9193.82</v>
      </c>
      <c r="AI183" s="33">
        <v>46151.32</v>
      </c>
      <c r="AJ183" s="33">
        <v>26337.39</v>
      </c>
      <c r="AK183" s="33"/>
      <c r="AL183" s="33"/>
      <c r="AM183" s="328">
        <f t="shared" si="8"/>
        <v>467608.60000000003</v>
      </c>
      <c r="AN183" s="371">
        <v>64</v>
      </c>
      <c r="AO183" s="388">
        <v>1931</v>
      </c>
      <c r="AP183" s="33">
        <v>-100052.17</v>
      </c>
      <c r="AQ183" s="332"/>
      <c r="AR183" s="33">
        <v>-150278.01999999999</v>
      </c>
      <c r="AS183" s="340">
        <v>1.5</v>
      </c>
      <c r="AT183" s="437"/>
      <c r="AU183" s="438"/>
      <c r="AV183" s="441"/>
      <c r="AW183" s="441"/>
      <c r="AX183" s="441"/>
      <c r="AY183" s="441"/>
      <c r="AZ183" s="441"/>
      <c r="BA183" s="441"/>
      <c r="BB183" s="441"/>
      <c r="BC183" s="441"/>
      <c r="BE183" s="383"/>
      <c r="BF183" s="383"/>
      <c r="BG183" s="383"/>
      <c r="BH183" s="383"/>
      <c r="BI183" s="383"/>
      <c r="BJ183" s="383"/>
      <c r="BK183" s="383"/>
      <c r="BL183" s="383"/>
      <c r="BM183" s="383"/>
      <c r="BN183" s="383"/>
      <c r="BO183" s="383"/>
    </row>
    <row r="184" spans="1:67" x14ac:dyDescent="0.25">
      <c r="A184" s="335">
        <v>5705</v>
      </c>
      <c r="B184" s="425" t="s">
        <v>222</v>
      </c>
      <c r="C184" s="446">
        <v>2881975.66</v>
      </c>
      <c r="D184" s="33">
        <v>472496.51</v>
      </c>
      <c r="E184" s="448"/>
      <c r="F184" s="452">
        <v>0</v>
      </c>
      <c r="G184" s="452">
        <v>12223.75</v>
      </c>
      <c r="H184" s="453">
        <v>2012.8</v>
      </c>
      <c r="I184" s="451">
        <v>33742.699999999997</v>
      </c>
      <c r="J184" s="448">
        <v>620.73</v>
      </c>
      <c r="K184" s="453">
        <v>9128.25</v>
      </c>
      <c r="L184" s="448">
        <v>219345.45</v>
      </c>
      <c r="M184" s="422">
        <f t="shared" si="6"/>
        <v>3631545.85</v>
      </c>
      <c r="N184" s="446">
        <v>26663.15</v>
      </c>
      <c r="O184" s="446">
        <v>0</v>
      </c>
      <c r="P184" s="446">
        <v>131958.75</v>
      </c>
      <c r="Q184" s="446">
        <v>0</v>
      </c>
      <c r="R184" s="33">
        <v>176488.7</v>
      </c>
      <c r="S184" s="340"/>
      <c r="T184" s="446"/>
      <c r="U184" s="33">
        <v>1770</v>
      </c>
      <c r="V184" s="446"/>
      <c r="W184" s="33"/>
      <c r="X184" s="417">
        <v>4610.2</v>
      </c>
      <c r="Y184" s="328">
        <f t="shared" si="7"/>
        <v>3973036.6500000004</v>
      </c>
      <c r="Z184" s="33"/>
      <c r="AA184" s="33"/>
      <c r="AB184" s="33"/>
      <c r="AC184" s="33"/>
      <c r="AD184" s="33">
        <v>56238.6</v>
      </c>
      <c r="AE184" s="33"/>
      <c r="AF184" s="33"/>
      <c r="AG184" s="33"/>
      <c r="AH184" s="33">
        <v>53034</v>
      </c>
      <c r="AI184" s="33">
        <v>38813.85</v>
      </c>
      <c r="AJ184" s="33"/>
      <c r="AK184" s="33"/>
      <c r="AL184" s="33"/>
      <c r="AM184" s="328">
        <f t="shared" si="8"/>
        <v>148086.45000000001</v>
      </c>
      <c r="AN184" s="371">
        <v>76</v>
      </c>
      <c r="AO184" s="388">
        <v>825</v>
      </c>
      <c r="AP184" s="33">
        <v>-5748.53</v>
      </c>
      <c r="AQ184" s="332"/>
      <c r="AR184" s="33">
        <v>-25224.7</v>
      </c>
      <c r="AS184" s="340">
        <v>1</v>
      </c>
      <c r="AT184" s="437"/>
      <c r="AU184" s="438"/>
      <c r="AV184" s="441"/>
      <c r="AW184" s="441"/>
      <c r="AX184" s="441"/>
      <c r="AY184" s="441"/>
      <c r="AZ184" s="441"/>
      <c r="BA184" s="441"/>
      <c r="BB184" s="441"/>
      <c r="BC184" s="441"/>
      <c r="BE184" s="383"/>
      <c r="BF184" s="383"/>
      <c r="BG184" s="383"/>
      <c r="BH184" s="383"/>
      <c r="BI184" s="383"/>
      <c r="BJ184" s="383"/>
      <c r="BK184" s="383"/>
      <c r="BL184" s="383"/>
      <c r="BM184" s="383"/>
      <c r="BN184" s="383"/>
      <c r="BO184" s="383"/>
    </row>
    <row r="185" spans="1:67" x14ac:dyDescent="0.25">
      <c r="A185" s="335">
        <v>5706</v>
      </c>
      <c r="B185" s="425" t="s">
        <v>223</v>
      </c>
      <c r="C185" s="446">
        <v>3288260.84</v>
      </c>
      <c r="D185" s="33">
        <v>698095.53</v>
      </c>
      <c r="E185" s="448"/>
      <c r="F185" s="452">
        <v>0</v>
      </c>
      <c r="G185" s="452">
        <v>45892.65</v>
      </c>
      <c r="H185" s="453">
        <v>692.8</v>
      </c>
      <c r="I185" s="451">
        <v>0</v>
      </c>
      <c r="J185" s="448">
        <v>127826.57</v>
      </c>
      <c r="K185" s="453">
        <v>18825.8</v>
      </c>
      <c r="L185" s="448">
        <v>437871.45</v>
      </c>
      <c r="M185" s="422">
        <f t="shared" si="6"/>
        <v>4617465.6399999997</v>
      </c>
      <c r="N185" s="446">
        <v>9244.4</v>
      </c>
      <c r="O185" s="446">
        <v>0</v>
      </c>
      <c r="P185" s="446">
        <v>111051.6</v>
      </c>
      <c r="Q185" s="446">
        <v>0</v>
      </c>
      <c r="R185" s="33">
        <v>124492.5</v>
      </c>
      <c r="S185" s="340"/>
      <c r="T185" s="446"/>
      <c r="U185" s="33">
        <v>4250</v>
      </c>
      <c r="V185" s="446"/>
      <c r="W185" s="33"/>
      <c r="X185" s="417">
        <v>3139.65</v>
      </c>
      <c r="Y185" s="328">
        <f t="shared" si="7"/>
        <v>4869643.79</v>
      </c>
      <c r="Z185" s="33">
        <v>14060.75</v>
      </c>
      <c r="AA185" s="33"/>
      <c r="AB185" s="33">
        <v>161463.76999999999</v>
      </c>
      <c r="AC185" s="33"/>
      <c r="AD185" s="33">
        <v>90400.55</v>
      </c>
      <c r="AE185" s="33"/>
      <c r="AF185" s="33"/>
      <c r="AG185" s="33"/>
      <c r="AH185" s="33"/>
      <c r="AI185" s="33">
        <v>32518.799999999999</v>
      </c>
      <c r="AJ185" s="33"/>
      <c r="AK185" s="33"/>
      <c r="AL185" s="33"/>
      <c r="AM185" s="328">
        <f t="shared" si="8"/>
        <v>298443.87</v>
      </c>
      <c r="AN185" s="371">
        <v>58</v>
      </c>
      <c r="AO185" s="388">
        <v>1132</v>
      </c>
      <c r="AP185" s="33">
        <v>-20986.82</v>
      </c>
      <c r="AQ185" s="332"/>
      <c r="AR185" s="33">
        <v>-6025.35</v>
      </c>
      <c r="AS185" s="340">
        <v>1.5</v>
      </c>
      <c r="AT185" s="437"/>
      <c r="AU185" s="438"/>
      <c r="AV185" s="441"/>
      <c r="AW185" s="441"/>
      <c r="AX185" s="441"/>
      <c r="AY185" s="441"/>
      <c r="AZ185" s="441"/>
      <c r="BA185" s="441"/>
      <c r="BB185" s="441"/>
      <c r="BC185" s="441"/>
      <c r="BE185" s="383"/>
      <c r="BF185" s="383"/>
      <c r="BG185" s="383"/>
      <c r="BH185" s="383"/>
      <c r="BI185" s="383"/>
      <c r="BJ185" s="383"/>
      <c r="BK185" s="383"/>
      <c r="BL185" s="383"/>
      <c r="BM185" s="383"/>
      <c r="BN185" s="383"/>
      <c r="BO185" s="383"/>
    </row>
    <row r="186" spans="1:67" x14ac:dyDescent="0.25">
      <c r="A186" s="335">
        <v>5707</v>
      </c>
      <c r="B186" s="425" t="s">
        <v>224</v>
      </c>
      <c r="C186" s="446">
        <v>3314603.05</v>
      </c>
      <c r="D186" s="33">
        <v>572682.6</v>
      </c>
      <c r="E186" s="448"/>
      <c r="F186" s="452">
        <v>0</v>
      </c>
      <c r="G186" s="452">
        <v>152666.04999999999</v>
      </c>
      <c r="H186" s="453">
        <v>19854.599999999999</v>
      </c>
      <c r="I186" s="451">
        <v>38591.15</v>
      </c>
      <c r="J186" s="448">
        <v>104652.25</v>
      </c>
      <c r="K186" s="453">
        <v>60418.7</v>
      </c>
      <c r="L186" s="448">
        <v>704181.9</v>
      </c>
      <c r="M186" s="422">
        <f t="shared" si="6"/>
        <v>4967650.3</v>
      </c>
      <c r="N186" s="446">
        <v>690372.3</v>
      </c>
      <c r="O186" s="446">
        <v>0</v>
      </c>
      <c r="P186" s="446">
        <v>202039.75</v>
      </c>
      <c r="Q186" s="446">
        <v>0</v>
      </c>
      <c r="R186" s="33">
        <v>149086.04999999999</v>
      </c>
      <c r="S186" s="340">
        <v>39450.199999999997</v>
      </c>
      <c r="T186" s="446"/>
      <c r="U186" s="33">
        <v>4575</v>
      </c>
      <c r="V186" s="446"/>
      <c r="W186" s="33"/>
      <c r="X186" s="417">
        <v>73707.5</v>
      </c>
      <c r="Y186" s="328">
        <f t="shared" si="7"/>
        <v>6126881.0999999996</v>
      </c>
      <c r="Z186" s="33" t="s">
        <v>599</v>
      </c>
      <c r="AA186" s="33" t="s">
        <v>599</v>
      </c>
      <c r="AB186" s="33" t="s">
        <v>599</v>
      </c>
      <c r="AC186" s="33" t="s">
        <v>599</v>
      </c>
      <c r="AD186" s="33">
        <v>113350.75</v>
      </c>
      <c r="AE186" s="33" t="s">
        <v>599</v>
      </c>
      <c r="AF186" s="33" t="s">
        <v>599</v>
      </c>
      <c r="AG186" s="33" t="s">
        <v>599</v>
      </c>
      <c r="AH186" s="33">
        <v>173910</v>
      </c>
      <c r="AI186" s="33">
        <v>94251.65</v>
      </c>
      <c r="AJ186" s="33"/>
      <c r="AK186" s="33"/>
      <c r="AL186" s="33"/>
      <c r="AM186" s="328">
        <f t="shared" si="8"/>
        <v>381512.4</v>
      </c>
      <c r="AN186" s="371">
        <v>59</v>
      </c>
      <c r="AO186" s="388">
        <v>1357</v>
      </c>
      <c r="AP186" s="33">
        <v>-7689.16</v>
      </c>
      <c r="AQ186" s="332"/>
      <c r="AR186" s="33">
        <v>-1790.64</v>
      </c>
      <c r="AS186" s="340">
        <v>1.5</v>
      </c>
      <c r="AT186" s="437"/>
      <c r="AU186" s="438"/>
      <c r="AV186" s="441"/>
      <c r="AW186" s="441"/>
      <c r="AX186" s="441"/>
      <c r="AY186" s="441"/>
      <c r="AZ186" s="441"/>
      <c r="BA186" s="441"/>
      <c r="BB186" s="441"/>
      <c r="BC186" s="441"/>
      <c r="BE186" s="383"/>
      <c r="BF186" s="383"/>
      <c r="BG186" s="383"/>
      <c r="BH186" s="383"/>
      <c r="BI186" s="383"/>
      <c r="BJ186" s="383"/>
      <c r="BK186" s="383"/>
      <c r="BL186" s="383"/>
      <c r="BM186" s="383"/>
      <c r="BN186" s="383"/>
      <c r="BO186" s="383"/>
    </row>
    <row r="187" spans="1:67" x14ac:dyDescent="0.25">
      <c r="A187" s="335">
        <v>5708</v>
      </c>
      <c r="B187" s="425" t="s">
        <v>225</v>
      </c>
      <c r="C187" s="446">
        <v>3385396.62</v>
      </c>
      <c r="D187" s="33">
        <v>567580.35</v>
      </c>
      <c r="E187" s="448"/>
      <c r="F187" s="452">
        <v>0</v>
      </c>
      <c r="G187" s="452">
        <v>9153.9</v>
      </c>
      <c r="H187" s="453">
        <v>-8103.25</v>
      </c>
      <c r="I187" s="451">
        <v>17.350000000005799</v>
      </c>
      <c r="J187" s="448">
        <v>170753.68</v>
      </c>
      <c r="K187" s="453">
        <v>4383.1499999999996</v>
      </c>
      <c r="L187" s="448">
        <v>426277.8</v>
      </c>
      <c r="M187" s="422">
        <f t="shared" si="6"/>
        <v>4555459.6000000006</v>
      </c>
      <c r="N187" s="446">
        <v>2082.3000000000002</v>
      </c>
      <c r="O187" s="446">
        <v>0</v>
      </c>
      <c r="P187" s="446">
        <v>346401.1</v>
      </c>
      <c r="Q187" s="446">
        <v>0</v>
      </c>
      <c r="R187" s="33">
        <v>130515.85</v>
      </c>
      <c r="S187" s="340"/>
      <c r="T187" s="446"/>
      <c r="U187" s="33">
        <v>4740</v>
      </c>
      <c r="V187" s="446"/>
      <c r="W187" s="33"/>
      <c r="X187" s="417">
        <v>2235.3000000000002</v>
      </c>
      <c r="Y187" s="328">
        <f t="shared" si="7"/>
        <v>5041434.1499999994</v>
      </c>
      <c r="Z187" s="33"/>
      <c r="AA187" s="33"/>
      <c r="AB187" s="33"/>
      <c r="AC187" s="33"/>
      <c r="AD187" s="33">
        <v>108550.39999999999</v>
      </c>
      <c r="AE187" s="33"/>
      <c r="AF187" s="33"/>
      <c r="AG187" s="33"/>
      <c r="AH187" s="33"/>
      <c r="AI187" s="33"/>
      <c r="AJ187" s="33"/>
      <c r="AK187" s="33"/>
      <c r="AL187" s="33"/>
      <c r="AM187" s="328">
        <f t="shared" si="8"/>
        <v>108550.39999999999</v>
      </c>
      <c r="AN187" s="371">
        <v>68</v>
      </c>
      <c r="AO187" s="388">
        <v>960</v>
      </c>
      <c r="AP187" s="33">
        <v>-12920.05</v>
      </c>
      <c r="AQ187" s="332"/>
      <c r="AR187" s="33">
        <v>-2776.99</v>
      </c>
      <c r="AS187" s="340">
        <v>1.5</v>
      </c>
      <c r="AT187" s="437"/>
      <c r="AU187" s="438"/>
      <c r="AV187" s="441"/>
      <c r="AW187" s="441"/>
      <c r="AX187" s="441"/>
      <c r="AY187" s="441"/>
      <c r="AZ187" s="441"/>
      <c r="BA187" s="441"/>
      <c r="BB187" s="441"/>
      <c r="BC187" s="441"/>
      <c r="BE187" s="383"/>
      <c r="BF187" s="383"/>
      <c r="BG187" s="383"/>
      <c r="BH187" s="383"/>
      <c r="BI187" s="383"/>
      <c r="BJ187" s="383"/>
      <c r="BK187" s="383"/>
      <c r="BL187" s="383"/>
      <c r="BM187" s="383"/>
      <c r="BN187" s="383"/>
      <c r="BO187" s="383"/>
    </row>
    <row r="188" spans="1:67" x14ac:dyDescent="0.25">
      <c r="A188" s="335">
        <v>5709</v>
      </c>
      <c r="B188" s="425" t="s">
        <v>226</v>
      </c>
      <c r="C188" s="446">
        <v>3914885.2</v>
      </c>
      <c r="D188" s="33">
        <v>736506.04</v>
      </c>
      <c r="E188" s="448"/>
      <c r="F188" s="452">
        <v>0</v>
      </c>
      <c r="G188" s="452">
        <v>12434</v>
      </c>
      <c r="H188" s="453">
        <v>9466.2000000000007</v>
      </c>
      <c r="I188" s="451">
        <v>507817.55</v>
      </c>
      <c r="J188" s="448">
        <v>39511.449999999997</v>
      </c>
      <c r="K188" s="453">
        <v>3269.95</v>
      </c>
      <c r="L188" s="448">
        <v>334185.3</v>
      </c>
      <c r="M188" s="422">
        <f t="shared" si="6"/>
        <v>5558075.6900000004</v>
      </c>
      <c r="N188" s="446">
        <v>40088.300000000003</v>
      </c>
      <c r="O188" s="446">
        <v>86653</v>
      </c>
      <c r="P188" s="446">
        <v>341376</v>
      </c>
      <c r="Q188" s="446">
        <v>4636.7299999999996</v>
      </c>
      <c r="R188" s="33">
        <v>178548.8</v>
      </c>
      <c r="S188" s="340">
        <v>400</v>
      </c>
      <c r="T188" s="446">
        <v>2383.3000000000002</v>
      </c>
      <c r="U188" s="33">
        <v>10600</v>
      </c>
      <c r="V188" s="446"/>
      <c r="W188" s="33"/>
      <c r="X188" s="417">
        <v>160195.65</v>
      </c>
      <c r="Y188" s="328">
        <f t="shared" si="7"/>
        <v>6382957.4700000007</v>
      </c>
      <c r="Z188" s="33">
        <v>73387.199999999997</v>
      </c>
      <c r="AA188" s="33">
        <v>175524.6</v>
      </c>
      <c r="AB188" s="33">
        <v>50165.86</v>
      </c>
      <c r="AC188" s="33" t="s">
        <v>599</v>
      </c>
      <c r="AD188" s="33">
        <v>144989.25</v>
      </c>
      <c r="AE188" s="33" t="s">
        <v>599</v>
      </c>
      <c r="AF188" s="33" t="s">
        <v>599</v>
      </c>
      <c r="AG188" s="33" t="s">
        <v>599</v>
      </c>
      <c r="AH188" s="33">
        <v>14137.7</v>
      </c>
      <c r="AI188" s="33"/>
      <c r="AJ188" s="33"/>
      <c r="AK188" s="33"/>
      <c r="AL188" s="33"/>
      <c r="AM188" s="328">
        <f t="shared" si="8"/>
        <v>458204.61</v>
      </c>
      <c r="AN188" s="371">
        <v>57</v>
      </c>
      <c r="AO188" s="388">
        <v>1238</v>
      </c>
      <c r="AP188" s="33">
        <v>-27100.03</v>
      </c>
      <c r="AQ188" s="332"/>
      <c r="AR188" s="33">
        <v>-28486.15</v>
      </c>
      <c r="AS188" s="340">
        <v>1</v>
      </c>
      <c r="AT188" s="437"/>
      <c r="AU188" s="438"/>
      <c r="AV188" s="441"/>
      <c r="AW188" s="441"/>
      <c r="AX188" s="441"/>
      <c r="AY188" s="441"/>
      <c r="AZ188" s="441"/>
      <c r="BA188" s="441"/>
      <c r="BB188" s="441"/>
      <c r="BC188" s="441"/>
      <c r="BE188" s="383"/>
      <c r="BF188" s="383"/>
      <c r="BG188" s="383"/>
      <c r="BH188" s="383"/>
      <c r="BI188" s="383"/>
      <c r="BJ188" s="383"/>
      <c r="BK188" s="383"/>
      <c r="BL188" s="383"/>
      <c r="BM188" s="383"/>
      <c r="BN188" s="383"/>
      <c r="BO188" s="383"/>
    </row>
    <row r="189" spans="1:67" x14ac:dyDescent="0.25">
      <c r="A189" s="335">
        <v>5710</v>
      </c>
      <c r="B189" s="425" t="s">
        <v>227</v>
      </c>
      <c r="C189" s="446">
        <v>537163.31999999995</v>
      </c>
      <c r="D189" s="33">
        <v>220418.93</v>
      </c>
      <c r="E189" s="448"/>
      <c r="F189" s="452">
        <v>0</v>
      </c>
      <c r="G189" s="452">
        <v>3679098.95</v>
      </c>
      <c r="H189" s="453">
        <v>683207.25</v>
      </c>
      <c r="I189" s="451">
        <v>110957.8</v>
      </c>
      <c r="J189" s="448">
        <v>58616.94</v>
      </c>
      <c r="K189" s="453">
        <v>5052.8999999999996</v>
      </c>
      <c r="L189" s="448">
        <v>130458.2</v>
      </c>
      <c r="M189" s="422">
        <f t="shared" si="6"/>
        <v>5424974.290000001</v>
      </c>
      <c r="N189" s="446">
        <v>58083.9</v>
      </c>
      <c r="O189" s="446">
        <v>0</v>
      </c>
      <c r="P189" s="446">
        <v>57629</v>
      </c>
      <c r="Q189" s="446">
        <v>8314.25</v>
      </c>
      <c r="R189" s="33">
        <v>58607.4</v>
      </c>
      <c r="S189" s="340"/>
      <c r="T189" s="446"/>
      <c r="U189" s="33">
        <v>0</v>
      </c>
      <c r="V189" s="446"/>
      <c r="W189" s="33"/>
      <c r="X189" s="417">
        <v>324747.95</v>
      </c>
      <c r="Y189" s="328">
        <f t="shared" si="7"/>
        <v>5932356.7900000019</v>
      </c>
      <c r="Z189" s="33">
        <v>8069.9</v>
      </c>
      <c r="AA189" s="33" t="s">
        <v>599</v>
      </c>
      <c r="AB189" s="33">
        <v>74849.05</v>
      </c>
      <c r="AC189" s="33" t="s">
        <v>599</v>
      </c>
      <c r="AD189" s="33">
        <v>40230</v>
      </c>
      <c r="AE189" s="33">
        <v>-1050.0999999999999</v>
      </c>
      <c r="AF189" s="33" t="s">
        <v>599</v>
      </c>
      <c r="AG189" s="33" t="s">
        <v>599</v>
      </c>
      <c r="AH189" s="33">
        <v>8598</v>
      </c>
      <c r="AI189" s="33">
        <v>21388.95</v>
      </c>
      <c r="AJ189" s="33"/>
      <c r="AK189" s="33"/>
      <c r="AL189" s="33"/>
      <c r="AM189" s="328">
        <f t="shared" si="8"/>
        <v>152085.79999999999</v>
      </c>
      <c r="AN189" s="371">
        <v>51</v>
      </c>
      <c r="AO189" s="388">
        <v>494</v>
      </c>
      <c r="AP189" s="33">
        <v>-13637.42</v>
      </c>
      <c r="AQ189" s="332"/>
      <c r="AR189" s="33">
        <v>-26741.74</v>
      </c>
      <c r="AS189" s="340">
        <v>1</v>
      </c>
      <c r="AT189" s="437"/>
      <c r="AU189" s="438"/>
      <c r="AV189" s="441"/>
      <c r="AW189" s="441"/>
      <c r="AX189" s="441"/>
      <c r="AY189" s="441"/>
      <c r="AZ189" s="441"/>
      <c r="BA189" s="441"/>
      <c r="BB189" s="441"/>
      <c r="BC189" s="441"/>
      <c r="BE189" s="383"/>
      <c r="BF189" s="383"/>
      <c r="BG189" s="383"/>
      <c r="BH189" s="383"/>
      <c r="BI189" s="383"/>
      <c r="BJ189" s="383"/>
      <c r="BK189" s="383"/>
      <c r="BL189" s="383"/>
      <c r="BM189" s="383"/>
      <c r="BN189" s="383"/>
      <c r="BO189" s="383"/>
    </row>
    <row r="190" spans="1:67" x14ac:dyDescent="0.25">
      <c r="A190" s="335">
        <v>5711</v>
      </c>
      <c r="B190" s="425" t="s">
        <v>228</v>
      </c>
      <c r="C190" s="446">
        <v>11537416.92</v>
      </c>
      <c r="D190" s="33">
        <v>2179997.88</v>
      </c>
      <c r="E190" s="448"/>
      <c r="F190" s="452">
        <v>0</v>
      </c>
      <c r="G190" s="452">
        <v>78991.3</v>
      </c>
      <c r="H190" s="453">
        <v>10677.2</v>
      </c>
      <c r="I190" s="451">
        <v>207489.45</v>
      </c>
      <c r="J190" s="448">
        <v>-6677.29</v>
      </c>
      <c r="K190" s="453">
        <v>15537.15</v>
      </c>
      <c r="L190" s="448">
        <v>1139879.8</v>
      </c>
      <c r="M190" s="422">
        <f t="shared" si="6"/>
        <v>15163312.410000002</v>
      </c>
      <c r="N190" s="446">
        <v>21638.05</v>
      </c>
      <c r="O190" s="446">
        <v>0</v>
      </c>
      <c r="P190" s="446">
        <v>714705.85</v>
      </c>
      <c r="Q190" s="446">
        <v>39963.14</v>
      </c>
      <c r="R190" s="33">
        <v>659573.5</v>
      </c>
      <c r="S190" s="340"/>
      <c r="T190" s="446"/>
      <c r="U190" s="33">
        <v>18450</v>
      </c>
      <c r="V190" s="446"/>
      <c r="W190" s="33"/>
      <c r="X190" s="417">
        <v>13805.7</v>
      </c>
      <c r="Y190" s="328">
        <f t="shared" si="7"/>
        <v>16631448.650000002</v>
      </c>
      <c r="Z190" s="33"/>
      <c r="AA190" s="33"/>
      <c r="AB190" s="33"/>
      <c r="AC190" s="33"/>
      <c r="AD190" s="33">
        <v>265545.5</v>
      </c>
      <c r="AE190" s="33"/>
      <c r="AF190" s="33"/>
      <c r="AG190" s="33"/>
      <c r="AH190" s="33">
        <v>9968</v>
      </c>
      <c r="AI190" s="33"/>
      <c r="AJ190" s="33"/>
      <c r="AK190" s="33"/>
      <c r="AL190" s="33"/>
      <c r="AM190" s="328">
        <f t="shared" si="8"/>
        <v>275513.5</v>
      </c>
      <c r="AN190" s="371">
        <v>57</v>
      </c>
      <c r="AO190" s="388">
        <v>2935</v>
      </c>
      <c r="AP190" s="33">
        <v>-114347.05</v>
      </c>
      <c r="AQ190" s="332"/>
      <c r="AR190" s="33">
        <v>-162910.26999999999</v>
      </c>
      <c r="AS190" s="340">
        <v>1.3</v>
      </c>
      <c r="AT190" s="437"/>
      <c r="AU190" s="438"/>
      <c r="AV190" s="441"/>
      <c r="AW190" s="441"/>
      <c r="AX190" s="441"/>
      <c r="AY190" s="441"/>
      <c r="AZ190" s="441"/>
      <c r="BA190" s="441"/>
      <c r="BB190" s="441"/>
      <c r="BC190" s="441"/>
      <c r="BE190" s="383"/>
      <c r="BF190" s="383"/>
      <c r="BG190" s="383"/>
      <c r="BH190" s="383"/>
      <c r="BI190" s="383"/>
      <c r="BJ190" s="383"/>
      <c r="BK190" s="383"/>
      <c r="BL190" s="383"/>
      <c r="BM190" s="383"/>
      <c r="BN190" s="383"/>
      <c r="BO190" s="383"/>
    </row>
    <row r="191" spans="1:67" x14ac:dyDescent="0.25">
      <c r="A191" s="335">
        <v>5712</v>
      </c>
      <c r="B191" s="425" t="s">
        <v>229</v>
      </c>
      <c r="C191" s="446">
        <v>13549548.85</v>
      </c>
      <c r="D191" s="33">
        <v>3901899.72</v>
      </c>
      <c r="E191" s="448"/>
      <c r="F191" s="452">
        <v>0</v>
      </c>
      <c r="G191" s="452">
        <v>352908.15</v>
      </c>
      <c r="H191" s="453">
        <v>59988.25</v>
      </c>
      <c r="I191" s="451">
        <v>1131526.74</v>
      </c>
      <c r="J191" s="448">
        <v>564340.06000000006</v>
      </c>
      <c r="K191" s="453">
        <v>21065.8</v>
      </c>
      <c r="L191" s="448">
        <v>1683799.5</v>
      </c>
      <c r="M191" s="422">
        <f t="shared" si="6"/>
        <v>21265077.069999997</v>
      </c>
      <c r="N191" s="446">
        <v>154539.25</v>
      </c>
      <c r="O191" s="446">
        <v>365553.7</v>
      </c>
      <c r="P191" s="446">
        <v>825607.2</v>
      </c>
      <c r="Q191" s="446">
        <v>6197.8</v>
      </c>
      <c r="R191" s="33">
        <v>1012371.05</v>
      </c>
      <c r="S191" s="340"/>
      <c r="T191" s="446"/>
      <c r="U191" s="33">
        <v>10100</v>
      </c>
      <c r="V191" s="446"/>
      <c r="W191" s="33"/>
      <c r="X191" s="417">
        <v>24563.95</v>
      </c>
      <c r="Y191" s="328">
        <f t="shared" si="7"/>
        <v>23664010.019999996</v>
      </c>
      <c r="Z191" s="33"/>
      <c r="AA191" s="33"/>
      <c r="AB191" s="33"/>
      <c r="AC191" s="33"/>
      <c r="AD191" s="33">
        <v>573216.15</v>
      </c>
      <c r="AE191" s="33"/>
      <c r="AF191" s="33"/>
      <c r="AG191" s="33"/>
      <c r="AH191" s="33"/>
      <c r="AI191" s="33"/>
      <c r="AJ191" s="33"/>
      <c r="AK191" s="33"/>
      <c r="AL191" s="33"/>
      <c r="AM191" s="328">
        <f t="shared" si="8"/>
        <v>573216.15</v>
      </c>
      <c r="AN191" s="371">
        <v>53</v>
      </c>
      <c r="AO191" s="388">
        <v>3211</v>
      </c>
      <c r="AP191" s="33">
        <v>-64869.15</v>
      </c>
      <c r="AQ191" s="332"/>
      <c r="AR191" s="33">
        <v>-50379.64</v>
      </c>
      <c r="AS191" s="340">
        <v>1.5</v>
      </c>
      <c r="AT191" s="437"/>
      <c r="AU191" s="438"/>
      <c r="AV191" s="441"/>
      <c r="AW191" s="441"/>
      <c r="AX191" s="441"/>
      <c r="AY191" s="441"/>
      <c r="AZ191" s="442"/>
      <c r="BA191" s="441"/>
      <c r="BB191" s="441"/>
      <c r="BC191" s="441"/>
      <c r="BE191" s="383"/>
      <c r="BF191" s="383"/>
      <c r="BG191" s="383"/>
      <c r="BH191" s="383"/>
      <c r="BI191" s="383"/>
      <c r="BJ191" s="383"/>
      <c r="BK191" s="383"/>
      <c r="BL191" s="383"/>
      <c r="BM191" s="383"/>
      <c r="BN191" s="383"/>
      <c r="BO191" s="383"/>
    </row>
    <row r="192" spans="1:67" x14ac:dyDescent="0.25">
      <c r="A192" s="335">
        <v>5713</v>
      </c>
      <c r="B192" s="425" t="s">
        <v>230</v>
      </c>
      <c r="C192" s="446">
        <v>9469841.9700000007</v>
      </c>
      <c r="D192" s="33">
        <v>4621034.63</v>
      </c>
      <c r="E192" s="448"/>
      <c r="F192" s="452">
        <v>0</v>
      </c>
      <c r="G192" s="452">
        <v>76183.95</v>
      </c>
      <c r="H192" s="453">
        <v>9466.25</v>
      </c>
      <c r="I192" s="451">
        <v>668928.5</v>
      </c>
      <c r="J192" s="448">
        <v>412482.02</v>
      </c>
      <c r="K192" s="453">
        <v>10277.5</v>
      </c>
      <c r="L192" s="448">
        <v>822395.25</v>
      </c>
      <c r="M192" s="422">
        <f t="shared" si="6"/>
        <v>16090610.07</v>
      </c>
      <c r="N192" s="446">
        <v>21843.1</v>
      </c>
      <c r="O192" s="446">
        <v>94826.2</v>
      </c>
      <c r="P192" s="446">
        <v>466061.65</v>
      </c>
      <c r="Q192" s="446">
        <v>2671.87</v>
      </c>
      <c r="R192" s="33">
        <v>500656.8</v>
      </c>
      <c r="S192" s="340"/>
      <c r="T192" s="446"/>
      <c r="U192" s="33">
        <v>16050</v>
      </c>
      <c r="V192" s="446"/>
      <c r="W192" s="33"/>
      <c r="X192" s="417">
        <v>11032.5</v>
      </c>
      <c r="Y192" s="328">
        <f t="shared" si="7"/>
        <v>17203752.189999998</v>
      </c>
      <c r="Z192" s="33">
        <v>428196.49</v>
      </c>
      <c r="AA192" s="33">
        <v>0</v>
      </c>
      <c r="AB192" s="33">
        <v>505115.42</v>
      </c>
      <c r="AC192" s="33">
        <v>0</v>
      </c>
      <c r="AD192" s="33">
        <v>196395.9</v>
      </c>
      <c r="AE192" s="33">
        <v>0</v>
      </c>
      <c r="AF192" s="33">
        <v>0</v>
      </c>
      <c r="AG192" s="33">
        <v>0</v>
      </c>
      <c r="AH192" s="33">
        <v>5435</v>
      </c>
      <c r="AI192" s="33">
        <v>80193.25</v>
      </c>
      <c r="AJ192" s="33">
        <v>0</v>
      </c>
      <c r="AK192" s="33">
        <v>0</v>
      </c>
      <c r="AL192" s="33">
        <v>0</v>
      </c>
      <c r="AM192" s="328">
        <f t="shared" si="8"/>
        <v>1215336.0599999998</v>
      </c>
      <c r="AN192" s="371">
        <v>56</v>
      </c>
      <c r="AO192" s="388">
        <v>2286</v>
      </c>
      <c r="AP192" s="33">
        <v>-64209.58</v>
      </c>
      <c r="AQ192" s="332"/>
      <c r="AR192" s="33">
        <v>-41516.92</v>
      </c>
      <c r="AS192" s="340">
        <v>1</v>
      </c>
      <c r="AT192" s="437"/>
      <c r="AU192" s="438"/>
      <c r="AV192" s="441"/>
      <c r="AW192" s="441"/>
      <c r="AX192" s="441"/>
      <c r="AY192" s="441"/>
      <c r="AZ192" s="441"/>
      <c r="BA192" s="441"/>
      <c r="BB192" s="441"/>
      <c r="BC192" s="441"/>
      <c r="BE192" s="383"/>
      <c r="BF192" s="383"/>
      <c r="BG192" s="383"/>
      <c r="BH192" s="383"/>
      <c r="BI192" s="383"/>
      <c r="BJ192" s="383"/>
      <c r="BK192" s="383"/>
      <c r="BL192" s="383"/>
      <c r="BM192" s="383"/>
      <c r="BN192" s="383"/>
      <c r="BO192" s="383"/>
    </row>
    <row r="193" spans="1:67" x14ac:dyDescent="0.25">
      <c r="A193" s="335">
        <v>5714</v>
      </c>
      <c r="B193" s="425" t="s">
        <v>231</v>
      </c>
      <c r="C193" s="446">
        <v>3735948.62</v>
      </c>
      <c r="D193" s="33">
        <v>528327.94999999995</v>
      </c>
      <c r="E193" s="448"/>
      <c r="F193" s="452">
        <v>0</v>
      </c>
      <c r="G193" s="452">
        <v>51926.5</v>
      </c>
      <c r="H193" s="453">
        <v>4723.55</v>
      </c>
      <c r="I193" s="451">
        <v>111940.2</v>
      </c>
      <c r="J193" s="448">
        <v>32606.69</v>
      </c>
      <c r="K193" s="453">
        <v>6423</v>
      </c>
      <c r="L193" s="448">
        <v>288713.65000000002</v>
      </c>
      <c r="M193" s="422">
        <f t="shared" si="6"/>
        <v>4760610.1600000011</v>
      </c>
      <c r="N193" s="446">
        <v>78593.5</v>
      </c>
      <c r="O193" s="446">
        <v>0</v>
      </c>
      <c r="P193" s="446">
        <v>143632.35</v>
      </c>
      <c r="Q193" s="446">
        <v>3803.53</v>
      </c>
      <c r="R193" s="33">
        <v>162725.45000000001</v>
      </c>
      <c r="S193" s="340">
        <v>968.05</v>
      </c>
      <c r="T193" s="446"/>
      <c r="U193" s="33">
        <v>4500</v>
      </c>
      <c r="V193" s="446"/>
      <c r="W193" s="33"/>
      <c r="X193" s="417">
        <v>27178.6</v>
      </c>
      <c r="Y193" s="328">
        <f t="shared" si="7"/>
        <v>5182011.6400000006</v>
      </c>
      <c r="Z193" s="33"/>
      <c r="AA193" s="33"/>
      <c r="AB193" s="33"/>
      <c r="AC193" s="33"/>
      <c r="AD193" s="33">
        <v>109990</v>
      </c>
      <c r="AE193" s="33"/>
      <c r="AF193" s="33"/>
      <c r="AG193" s="33"/>
      <c r="AH193" s="33">
        <v>3444</v>
      </c>
      <c r="AI193" s="33">
        <v>33456.9</v>
      </c>
      <c r="AJ193" s="33"/>
      <c r="AK193" s="33"/>
      <c r="AL193" s="33"/>
      <c r="AM193" s="328">
        <f t="shared" si="8"/>
        <v>146890.9</v>
      </c>
      <c r="AN193" s="371">
        <v>68</v>
      </c>
      <c r="AO193" s="388">
        <v>1169</v>
      </c>
      <c r="AP193" s="33">
        <v>-45271.55</v>
      </c>
      <c r="AQ193" s="332"/>
      <c r="AR193" s="33">
        <v>-2820.45</v>
      </c>
      <c r="AS193" s="340">
        <v>1</v>
      </c>
      <c r="AT193" s="437"/>
      <c r="AU193" s="438"/>
      <c r="AV193" s="441"/>
      <c r="AW193" s="441"/>
      <c r="AX193" s="441"/>
      <c r="AY193" s="441"/>
      <c r="AZ193" s="441"/>
      <c r="BA193" s="441"/>
      <c r="BB193" s="441"/>
      <c r="BC193" s="441"/>
      <c r="BE193" s="383"/>
      <c r="BF193" s="383"/>
      <c r="BG193" s="383"/>
      <c r="BH193" s="383"/>
      <c r="BI193" s="383"/>
      <c r="BJ193" s="383"/>
      <c r="BK193" s="383"/>
      <c r="BL193" s="383"/>
      <c r="BM193" s="383"/>
      <c r="BN193" s="383"/>
      <c r="BO193" s="383"/>
    </row>
    <row r="194" spans="1:67" x14ac:dyDescent="0.25">
      <c r="A194" s="335">
        <v>5715</v>
      </c>
      <c r="B194" s="425" t="s">
        <v>232</v>
      </c>
      <c r="C194" s="446">
        <v>3625907.04</v>
      </c>
      <c r="D194" s="33">
        <v>648289.57999999996</v>
      </c>
      <c r="E194" s="448"/>
      <c r="F194" s="452">
        <v>0</v>
      </c>
      <c r="G194" s="452">
        <v>22668</v>
      </c>
      <c r="H194" s="453">
        <v>8780.6</v>
      </c>
      <c r="I194" s="451">
        <v>32824.75</v>
      </c>
      <c r="J194" s="448">
        <v>98503.53</v>
      </c>
      <c r="K194" s="453">
        <v>-1241</v>
      </c>
      <c r="L194" s="448">
        <v>272005.40000000002</v>
      </c>
      <c r="M194" s="422">
        <f t="shared" si="6"/>
        <v>4707737.9000000004</v>
      </c>
      <c r="N194" s="446">
        <v>59422.95</v>
      </c>
      <c r="O194" s="446">
        <v>46385.8</v>
      </c>
      <c r="P194" s="446">
        <v>97376.85</v>
      </c>
      <c r="Q194" s="446">
        <v>85371.839999999997</v>
      </c>
      <c r="R194" s="33">
        <v>154757.35</v>
      </c>
      <c r="S194" s="340"/>
      <c r="T194" s="446"/>
      <c r="U194" s="33">
        <v>6900</v>
      </c>
      <c r="V194" s="446"/>
      <c r="W194" s="33"/>
      <c r="X194" s="417">
        <v>8800.75</v>
      </c>
      <c r="Y194" s="328">
        <f t="shared" si="7"/>
        <v>5166753.4399999995</v>
      </c>
      <c r="Z194" s="33"/>
      <c r="AA194" s="33"/>
      <c r="AB194" s="33">
        <v>119910.35</v>
      </c>
      <c r="AC194" s="33"/>
      <c r="AD194" s="33"/>
      <c r="AE194" s="33">
        <v>4935</v>
      </c>
      <c r="AF194" s="33">
        <v>-17362.3</v>
      </c>
      <c r="AG194" s="33"/>
      <c r="AH194" s="33">
        <v>8712</v>
      </c>
      <c r="AI194" s="33">
        <v>64231.02</v>
      </c>
      <c r="AJ194" s="33"/>
      <c r="AK194" s="33"/>
      <c r="AL194" s="33"/>
      <c r="AM194" s="328">
        <f t="shared" si="8"/>
        <v>180426.07</v>
      </c>
      <c r="AN194" s="371">
        <v>66</v>
      </c>
      <c r="AO194" s="388">
        <v>1090</v>
      </c>
      <c r="AP194" s="33">
        <v>-166233.72</v>
      </c>
      <c r="AQ194" s="332"/>
      <c r="AR194" s="33">
        <v>-7101.43</v>
      </c>
      <c r="AS194" s="340">
        <v>1</v>
      </c>
      <c r="AT194" s="437"/>
      <c r="AU194" s="438"/>
      <c r="AV194" s="461"/>
      <c r="AW194" s="441"/>
      <c r="AX194" s="441"/>
      <c r="AY194" s="441"/>
      <c r="AZ194" s="441"/>
      <c r="BA194" s="441"/>
      <c r="BB194" s="441"/>
      <c r="BC194" s="441"/>
      <c r="BE194" s="383"/>
      <c r="BF194" s="383"/>
      <c r="BG194" s="383"/>
      <c r="BH194" s="383"/>
      <c r="BI194" s="383"/>
      <c r="BJ194" s="383"/>
      <c r="BK194" s="383"/>
      <c r="BL194" s="383"/>
      <c r="BM194" s="383"/>
      <c r="BN194" s="383"/>
      <c r="BO194" s="383"/>
    </row>
    <row r="195" spans="1:67" x14ac:dyDescent="0.25">
      <c r="A195" s="335">
        <v>5716</v>
      </c>
      <c r="B195" s="425" t="s">
        <v>233</v>
      </c>
      <c r="C195" s="446">
        <v>4003667.05</v>
      </c>
      <c r="D195" s="33">
        <v>520296.77</v>
      </c>
      <c r="E195" s="448"/>
      <c r="F195" s="452">
        <v>0</v>
      </c>
      <c r="G195" s="452">
        <v>5758048.4000000004</v>
      </c>
      <c r="H195" s="453">
        <v>1098543.8500000001</v>
      </c>
      <c r="I195" s="451">
        <v>-24162</v>
      </c>
      <c r="J195" s="448">
        <v>255987.84</v>
      </c>
      <c r="K195" s="453">
        <v>103514.3</v>
      </c>
      <c r="L195" s="448">
        <v>641222.05000000005</v>
      </c>
      <c r="M195" s="422">
        <f t="shared" si="6"/>
        <v>12357118.260000002</v>
      </c>
      <c r="N195" s="446">
        <v>485768.2</v>
      </c>
      <c r="O195" s="446">
        <v>36537.300000000003</v>
      </c>
      <c r="P195" s="446">
        <v>349296.8</v>
      </c>
      <c r="Q195" s="446">
        <v>10632.35</v>
      </c>
      <c r="R195" s="33">
        <v>136837.85</v>
      </c>
      <c r="S195" s="340"/>
      <c r="T195" s="446">
        <v>9199.7999999999993</v>
      </c>
      <c r="U195" s="33">
        <v>7400</v>
      </c>
      <c r="V195" s="446"/>
      <c r="W195" s="33"/>
      <c r="X195" s="417">
        <v>314323.5</v>
      </c>
      <c r="Y195" s="328">
        <f t="shared" si="7"/>
        <v>13707114.060000002</v>
      </c>
      <c r="Z195" s="33">
        <v>4873.67</v>
      </c>
      <c r="AA195" s="33" t="s">
        <v>599</v>
      </c>
      <c r="AB195" s="33">
        <v>227969.02</v>
      </c>
      <c r="AC195" s="33" t="s">
        <v>599</v>
      </c>
      <c r="AD195" s="33">
        <v>102013.57</v>
      </c>
      <c r="AE195" s="33" t="s">
        <v>599</v>
      </c>
      <c r="AF195" s="33" t="s">
        <v>599</v>
      </c>
      <c r="AG195" s="33" t="s">
        <v>599</v>
      </c>
      <c r="AH195" s="33" t="s">
        <v>599</v>
      </c>
      <c r="AI195" s="33">
        <v>67534.600000000006</v>
      </c>
      <c r="AJ195" s="33"/>
      <c r="AK195" s="33"/>
      <c r="AL195" s="33"/>
      <c r="AM195" s="328">
        <f t="shared" si="8"/>
        <v>402390.86</v>
      </c>
      <c r="AN195" s="371">
        <v>61</v>
      </c>
      <c r="AO195" s="388">
        <v>1737</v>
      </c>
      <c r="AP195" s="33">
        <v>-54331.56</v>
      </c>
      <c r="AQ195" s="332"/>
      <c r="AR195" s="33">
        <v>-52798.86</v>
      </c>
      <c r="AS195" s="340">
        <v>1</v>
      </c>
      <c r="AT195" s="437"/>
      <c r="AU195" s="438"/>
      <c r="AV195" s="441"/>
      <c r="AW195" s="441"/>
      <c r="AX195" s="441"/>
      <c r="AY195" s="441"/>
      <c r="AZ195" s="441"/>
      <c r="BA195" s="441"/>
      <c r="BB195" s="441"/>
      <c r="BC195" s="441"/>
      <c r="BE195" s="383"/>
      <c r="BF195" s="383"/>
      <c r="BG195" s="383"/>
      <c r="BH195" s="383"/>
      <c r="BI195" s="383"/>
      <c r="BJ195" s="383"/>
      <c r="BK195" s="383"/>
      <c r="BL195" s="383"/>
      <c r="BM195" s="383"/>
      <c r="BN195" s="383"/>
      <c r="BO195" s="383"/>
    </row>
    <row r="196" spans="1:67" x14ac:dyDescent="0.25">
      <c r="A196" s="335">
        <v>5717</v>
      </c>
      <c r="B196" s="425" t="s">
        <v>234</v>
      </c>
      <c r="C196" s="446">
        <v>13252115.74</v>
      </c>
      <c r="D196" s="33">
        <v>4042961.06</v>
      </c>
      <c r="E196" s="448"/>
      <c r="F196" s="452">
        <v>0</v>
      </c>
      <c r="G196" s="452">
        <v>208167.45</v>
      </c>
      <c r="H196" s="453">
        <v>17297</v>
      </c>
      <c r="I196" s="451">
        <v>896177.1</v>
      </c>
      <c r="J196" s="448">
        <v>256975.7</v>
      </c>
      <c r="K196" s="453">
        <v>38705</v>
      </c>
      <c r="L196" s="448">
        <v>1269375.8999999999</v>
      </c>
      <c r="M196" s="422">
        <f t="shared" si="6"/>
        <v>19981774.949999999</v>
      </c>
      <c r="N196" s="446">
        <v>216727.3</v>
      </c>
      <c r="O196" s="446">
        <v>313199.09999999998</v>
      </c>
      <c r="P196" s="446">
        <v>1111030.1499999999</v>
      </c>
      <c r="Q196" s="446">
        <v>12219.67</v>
      </c>
      <c r="R196" s="33">
        <v>932997.2</v>
      </c>
      <c r="S196" s="340"/>
      <c r="T196" s="446"/>
      <c r="U196" s="33">
        <v>20265</v>
      </c>
      <c r="V196" s="446"/>
      <c r="W196" s="33"/>
      <c r="X196" s="417">
        <v>28346.9</v>
      </c>
      <c r="Y196" s="328">
        <f t="shared" si="7"/>
        <v>22616560.27</v>
      </c>
      <c r="Z196" s="33"/>
      <c r="AA196" s="33"/>
      <c r="AB196" s="33"/>
      <c r="AC196" s="33"/>
      <c r="AD196" s="33">
        <v>491134</v>
      </c>
      <c r="AE196" s="33"/>
      <c r="AF196" s="33"/>
      <c r="AG196" s="33"/>
      <c r="AH196" s="33">
        <v>3204</v>
      </c>
      <c r="AI196" s="33"/>
      <c r="AJ196" s="33"/>
      <c r="AK196" s="33">
        <v>65134.35</v>
      </c>
      <c r="AL196" s="33"/>
      <c r="AM196" s="328">
        <f t="shared" si="8"/>
        <v>559472.35</v>
      </c>
      <c r="AN196" s="371">
        <v>57</v>
      </c>
      <c r="AO196" s="388">
        <v>3772</v>
      </c>
      <c r="AP196" s="33">
        <v>-80492.929999999993</v>
      </c>
      <c r="AQ196" s="332">
        <v>-677.05</v>
      </c>
      <c r="AR196" s="33">
        <v>-288985.55</v>
      </c>
      <c r="AS196" s="340">
        <v>1</v>
      </c>
      <c r="AT196" s="437"/>
      <c r="AU196" s="438"/>
      <c r="AV196" s="441"/>
      <c r="AW196" s="441"/>
      <c r="AX196" s="441"/>
      <c r="AY196" s="441"/>
      <c r="AZ196" s="441"/>
      <c r="BA196" s="441"/>
      <c r="BB196" s="441"/>
      <c r="BC196" s="441"/>
      <c r="BE196" s="383"/>
      <c r="BF196" s="383"/>
      <c r="BG196" s="383"/>
      <c r="BH196" s="383"/>
      <c r="BI196" s="383"/>
      <c r="BJ196" s="383"/>
      <c r="BK196" s="383"/>
      <c r="BL196" s="383"/>
      <c r="BM196" s="383"/>
      <c r="BN196" s="383"/>
      <c r="BO196" s="383"/>
    </row>
    <row r="197" spans="1:67" x14ac:dyDescent="0.25">
      <c r="A197" s="335">
        <v>5718</v>
      </c>
      <c r="B197" s="425" t="s">
        <v>235</v>
      </c>
      <c r="C197" s="446">
        <v>6696051.5499999998</v>
      </c>
      <c r="D197" s="33">
        <v>1589745.34</v>
      </c>
      <c r="E197" s="448"/>
      <c r="F197" s="452">
        <v>0</v>
      </c>
      <c r="G197" s="452">
        <v>7016.3999999999896</v>
      </c>
      <c r="H197" s="453">
        <v>6022.35</v>
      </c>
      <c r="I197" s="451">
        <v>239936.05</v>
      </c>
      <c r="J197" s="448">
        <v>176966.58</v>
      </c>
      <c r="K197" s="453">
        <v>39346.6</v>
      </c>
      <c r="L197" s="448">
        <v>653818.6</v>
      </c>
      <c r="M197" s="422">
        <f t="shared" si="6"/>
        <v>9408903.4699999988</v>
      </c>
      <c r="N197" s="446">
        <v>281010.59999999998</v>
      </c>
      <c r="O197" s="446">
        <v>499018.7</v>
      </c>
      <c r="P197" s="446">
        <v>636772.30000000005</v>
      </c>
      <c r="Q197" s="446">
        <v>68471.08</v>
      </c>
      <c r="R197" s="33">
        <v>292877.40000000002</v>
      </c>
      <c r="S197" s="340"/>
      <c r="T197" s="446">
        <v>50</v>
      </c>
      <c r="U197" s="33">
        <v>7200</v>
      </c>
      <c r="V197" s="446"/>
      <c r="W197" s="33"/>
      <c r="X197" s="417">
        <v>67521.149999999994</v>
      </c>
      <c r="Y197" s="328">
        <f t="shared" si="7"/>
        <v>11261824.699999999</v>
      </c>
      <c r="Z197" s="33">
        <v>18820.099999999999</v>
      </c>
      <c r="AA197" s="33"/>
      <c r="AB197" s="33">
        <v>216424.5</v>
      </c>
      <c r="AC197" s="33"/>
      <c r="AD197" s="33">
        <v>197845.15</v>
      </c>
      <c r="AE197" s="33">
        <v>56437.2</v>
      </c>
      <c r="AF197" s="33"/>
      <c r="AG197" s="33"/>
      <c r="AH197" s="33">
        <v>28559.15</v>
      </c>
      <c r="AI197" s="33"/>
      <c r="AJ197" s="33"/>
      <c r="AK197" s="33"/>
      <c r="AL197" s="33"/>
      <c r="AM197" s="328">
        <f t="shared" si="8"/>
        <v>518086.10000000003</v>
      </c>
      <c r="AN197" s="371">
        <v>55</v>
      </c>
      <c r="AO197" s="388">
        <v>2000</v>
      </c>
      <c r="AP197" s="33">
        <v>-100284.6</v>
      </c>
      <c r="AQ197" s="332"/>
      <c r="AR197" s="33">
        <v>-13553.26</v>
      </c>
      <c r="AS197" s="340">
        <v>1</v>
      </c>
      <c r="AT197" s="437"/>
      <c r="AU197" s="438"/>
      <c r="AV197" s="441"/>
      <c r="AW197" s="441"/>
      <c r="AX197" s="441"/>
      <c r="AY197" s="441"/>
      <c r="AZ197" s="441"/>
      <c r="BA197" s="441"/>
      <c r="BB197" s="441"/>
      <c r="BC197" s="441"/>
      <c r="BE197" s="383"/>
      <c r="BF197" s="383"/>
      <c r="BG197" s="383"/>
      <c r="BH197" s="383"/>
      <c r="BI197" s="383"/>
      <c r="BJ197" s="383"/>
      <c r="BK197" s="383"/>
      <c r="BL197" s="383"/>
      <c r="BM197" s="383"/>
      <c r="BN197" s="383"/>
      <c r="BO197" s="383"/>
    </row>
    <row r="198" spans="1:67" x14ac:dyDescent="0.25">
      <c r="A198" s="335">
        <v>5719</v>
      </c>
      <c r="B198" s="425" t="s">
        <v>236</v>
      </c>
      <c r="C198" s="446">
        <v>5095405.38</v>
      </c>
      <c r="D198" s="33">
        <v>2375604.75</v>
      </c>
      <c r="E198" s="448"/>
      <c r="F198" s="452">
        <v>0</v>
      </c>
      <c r="G198" s="452">
        <v>87340.15</v>
      </c>
      <c r="H198" s="453">
        <v>2210.15</v>
      </c>
      <c r="I198" s="451">
        <v>145661.79999999999</v>
      </c>
      <c r="J198" s="448">
        <v>74826.42</v>
      </c>
      <c r="K198" s="453">
        <v>-39267.199999999997</v>
      </c>
      <c r="L198" s="448">
        <v>241886.05</v>
      </c>
      <c r="M198" s="422">
        <f t="shared" si="6"/>
        <v>7983667.5</v>
      </c>
      <c r="N198" s="446">
        <v>55232.15</v>
      </c>
      <c r="O198" s="446">
        <v>27481.8</v>
      </c>
      <c r="P198" s="446">
        <v>180299.4</v>
      </c>
      <c r="Q198" s="446">
        <v>6889.27</v>
      </c>
      <c r="R198" s="33">
        <v>146778.15</v>
      </c>
      <c r="S198" s="340"/>
      <c r="T198" s="446"/>
      <c r="U198" s="33">
        <v>16000</v>
      </c>
      <c r="V198" s="446"/>
      <c r="W198" s="33"/>
      <c r="X198" s="417">
        <v>10961.5</v>
      </c>
      <c r="Y198" s="328">
        <f t="shared" si="7"/>
        <v>8427309.7699999996</v>
      </c>
      <c r="Z198" s="33"/>
      <c r="AA198" s="33">
        <v>196564.15</v>
      </c>
      <c r="AB198" s="33">
        <v>91969.73</v>
      </c>
      <c r="AC198" s="33"/>
      <c r="AD198" s="33">
        <v>93970.4</v>
      </c>
      <c r="AE198" s="33">
        <v>256427.05</v>
      </c>
      <c r="AF198" s="33"/>
      <c r="AG198" s="33"/>
      <c r="AH198" s="33"/>
      <c r="AI198" s="33"/>
      <c r="AJ198" s="33"/>
      <c r="AK198" s="33"/>
      <c r="AL198" s="33"/>
      <c r="AM198" s="328">
        <f t="shared" si="8"/>
        <v>638931.33000000007</v>
      </c>
      <c r="AN198" s="371">
        <v>57</v>
      </c>
      <c r="AO198" s="388">
        <v>1239</v>
      </c>
      <c r="AP198" s="33">
        <v>-44485.760000000002</v>
      </c>
      <c r="AQ198" s="332"/>
      <c r="AR198" s="33">
        <v>-6182.23</v>
      </c>
      <c r="AS198" s="340">
        <v>0.6</v>
      </c>
      <c r="AT198" s="437"/>
      <c r="AU198" s="438"/>
      <c r="AV198" s="441"/>
      <c r="AW198" s="441"/>
      <c r="AX198" s="441"/>
      <c r="AY198" s="441"/>
      <c r="AZ198" s="441"/>
      <c r="BA198" s="441"/>
      <c r="BB198" s="441"/>
      <c r="BC198" s="441"/>
      <c r="BE198" s="383"/>
      <c r="BF198" s="383"/>
      <c r="BG198" s="383"/>
      <c r="BH198" s="383"/>
      <c r="BI198" s="383"/>
      <c r="BJ198" s="383"/>
      <c r="BK198" s="383"/>
      <c r="BL198" s="383"/>
      <c r="BM198" s="383"/>
      <c r="BN198" s="383"/>
      <c r="BO198" s="383"/>
    </row>
    <row r="199" spans="1:67" x14ac:dyDescent="0.25">
      <c r="A199" s="335">
        <v>5720</v>
      </c>
      <c r="B199" s="425" t="s">
        <v>237</v>
      </c>
      <c r="C199" s="446">
        <v>3573722.67</v>
      </c>
      <c r="D199" s="33">
        <v>1015483.77</v>
      </c>
      <c r="E199" s="448"/>
      <c r="F199" s="452">
        <v>0</v>
      </c>
      <c r="G199" s="452">
        <v>57887.85</v>
      </c>
      <c r="H199" s="453">
        <v>6555.2</v>
      </c>
      <c r="I199" s="451">
        <v>574825.85</v>
      </c>
      <c r="J199" s="448">
        <v>37717.85</v>
      </c>
      <c r="K199" s="453">
        <v>0</v>
      </c>
      <c r="L199" s="448">
        <v>267014.95</v>
      </c>
      <c r="M199" s="422">
        <f t="shared" ref="M199:M262" si="9">SUM(C199:L199)</f>
        <v>5533208.1399999987</v>
      </c>
      <c r="N199" s="446">
        <v>12988.35</v>
      </c>
      <c r="O199" s="446">
        <v>0</v>
      </c>
      <c r="P199" s="446">
        <v>332359.34999999998</v>
      </c>
      <c r="Q199" s="446">
        <v>3407.15</v>
      </c>
      <c r="R199" s="33">
        <v>246977.95</v>
      </c>
      <c r="S199" s="340"/>
      <c r="T199" s="446"/>
      <c r="U199" s="33">
        <v>5680</v>
      </c>
      <c r="V199" s="446"/>
      <c r="W199" s="33"/>
      <c r="X199" s="417">
        <v>18131.5</v>
      </c>
      <c r="Y199" s="328">
        <f t="shared" si="7"/>
        <v>6152752.4399999985</v>
      </c>
      <c r="Z199" s="33">
        <v>46263.4</v>
      </c>
      <c r="AA199" s="33"/>
      <c r="AB199" s="33">
        <v>145386.6</v>
      </c>
      <c r="AC199" s="33"/>
      <c r="AD199" s="33">
        <v>60023.65</v>
      </c>
      <c r="AE199" s="33">
        <v>51994.25</v>
      </c>
      <c r="AF199" s="33"/>
      <c r="AG199" s="33"/>
      <c r="AH199" s="33"/>
      <c r="AI199" s="33"/>
      <c r="AJ199" s="33"/>
      <c r="AK199" s="33"/>
      <c r="AL199" s="33"/>
      <c r="AM199" s="328">
        <f t="shared" si="8"/>
        <v>303667.90000000002</v>
      </c>
      <c r="AN199" s="371">
        <v>67</v>
      </c>
      <c r="AO199" s="388">
        <v>1032</v>
      </c>
      <c r="AP199" s="33">
        <v>-44730.07</v>
      </c>
      <c r="AQ199" s="332"/>
      <c r="AR199" s="33">
        <v>-7872.43</v>
      </c>
      <c r="AS199" s="340">
        <v>0.9</v>
      </c>
      <c r="AT199" s="437"/>
      <c r="AU199" s="438"/>
      <c r="AV199" s="441"/>
      <c r="AW199" s="441"/>
      <c r="AX199" s="441"/>
      <c r="AY199" s="441"/>
      <c r="AZ199" s="441"/>
      <c r="BA199" s="441"/>
      <c r="BB199" s="441"/>
      <c r="BC199" s="441"/>
      <c r="BE199" s="383"/>
      <c r="BF199" s="383"/>
      <c r="BG199" s="383"/>
      <c r="BH199" s="383"/>
      <c r="BI199" s="383"/>
      <c r="BJ199" s="383"/>
      <c r="BK199" s="383"/>
      <c r="BL199" s="383"/>
      <c r="BM199" s="383"/>
      <c r="BN199" s="383"/>
      <c r="BO199" s="383"/>
    </row>
    <row r="200" spans="1:67" x14ac:dyDescent="0.25">
      <c r="A200" s="335">
        <v>5721</v>
      </c>
      <c r="B200" s="425" t="s">
        <v>238</v>
      </c>
      <c r="C200" s="446">
        <v>26031038.23</v>
      </c>
      <c r="D200" s="33">
        <v>5144385.46</v>
      </c>
      <c r="E200" s="448"/>
      <c r="F200" s="452">
        <v>0</v>
      </c>
      <c r="G200" s="452">
        <v>4439916.8</v>
      </c>
      <c r="H200" s="453">
        <v>406442.95</v>
      </c>
      <c r="I200" s="451">
        <v>1005528.55</v>
      </c>
      <c r="J200" s="448">
        <v>935166.45</v>
      </c>
      <c r="K200" s="453">
        <v>348409</v>
      </c>
      <c r="L200" s="448">
        <v>2792261.2</v>
      </c>
      <c r="M200" s="422">
        <f t="shared" si="9"/>
        <v>41103148.640000008</v>
      </c>
      <c r="N200" s="446">
        <v>1685223</v>
      </c>
      <c r="O200" s="446">
        <v>12172546.199999999</v>
      </c>
      <c r="P200" s="446">
        <v>1086692.25</v>
      </c>
      <c r="Q200" s="446">
        <v>166904.13</v>
      </c>
      <c r="R200" s="33">
        <v>778082.6</v>
      </c>
      <c r="S200" s="340"/>
      <c r="T200" s="446"/>
      <c r="U200" s="33">
        <v>63950</v>
      </c>
      <c r="V200" s="446"/>
      <c r="W200" s="33"/>
      <c r="X200" s="417">
        <v>442762.45</v>
      </c>
      <c r="Y200" s="328">
        <f t="shared" ref="Y200:Y263" si="10">SUM(M200:X200)</f>
        <v>57499309.270000011</v>
      </c>
      <c r="Z200" s="33">
        <v>151371</v>
      </c>
      <c r="AA200" s="33"/>
      <c r="AB200" s="33">
        <v>1097124.3999999999</v>
      </c>
      <c r="AC200" s="33"/>
      <c r="AD200" s="33">
        <v>1514705.6</v>
      </c>
      <c r="AE200" s="33">
        <v>60548.45</v>
      </c>
      <c r="AF200" s="33"/>
      <c r="AG200" s="33"/>
      <c r="AH200" s="33">
        <v>48474.2</v>
      </c>
      <c r="AI200" s="33">
        <v>442320.84</v>
      </c>
      <c r="AJ200" s="33">
        <v>252780.13</v>
      </c>
      <c r="AK200" s="33">
        <v>442318.83</v>
      </c>
      <c r="AL200" s="33">
        <v>316057.08</v>
      </c>
      <c r="AM200" s="328">
        <f t="shared" ref="AM200:AM263" si="11">SUM(Z200:AL200)</f>
        <v>4325700.53</v>
      </c>
      <c r="AN200" s="371">
        <v>62.5</v>
      </c>
      <c r="AO200" s="388">
        <v>13194</v>
      </c>
      <c r="AP200" s="33">
        <v>-741438.48</v>
      </c>
      <c r="AQ200" s="332"/>
      <c r="AR200" s="33">
        <v>-31504.61</v>
      </c>
      <c r="AS200" s="340">
        <v>1</v>
      </c>
      <c r="AT200" s="437"/>
      <c r="AU200" s="438"/>
      <c r="AV200" s="441"/>
      <c r="AW200" s="441"/>
      <c r="AX200" s="441"/>
      <c r="AY200" s="441"/>
      <c r="AZ200" s="441"/>
      <c r="BA200" s="441"/>
      <c r="BB200" s="441"/>
      <c r="BC200" s="441"/>
      <c r="BE200" s="383"/>
      <c r="BF200" s="383"/>
      <c r="BG200" s="383"/>
      <c r="BH200" s="383"/>
      <c r="BI200" s="383"/>
      <c r="BJ200" s="383"/>
      <c r="BK200" s="383"/>
      <c r="BL200" s="383"/>
      <c r="BM200" s="383"/>
      <c r="BN200" s="383"/>
      <c r="BO200" s="383"/>
    </row>
    <row r="201" spans="1:67" x14ac:dyDescent="0.25">
      <c r="A201" s="335">
        <v>5722</v>
      </c>
      <c r="B201" s="425" t="s">
        <v>239</v>
      </c>
      <c r="C201" s="446">
        <v>980663.14</v>
      </c>
      <c r="D201" s="33">
        <v>196990.65</v>
      </c>
      <c r="E201" s="448"/>
      <c r="F201" s="452">
        <v>0</v>
      </c>
      <c r="G201" s="452">
        <v>-4127.1000000000004</v>
      </c>
      <c r="H201" s="453">
        <v>1447.55</v>
      </c>
      <c r="I201" s="451">
        <v>0</v>
      </c>
      <c r="J201" s="448">
        <v>-9356.33</v>
      </c>
      <c r="K201" s="453">
        <v>5654</v>
      </c>
      <c r="L201" s="448">
        <v>86104.75</v>
      </c>
      <c r="M201" s="422">
        <f t="shared" si="9"/>
        <v>1257376.6599999999</v>
      </c>
      <c r="N201" s="446">
        <v>14870.05</v>
      </c>
      <c r="O201" s="446">
        <v>0</v>
      </c>
      <c r="P201" s="446">
        <v>38005</v>
      </c>
      <c r="Q201" s="446">
        <v>0</v>
      </c>
      <c r="R201" s="33">
        <v>90937.05</v>
      </c>
      <c r="S201" s="340"/>
      <c r="T201" s="446"/>
      <c r="U201" s="33">
        <v>1750</v>
      </c>
      <c r="V201" s="446"/>
      <c r="W201" s="33"/>
      <c r="X201" s="417">
        <v>2848.75</v>
      </c>
      <c r="Y201" s="328">
        <f t="shared" si="10"/>
        <v>1405787.51</v>
      </c>
      <c r="Z201" s="33">
        <v>37500</v>
      </c>
      <c r="AA201" s="33"/>
      <c r="AB201" s="33">
        <v>48774.559999999998</v>
      </c>
      <c r="AC201" s="33"/>
      <c r="AD201" s="33">
        <v>26566.799999999999</v>
      </c>
      <c r="AE201" s="33"/>
      <c r="AF201" s="33"/>
      <c r="AG201" s="33"/>
      <c r="AH201" s="33"/>
      <c r="AI201" s="33">
        <v>10801.05</v>
      </c>
      <c r="AJ201" s="33"/>
      <c r="AK201" s="33"/>
      <c r="AL201" s="33"/>
      <c r="AM201" s="328">
        <f t="shared" si="11"/>
        <v>123642.41</v>
      </c>
      <c r="AN201" s="371">
        <v>62</v>
      </c>
      <c r="AO201" s="388">
        <v>383</v>
      </c>
      <c r="AP201" s="33">
        <v>-363.9</v>
      </c>
      <c r="AQ201" s="332"/>
      <c r="AR201" s="33">
        <v>-831.89</v>
      </c>
      <c r="AS201" s="340">
        <v>1</v>
      </c>
      <c r="AT201" s="437"/>
      <c r="AU201" s="438"/>
      <c r="AV201" s="441"/>
      <c r="AW201" s="441"/>
      <c r="AX201" s="441"/>
      <c r="AY201" s="441"/>
      <c r="AZ201" s="441"/>
      <c r="BA201" s="441"/>
      <c r="BB201" s="441"/>
      <c r="BC201" s="441"/>
      <c r="BE201" s="383"/>
      <c r="BF201" s="383"/>
      <c r="BG201" s="383"/>
      <c r="BH201" s="383"/>
      <c r="BI201" s="383"/>
      <c r="BJ201" s="383"/>
      <c r="BK201" s="383"/>
      <c r="BL201" s="383"/>
      <c r="BM201" s="383"/>
      <c r="BN201" s="383"/>
      <c r="BO201" s="383"/>
    </row>
    <row r="202" spans="1:67" x14ac:dyDescent="0.25">
      <c r="A202" s="335">
        <v>5723</v>
      </c>
      <c r="B202" s="425" t="s">
        <v>240</v>
      </c>
      <c r="C202" s="446">
        <v>23752957.609999999</v>
      </c>
      <c r="D202" s="33">
        <v>4963577.3099999996</v>
      </c>
      <c r="E202" s="448"/>
      <c r="F202" s="452">
        <v>0</v>
      </c>
      <c r="G202" s="452">
        <v>78553.45</v>
      </c>
      <c r="H202" s="453">
        <v>21369.5</v>
      </c>
      <c r="I202" s="451">
        <v>591373.35</v>
      </c>
      <c r="J202" s="448">
        <v>96222.3</v>
      </c>
      <c r="K202" s="453">
        <v>40930.199999999997</v>
      </c>
      <c r="L202" s="448">
        <v>800321.1</v>
      </c>
      <c r="M202" s="422">
        <f t="shared" si="9"/>
        <v>30345304.82</v>
      </c>
      <c r="N202" s="446">
        <v>100227.75</v>
      </c>
      <c r="O202" s="446">
        <v>130922.2</v>
      </c>
      <c r="P202" s="446">
        <v>369625.9</v>
      </c>
      <c r="Q202" s="446">
        <v>11415.21</v>
      </c>
      <c r="R202" s="33">
        <v>545046.69999999995</v>
      </c>
      <c r="S202" s="340"/>
      <c r="T202" s="446"/>
      <c r="U202" s="33">
        <v>7650</v>
      </c>
      <c r="V202" s="446"/>
      <c r="W202" s="33"/>
      <c r="X202" s="417">
        <v>34336.15</v>
      </c>
      <c r="Y202" s="328">
        <f t="shared" si="10"/>
        <v>31544528.729999997</v>
      </c>
      <c r="Z202" s="33"/>
      <c r="AA202" s="33"/>
      <c r="AB202" s="33"/>
      <c r="AC202" s="33"/>
      <c r="AD202" s="33">
        <v>174947.95</v>
      </c>
      <c r="AE202" s="33"/>
      <c r="AF202" s="33"/>
      <c r="AG202" s="33"/>
      <c r="AH202" s="33">
        <v>10835</v>
      </c>
      <c r="AI202" s="33">
        <v>78282.649999999994</v>
      </c>
      <c r="AJ202" s="33"/>
      <c r="AK202" s="33"/>
      <c r="AL202" s="33"/>
      <c r="AM202" s="328">
        <f t="shared" si="11"/>
        <v>264065.59999999998</v>
      </c>
      <c r="AN202" s="371">
        <v>53</v>
      </c>
      <c r="AO202" s="388">
        <v>2116</v>
      </c>
      <c r="AP202" s="33">
        <v>-22965.83</v>
      </c>
      <c r="AQ202" s="332"/>
      <c r="AR202" s="33">
        <v>-65097.79</v>
      </c>
      <c r="AS202" s="340">
        <v>1</v>
      </c>
      <c r="AT202" s="437"/>
      <c r="AU202" s="438"/>
      <c r="AV202" s="441"/>
      <c r="AW202" s="441"/>
      <c r="AX202" s="441"/>
      <c r="AY202" s="441"/>
      <c r="AZ202" s="441"/>
      <c r="BA202" s="441"/>
      <c r="BB202" s="441"/>
      <c r="BC202" s="441"/>
      <c r="BE202" s="383"/>
      <c r="BF202" s="383"/>
      <c r="BG202" s="383"/>
      <c r="BH202" s="383"/>
      <c r="BI202" s="383"/>
      <c r="BJ202" s="383"/>
      <c r="BK202" s="383"/>
      <c r="BL202" s="383"/>
      <c r="BM202" s="383"/>
      <c r="BN202" s="383"/>
      <c r="BO202" s="383"/>
    </row>
    <row r="203" spans="1:67" x14ac:dyDescent="0.25">
      <c r="A203" s="335">
        <v>5724</v>
      </c>
      <c r="B203" s="425" t="s">
        <v>69</v>
      </c>
      <c r="C203" s="446">
        <v>54817621.829999998</v>
      </c>
      <c r="D203" s="33">
        <v>10235054.91</v>
      </c>
      <c r="E203" s="448"/>
      <c r="F203" s="452">
        <v>0</v>
      </c>
      <c r="G203" s="452">
        <v>7751705</v>
      </c>
      <c r="H203" s="453">
        <v>571570.5</v>
      </c>
      <c r="I203" s="451">
        <v>3026565.87</v>
      </c>
      <c r="J203" s="448">
        <v>2950881.6</v>
      </c>
      <c r="K203" s="453">
        <v>795429</v>
      </c>
      <c r="L203" s="448">
        <v>6737909.3499999996</v>
      </c>
      <c r="M203" s="422">
        <f t="shared" si="9"/>
        <v>86886738.059999987</v>
      </c>
      <c r="N203" s="446">
        <v>4882546.7</v>
      </c>
      <c r="O203" s="446">
        <v>2897019.8</v>
      </c>
      <c r="P203" s="446">
        <v>2653985.7000000002</v>
      </c>
      <c r="Q203" s="446">
        <v>120393.85</v>
      </c>
      <c r="R203" s="33">
        <v>2684995.65</v>
      </c>
      <c r="S203" s="340"/>
      <c r="T203" s="446">
        <v>78001.5</v>
      </c>
      <c r="U203" s="33">
        <v>45560</v>
      </c>
      <c r="V203" s="446"/>
      <c r="W203" s="33"/>
      <c r="X203" s="417">
        <v>2152592.9500000002</v>
      </c>
      <c r="Y203" s="328">
        <f t="shared" si="10"/>
        <v>102401834.20999999</v>
      </c>
      <c r="Z203" s="33">
        <v>1297603.01</v>
      </c>
      <c r="AA203" s="33">
        <v>0</v>
      </c>
      <c r="AB203" s="33">
        <v>3748115.53</v>
      </c>
      <c r="AC203" s="33">
        <v>0</v>
      </c>
      <c r="AD203" s="33">
        <v>1997784.19</v>
      </c>
      <c r="AE203" s="33">
        <v>1474173.45</v>
      </c>
      <c r="AF203" s="33">
        <v>0</v>
      </c>
      <c r="AG203" s="33">
        <v>0</v>
      </c>
      <c r="AH203" s="33">
        <v>203817</v>
      </c>
      <c r="AI203" s="33">
        <v>714488.7</v>
      </c>
      <c r="AJ203" s="33">
        <v>816545.52</v>
      </c>
      <c r="AK203" s="33">
        <v>510422.47</v>
      </c>
      <c r="AL203" s="33">
        <v>204141.2</v>
      </c>
      <c r="AM203" s="328">
        <f t="shared" si="11"/>
        <v>10967091.069999998</v>
      </c>
      <c r="AN203" s="371">
        <v>61</v>
      </c>
      <c r="AO203" s="388">
        <v>21416</v>
      </c>
      <c r="AP203" s="33">
        <v>-832000.88</v>
      </c>
      <c r="AQ203" s="332"/>
      <c r="AR203" s="33">
        <v>-1186988.81</v>
      </c>
      <c r="AS203" s="340">
        <v>1.3</v>
      </c>
      <c r="AT203" s="437"/>
      <c r="AU203" s="438"/>
      <c r="AV203" s="441"/>
      <c r="AW203" s="441"/>
      <c r="AX203" s="441"/>
      <c r="AY203" s="441"/>
      <c r="AZ203" s="441"/>
      <c r="BA203" s="441"/>
      <c r="BB203" s="441"/>
      <c r="BC203" s="441"/>
      <c r="BE203" s="383"/>
      <c r="BF203" s="383"/>
      <c r="BG203" s="383"/>
      <c r="BH203" s="383"/>
      <c r="BI203" s="383"/>
      <c r="BJ203" s="383"/>
      <c r="BK203" s="383"/>
      <c r="BL203" s="383"/>
      <c r="BM203" s="383"/>
      <c r="BN203" s="383"/>
      <c r="BO203" s="383"/>
    </row>
    <row r="204" spans="1:67" x14ac:dyDescent="0.25">
      <c r="A204" s="335">
        <v>5725</v>
      </c>
      <c r="B204" s="425" t="s">
        <v>70</v>
      </c>
      <c r="C204" s="446">
        <v>11685207.630000001</v>
      </c>
      <c r="D204" s="33">
        <v>3334645.07</v>
      </c>
      <c r="E204" s="448"/>
      <c r="F204" s="452">
        <v>0</v>
      </c>
      <c r="G204" s="452">
        <v>2347039.35</v>
      </c>
      <c r="H204" s="453">
        <v>38529.699999999997</v>
      </c>
      <c r="I204" s="451">
        <v>245328.09</v>
      </c>
      <c r="J204" s="448">
        <v>177581.08</v>
      </c>
      <c r="K204" s="453">
        <v>71464.7</v>
      </c>
      <c r="L204" s="448">
        <v>1627350.05</v>
      </c>
      <c r="M204" s="422">
        <f t="shared" si="9"/>
        <v>19527145.669999998</v>
      </c>
      <c r="N204" s="446">
        <v>1121038.45</v>
      </c>
      <c r="O204" s="446">
        <v>25642.3</v>
      </c>
      <c r="P204" s="446">
        <v>1252365.75</v>
      </c>
      <c r="Q204" s="446">
        <v>80651.56</v>
      </c>
      <c r="R204" s="33">
        <v>1337206.8999999999</v>
      </c>
      <c r="S204" s="340">
        <v>586.79999999999995</v>
      </c>
      <c r="T204" s="446"/>
      <c r="U204" s="33">
        <v>16875</v>
      </c>
      <c r="V204" s="446"/>
      <c r="W204" s="33"/>
      <c r="X204" s="417">
        <v>102268.65</v>
      </c>
      <c r="Y204" s="328">
        <f t="shared" si="10"/>
        <v>23463781.079999994</v>
      </c>
      <c r="Z204" s="33">
        <v>32906.120000000003</v>
      </c>
      <c r="AA204" s="33"/>
      <c r="AB204" s="33">
        <v>345873.81</v>
      </c>
      <c r="AC204" s="33"/>
      <c r="AD204" s="33">
        <v>301814.89</v>
      </c>
      <c r="AE204" s="33"/>
      <c r="AF204" s="33"/>
      <c r="AG204" s="33"/>
      <c r="AH204" s="33">
        <v>54673.95</v>
      </c>
      <c r="AI204" s="33"/>
      <c r="AJ204" s="33"/>
      <c r="AK204" s="33">
        <v>202464.63</v>
      </c>
      <c r="AL204" s="33"/>
      <c r="AM204" s="328">
        <f t="shared" si="11"/>
        <v>937733.4</v>
      </c>
      <c r="AN204" s="371">
        <v>56</v>
      </c>
      <c r="AO204" s="388">
        <v>4088</v>
      </c>
      <c r="AP204" s="33">
        <v>-161484.73000000001</v>
      </c>
      <c r="AQ204" s="332"/>
      <c r="AR204" s="33">
        <v>-93116.76</v>
      </c>
      <c r="AS204" s="340">
        <v>1.4</v>
      </c>
      <c r="AT204" s="437"/>
      <c r="AU204" s="438"/>
      <c r="AV204" s="441"/>
      <c r="AW204" s="441"/>
      <c r="AX204" s="441"/>
      <c r="AY204" s="441"/>
      <c r="AZ204" s="441"/>
      <c r="BA204" s="441"/>
      <c r="BB204" s="441"/>
      <c r="BC204" s="441"/>
      <c r="BE204" s="383"/>
      <c r="BF204" s="383"/>
      <c r="BG204" s="383"/>
      <c r="BH204" s="383"/>
      <c r="BI204" s="383"/>
      <c r="BJ204" s="383"/>
      <c r="BK204" s="383"/>
      <c r="BL204" s="383"/>
      <c r="BM204" s="383"/>
      <c r="BN204" s="383"/>
      <c r="BO204" s="383"/>
    </row>
    <row r="205" spans="1:67" x14ac:dyDescent="0.25">
      <c r="A205" s="335">
        <v>5726</v>
      </c>
      <c r="B205" s="425" t="s">
        <v>319</v>
      </c>
      <c r="C205" s="446">
        <v>3164431.37</v>
      </c>
      <c r="D205" s="33">
        <v>546525.89</v>
      </c>
      <c r="E205" s="448"/>
      <c r="F205" s="452">
        <v>0</v>
      </c>
      <c r="G205" s="452">
        <v>17116.650000000001</v>
      </c>
      <c r="H205" s="453">
        <v>-3194.1</v>
      </c>
      <c r="I205" s="451">
        <v>0</v>
      </c>
      <c r="J205" s="448">
        <v>21972.47</v>
      </c>
      <c r="K205" s="453">
        <v>5667.15</v>
      </c>
      <c r="L205" s="448">
        <v>257062.25</v>
      </c>
      <c r="M205" s="422">
        <f t="shared" si="9"/>
        <v>4009581.68</v>
      </c>
      <c r="N205" s="446">
        <v>43623.199999999997</v>
      </c>
      <c r="O205" s="446">
        <v>0</v>
      </c>
      <c r="P205" s="446">
        <v>161739.6</v>
      </c>
      <c r="Q205" s="446">
        <v>2222.1999999999998</v>
      </c>
      <c r="R205" s="33">
        <v>78583.399999999994</v>
      </c>
      <c r="S205" s="340"/>
      <c r="T205" s="446"/>
      <c r="U205" s="33">
        <v>9450</v>
      </c>
      <c r="V205" s="446"/>
      <c r="W205" s="33"/>
      <c r="X205" s="417">
        <v>6176.35</v>
      </c>
      <c r="Y205" s="328">
        <f t="shared" si="10"/>
        <v>4311376.4300000006</v>
      </c>
      <c r="Z205" s="33">
        <v>86510</v>
      </c>
      <c r="AA205" s="33"/>
      <c r="AB205" s="33">
        <v>163266.64000000001</v>
      </c>
      <c r="AC205" s="33"/>
      <c r="AD205" s="33">
        <v>94191.22</v>
      </c>
      <c r="AE205" s="33">
        <v>71801.149999999994</v>
      </c>
      <c r="AF205" s="33"/>
      <c r="AG205" s="33"/>
      <c r="AH205" s="33">
        <v>7187.85</v>
      </c>
      <c r="AI205" s="33"/>
      <c r="AJ205" s="33"/>
      <c r="AK205" s="33"/>
      <c r="AL205" s="33"/>
      <c r="AM205" s="328">
        <f t="shared" si="11"/>
        <v>422956.86</v>
      </c>
      <c r="AN205" s="371">
        <v>65</v>
      </c>
      <c r="AO205" s="388">
        <v>1136</v>
      </c>
      <c r="AP205" s="33">
        <v>-21224.69</v>
      </c>
      <c r="AQ205" s="332"/>
      <c r="AR205" s="33">
        <v>-10530.72</v>
      </c>
      <c r="AS205" s="340">
        <v>1</v>
      </c>
      <c r="AT205" s="437"/>
      <c r="AU205" s="438"/>
      <c r="AV205" s="441"/>
      <c r="AW205" s="441"/>
      <c r="AX205" s="441"/>
      <c r="AY205" s="441"/>
      <c r="AZ205" s="441"/>
      <c r="BA205" s="441"/>
      <c r="BB205" s="441"/>
      <c r="BC205" s="441"/>
      <c r="BE205" s="383"/>
      <c r="BF205" s="383"/>
      <c r="BG205" s="383"/>
      <c r="BH205" s="383"/>
      <c r="BI205" s="383"/>
      <c r="BJ205" s="383"/>
      <c r="BK205" s="383"/>
      <c r="BL205" s="383"/>
      <c r="BM205" s="383"/>
      <c r="BN205" s="383"/>
      <c r="BO205" s="383"/>
    </row>
    <row r="206" spans="1:67" x14ac:dyDescent="0.25">
      <c r="A206" s="335">
        <v>5727</v>
      </c>
      <c r="B206" s="425" t="s">
        <v>320</v>
      </c>
      <c r="C206" s="446">
        <v>4883872.09</v>
      </c>
      <c r="D206" s="33">
        <v>863274</v>
      </c>
      <c r="E206" s="448"/>
      <c r="F206" s="452">
        <v>0</v>
      </c>
      <c r="G206" s="452">
        <v>58006.35</v>
      </c>
      <c r="H206" s="453">
        <v>4098.7</v>
      </c>
      <c r="I206" s="451">
        <v>116097.25</v>
      </c>
      <c r="J206" s="448">
        <v>91225.66</v>
      </c>
      <c r="K206" s="453">
        <v>10059.15</v>
      </c>
      <c r="L206" s="448">
        <v>766898.5</v>
      </c>
      <c r="M206" s="422">
        <f t="shared" si="9"/>
        <v>6793531.7000000002</v>
      </c>
      <c r="N206" s="446">
        <v>158797.79999999999</v>
      </c>
      <c r="O206" s="446">
        <v>25357.7</v>
      </c>
      <c r="P206" s="446">
        <v>443308.5</v>
      </c>
      <c r="Q206" s="446">
        <v>28318.5</v>
      </c>
      <c r="R206" s="33">
        <v>179725.75</v>
      </c>
      <c r="S206" s="340"/>
      <c r="T206" s="446"/>
      <c r="U206" s="33">
        <v>12475</v>
      </c>
      <c r="V206" s="446"/>
      <c r="W206" s="33"/>
      <c r="X206" s="417">
        <v>14052</v>
      </c>
      <c r="Y206" s="328">
        <f t="shared" si="10"/>
        <v>7655566.9500000002</v>
      </c>
      <c r="Z206" s="33">
        <v>159110.79999999999</v>
      </c>
      <c r="AA206" s="33">
        <v>331699.90000000002</v>
      </c>
      <c r="AB206" s="33"/>
      <c r="AC206" s="33"/>
      <c r="AD206" s="33">
        <v>254169.95</v>
      </c>
      <c r="AE206" s="33">
        <v>159110.79999999999</v>
      </c>
      <c r="AF206" s="33"/>
      <c r="AG206" s="33"/>
      <c r="AH206" s="33">
        <v>64540.9</v>
      </c>
      <c r="AI206" s="33"/>
      <c r="AJ206" s="33"/>
      <c r="AK206" s="33"/>
      <c r="AL206" s="33"/>
      <c r="AM206" s="328">
        <f t="shared" si="11"/>
        <v>968632.35</v>
      </c>
      <c r="AN206" s="371">
        <v>66</v>
      </c>
      <c r="AO206" s="388">
        <v>2603</v>
      </c>
      <c r="AP206" s="33">
        <v>-234703.66</v>
      </c>
      <c r="AQ206" s="332"/>
      <c r="AR206" s="33">
        <v>-1303.1099999999999</v>
      </c>
      <c r="AS206" s="340">
        <v>1.5</v>
      </c>
      <c r="AT206" s="437"/>
      <c r="AU206" s="438"/>
      <c r="AV206" s="441"/>
      <c r="AW206" s="441"/>
      <c r="AX206" s="441"/>
      <c r="AY206" s="441"/>
      <c r="AZ206" s="441"/>
      <c r="BA206" s="441"/>
      <c r="BB206" s="441"/>
      <c r="BC206" s="441"/>
      <c r="BE206" s="383"/>
      <c r="BF206" s="383"/>
      <c r="BG206" s="383"/>
      <c r="BH206" s="383"/>
      <c r="BI206" s="383"/>
      <c r="BJ206" s="383"/>
      <c r="BK206" s="383"/>
      <c r="BL206" s="383"/>
      <c r="BM206" s="383"/>
      <c r="BN206" s="383"/>
      <c r="BO206" s="383"/>
    </row>
    <row r="207" spans="1:67" x14ac:dyDescent="0.25">
      <c r="A207" s="335">
        <v>5728</v>
      </c>
      <c r="B207" s="425" t="s">
        <v>321</v>
      </c>
      <c r="C207" s="446">
        <v>1356845.01</v>
      </c>
      <c r="D207" s="33">
        <v>272853.89</v>
      </c>
      <c r="E207" s="448"/>
      <c r="F207" s="452">
        <v>0</v>
      </c>
      <c r="G207" s="452">
        <v>458711.35</v>
      </c>
      <c r="H207" s="453">
        <v>9265.85</v>
      </c>
      <c r="I207" s="451">
        <v>28169.15</v>
      </c>
      <c r="J207" s="448">
        <v>66834.240000000005</v>
      </c>
      <c r="K207" s="453">
        <v>50858.95</v>
      </c>
      <c r="L207" s="448">
        <v>218789.9</v>
      </c>
      <c r="M207" s="422">
        <f t="shared" si="9"/>
        <v>2462328.3400000003</v>
      </c>
      <c r="N207" s="446">
        <v>207284.05</v>
      </c>
      <c r="O207" s="446">
        <v>0</v>
      </c>
      <c r="P207" s="446">
        <v>53415.6</v>
      </c>
      <c r="Q207" s="446">
        <v>2879.79</v>
      </c>
      <c r="R207" s="33">
        <v>36772.9</v>
      </c>
      <c r="S207" s="340"/>
      <c r="T207" s="446">
        <v>64975.15</v>
      </c>
      <c r="U207" s="33">
        <v>2000</v>
      </c>
      <c r="V207" s="446"/>
      <c r="W207" s="33"/>
      <c r="X207" s="417">
        <v>42687.15</v>
      </c>
      <c r="Y207" s="328">
        <f t="shared" si="10"/>
        <v>2872342.98</v>
      </c>
      <c r="Z207" s="33"/>
      <c r="AA207" s="33"/>
      <c r="AB207" s="33">
        <v>98776.09</v>
      </c>
      <c r="AC207" s="33"/>
      <c r="AD207" s="33">
        <v>41392.949999999997</v>
      </c>
      <c r="AE207" s="33"/>
      <c r="AF207" s="33"/>
      <c r="AG207" s="33"/>
      <c r="AH207" s="33"/>
      <c r="AI207" s="33">
        <v>55674.6</v>
      </c>
      <c r="AJ207" s="33"/>
      <c r="AK207" s="33"/>
      <c r="AL207" s="33"/>
      <c r="AM207" s="328">
        <f t="shared" si="11"/>
        <v>195843.63999999998</v>
      </c>
      <c r="AN207" s="371">
        <v>58</v>
      </c>
      <c r="AO207" s="388">
        <v>586</v>
      </c>
      <c r="AP207" s="33">
        <v>-4838.91</v>
      </c>
      <c r="AQ207" s="332"/>
      <c r="AR207" s="33">
        <v>-1784.33</v>
      </c>
      <c r="AS207" s="340">
        <v>1</v>
      </c>
      <c r="AT207" s="437"/>
      <c r="AU207" s="438"/>
      <c r="AV207" s="441"/>
      <c r="AW207" s="441"/>
      <c r="AX207" s="441"/>
      <c r="AY207" s="441"/>
      <c r="AZ207" s="441"/>
      <c r="BA207" s="441"/>
      <c r="BB207" s="441"/>
      <c r="BC207" s="441"/>
      <c r="BE207" s="383"/>
      <c r="BF207" s="383"/>
      <c r="BG207" s="383"/>
      <c r="BH207" s="383"/>
      <c r="BI207" s="383"/>
      <c r="BJ207" s="383"/>
      <c r="BK207" s="383"/>
      <c r="BL207" s="383"/>
      <c r="BM207" s="383"/>
      <c r="BN207" s="383"/>
      <c r="BO207" s="383"/>
    </row>
    <row r="208" spans="1:67" x14ac:dyDescent="0.25">
      <c r="A208" s="335">
        <v>5729</v>
      </c>
      <c r="B208" s="425" t="s">
        <v>322</v>
      </c>
      <c r="C208" s="446">
        <v>7463659.0599999996</v>
      </c>
      <c r="D208" s="33">
        <v>2118485.7799999998</v>
      </c>
      <c r="E208" s="448"/>
      <c r="F208" s="452">
        <v>0</v>
      </c>
      <c r="G208" s="452">
        <v>462214.45</v>
      </c>
      <c r="H208" s="453">
        <v>16134.85</v>
      </c>
      <c r="I208" s="451">
        <v>145551.9</v>
      </c>
      <c r="J208" s="448">
        <v>37140.22</v>
      </c>
      <c r="K208" s="453">
        <v>4914.5</v>
      </c>
      <c r="L208" s="448">
        <v>831588.7</v>
      </c>
      <c r="M208" s="422">
        <f t="shared" si="9"/>
        <v>11079689.459999999</v>
      </c>
      <c r="N208" s="446">
        <v>8148.6</v>
      </c>
      <c r="O208" s="446">
        <v>12157</v>
      </c>
      <c r="P208" s="446">
        <v>560232.55000000005</v>
      </c>
      <c r="Q208" s="446">
        <v>1404.43</v>
      </c>
      <c r="R208" s="33">
        <v>377963.25</v>
      </c>
      <c r="S208" s="340"/>
      <c r="T208" s="446"/>
      <c r="U208" s="33">
        <v>8680</v>
      </c>
      <c r="V208" s="446"/>
      <c r="W208" s="33"/>
      <c r="X208" s="417">
        <v>67929.100000000006</v>
      </c>
      <c r="Y208" s="328">
        <f t="shared" si="10"/>
        <v>12116204.389999999</v>
      </c>
      <c r="Z208" s="33"/>
      <c r="AA208" s="33"/>
      <c r="AB208" s="33"/>
      <c r="AC208" s="33"/>
      <c r="AD208" s="33">
        <v>178195.83</v>
      </c>
      <c r="AE208" s="33"/>
      <c r="AF208" s="33"/>
      <c r="AG208" s="33"/>
      <c r="AH208" s="33">
        <v>745.69</v>
      </c>
      <c r="AI208" s="33"/>
      <c r="AJ208" s="33"/>
      <c r="AK208" s="33"/>
      <c r="AL208" s="33"/>
      <c r="AM208" s="328">
        <f t="shared" si="11"/>
        <v>178941.52</v>
      </c>
      <c r="AN208" s="371">
        <v>61</v>
      </c>
      <c r="AO208" s="388">
        <v>1600</v>
      </c>
      <c r="AP208" s="33">
        <v>-55924.56</v>
      </c>
      <c r="AQ208" s="332"/>
      <c r="AR208" s="33">
        <v>-25477.88</v>
      </c>
      <c r="AS208" s="340">
        <v>1.5</v>
      </c>
      <c r="AT208" s="437"/>
      <c r="AU208" s="438"/>
      <c r="AV208" s="441"/>
      <c r="AW208" s="441"/>
      <c r="AX208" s="441"/>
      <c r="AY208" s="441"/>
      <c r="AZ208" s="441"/>
      <c r="BA208" s="441"/>
      <c r="BB208" s="441"/>
      <c r="BC208" s="441"/>
      <c r="BE208" s="383"/>
      <c r="BF208" s="383"/>
      <c r="BG208" s="383"/>
      <c r="BH208" s="383"/>
      <c r="BI208" s="383"/>
      <c r="BJ208" s="383"/>
      <c r="BK208" s="383"/>
      <c r="BL208" s="383"/>
      <c r="BM208" s="383"/>
      <c r="BN208" s="383"/>
      <c r="BO208" s="383"/>
    </row>
    <row r="209" spans="1:67" x14ac:dyDescent="0.25">
      <c r="A209" s="335">
        <v>5730</v>
      </c>
      <c r="B209" s="425" t="s">
        <v>323</v>
      </c>
      <c r="C209" s="446">
        <v>5610615.1100000003</v>
      </c>
      <c r="D209" s="33">
        <v>1641875.69</v>
      </c>
      <c r="E209" s="448"/>
      <c r="F209" s="452">
        <v>0</v>
      </c>
      <c r="G209" s="452">
        <v>19311.45</v>
      </c>
      <c r="H209" s="453">
        <v>2170.35</v>
      </c>
      <c r="I209" s="451">
        <v>68556.05</v>
      </c>
      <c r="J209" s="448">
        <v>49267.199999999997</v>
      </c>
      <c r="K209" s="453">
        <v>5000.7</v>
      </c>
      <c r="L209" s="448">
        <v>377384.8</v>
      </c>
      <c r="M209" s="422">
        <f t="shared" si="9"/>
        <v>7774181.3500000006</v>
      </c>
      <c r="N209" s="446">
        <v>9246.0499999999993</v>
      </c>
      <c r="O209" s="446">
        <v>221.9</v>
      </c>
      <c r="P209" s="446">
        <v>315881.5</v>
      </c>
      <c r="Q209" s="446">
        <v>42579.76</v>
      </c>
      <c r="R209" s="33">
        <v>204150</v>
      </c>
      <c r="S209" s="340"/>
      <c r="T209" s="446"/>
      <c r="U209" s="33">
        <v>5300</v>
      </c>
      <c r="V209" s="446"/>
      <c r="W209" s="33"/>
      <c r="X209" s="417">
        <v>8030.6</v>
      </c>
      <c r="Y209" s="328">
        <f t="shared" si="10"/>
        <v>8359591.1600000001</v>
      </c>
      <c r="Z209" s="33">
        <v>33867.699999999997</v>
      </c>
      <c r="AA209" s="33"/>
      <c r="AB209" s="33">
        <v>172793.05</v>
      </c>
      <c r="AC209" s="33"/>
      <c r="AD209" s="33">
        <v>103977.55</v>
      </c>
      <c r="AE209" s="33">
        <v>62518.85</v>
      </c>
      <c r="AF209" s="33"/>
      <c r="AG209" s="33"/>
      <c r="AH209" s="33">
        <v>14237.65</v>
      </c>
      <c r="AI209" s="33"/>
      <c r="AJ209" s="33"/>
      <c r="AK209" s="33"/>
      <c r="AL209" s="33"/>
      <c r="AM209" s="328">
        <f t="shared" si="11"/>
        <v>387394.8</v>
      </c>
      <c r="AN209" s="371">
        <v>57</v>
      </c>
      <c r="AO209" s="388">
        <v>1434</v>
      </c>
      <c r="AP209" s="33">
        <v>-100825.03</v>
      </c>
      <c r="AQ209" s="332"/>
      <c r="AR209" s="33">
        <v>-100409.53</v>
      </c>
      <c r="AS209" s="340">
        <v>0.9</v>
      </c>
      <c r="AT209" s="437"/>
      <c r="AU209" s="438"/>
      <c r="AV209" s="441"/>
      <c r="AW209" s="441"/>
      <c r="AX209" s="441"/>
      <c r="AY209" s="441"/>
      <c r="AZ209" s="441"/>
      <c r="BA209" s="441"/>
      <c r="BB209" s="441"/>
      <c r="BC209" s="441"/>
      <c r="BE209" s="383"/>
      <c r="BF209" s="383"/>
      <c r="BG209" s="383"/>
      <c r="BH209" s="383"/>
      <c r="BI209" s="383"/>
      <c r="BJ209" s="383"/>
      <c r="BK209" s="383"/>
      <c r="BL209" s="383"/>
      <c r="BM209" s="383"/>
      <c r="BN209" s="383"/>
      <c r="BO209" s="383"/>
    </row>
    <row r="210" spans="1:67" x14ac:dyDescent="0.25">
      <c r="A210" s="335">
        <v>5731</v>
      </c>
      <c r="B210" s="425" t="s">
        <v>324</v>
      </c>
      <c r="C210" s="446">
        <v>3883515.86</v>
      </c>
      <c r="D210" s="33">
        <v>479491.16</v>
      </c>
      <c r="E210" s="448"/>
      <c r="F210" s="452">
        <v>0</v>
      </c>
      <c r="G210" s="452">
        <v>28157.45</v>
      </c>
      <c r="H210" s="453">
        <v>821.1</v>
      </c>
      <c r="I210" s="451">
        <v>0</v>
      </c>
      <c r="J210" s="448">
        <v>44706.05</v>
      </c>
      <c r="K210" s="453">
        <v>4190.5</v>
      </c>
      <c r="L210" s="448">
        <v>395665.8</v>
      </c>
      <c r="M210" s="422">
        <f t="shared" si="9"/>
        <v>4836547.919999999</v>
      </c>
      <c r="N210" s="446">
        <v>36501.300000000003</v>
      </c>
      <c r="O210" s="446">
        <v>426957.4</v>
      </c>
      <c r="P210" s="446">
        <v>170662.15</v>
      </c>
      <c r="Q210" s="446">
        <v>3324.37</v>
      </c>
      <c r="R210" s="33">
        <v>122454.25</v>
      </c>
      <c r="S210" s="340"/>
      <c r="T210" s="446">
        <v>857.9</v>
      </c>
      <c r="U210" s="33">
        <v>13800</v>
      </c>
      <c r="V210" s="446"/>
      <c r="W210" s="33"/>
      <c r="X210" s="417">
        <v>3167.65</v>
      </c>
      <c r="Y210" s="328">
        <f t="shared" si="10"/>
        <v>5614272.9400000004</v>
      </c>
      <c r="Z210" s="33">
        <v>75956.399999999994</v>
      </c>
      <c r="AA210" s="33"/>
      <c r="AB210" s="33">
        <v>180240</v>
      </c>
      <c r="AC210" s="33"/>
      <c r="AD210" s="33">
        <v>122702.55</v>
      </c>
      <c r="AE210" s="33">
        <v>97985</v>
      </c>
      <c r="AF210" s="33"/>
      <c r="AG210" s="33"/>
      <c r="AH210" s="33">
        <v>11132.65</v>
      </c>
      <c r="AI210" s="33"/>
      <c r="AJ210" s="33"/>
      <c r="AK210" s="33"/>
      <c r="AL210" s="33"/>
      <c r="AM210" s="328">
        <f t="shared" si="11"/>
        <v>488016.60000000003</v>
      </c>
      <c r="AN210" s="371">
        <v>75</v>
      </c>
      <c r="AO210" s="388">
        <v>1362</v>
      </c>
      <c r="AP210" s="33">
        <v>-64816.57</v>
      </c>
      <c r="AQ210" s="332"/>
      <c r="AR210" s="33">
        <v>-528.07000000000005</v>
      </c>
      <c r="AS210" s="340">
        <v>1.5</v>
      </c>
      <c r="AT210" s="437"/>
      <c r="AU210" s="438"/>
      <c r="AV210" s="441"/>
      <c r="AW210" s="441"/>
      <c r="AX210" s="441"/>
      <c r="AY210" s="441"/>
      <c r="AZ210" s="441"/>
      <c r="BA210" s="441"/>
      <c r="BB210" s="441"/>
      <c r="BC210" s="441"/>
      <c r="BE210" s="383"/>
      <c r="BF210" s="383"/>
      <c r="BG210" s="383"/>
      <c r="BH210" s="383"/>
      <c r="BI210" s="383"/>
      <c r="BJ210" s="383"/>
      <c r="BK210" s="383"/>
      <c r="BL210" s="383"/>
      <c r="BM210" s="383"/>
      <c r="BN210" s="383"/>
      <c r="BO210" s="383"/>
    </row>
    <row r="211" spans="1:67" x14ac:dyDescent="0.25">
      <c r="A211" s="335">
        <v>5732</v>
      </c>
      <c r="B211" s="425" t="s">
        <v>325</v>
      </c>
      <c r="C211" s="446">
        <v>2888646.88</v>
      </c>
      <c r="D211" s="33">
        <v>673684.44</v>
      </c>
      <c r="E211" s="448"/>
      <c r="F211" s="452">
        <v>0</v>
      </c>
      <c r="G211" s="452">
        <v>-186526.5</v>
      </c>
      <c r="H211" s="453">
        <v>25350.9</v>
      </c>
      <c r="I211" s="451">
        <v>392553.95</v>
      </c>
      <c r="J211" s="448">
        <v>55985.18</v>
      </c>
      <c r="K211" s="453">
        <v>15660.35</v>
      </c>
      <c r="L211" s="448">
        <v>365980.3</v>
      </c>
      <c r="M211" s="422">
        <f t="shared" si="9"/>
        <v>4231335.5</v>
      </c>
      <c r="N211" s="446">
        <v>81769.7</v>
      </c>
      <c r="O211" s="446">
        <v>0</v>
      </c>
      <c r="P211" s="446">
        <v>71467</v>
      </c>
      <c r="Q211" s="446">
        <v>3748.62</v>
      </c>
      <c r="R211" s="33">
        <v>293405.75</v>
      </c>
      <c r="S211" s="340"/>
      <c r="T211" s="446"/>
      <c r="U211" s="33">
        <v>7100</v>
      </c>
      <c r="V211" s="446"/>
      <c r="W211" s="33"/>
      <c r="X211" s="417">
        <v>92536.25</v>
      </c>
      <c r="Y211" s="328">
        <f t="shared" si="10"/>
        <v>4781362.82</v>
      </c>
      <c r="Z211" s="33">
        <v>9134.6</v>
      </c>
      <c r="AA211" s="33"/>
      <c r="AB211" s="33">
        <v>164245.76000000001</v>
      </c>
      <c r="AC211" s="33"/>
      <c r="AD211" s="33">
        <v>77945.05</v>
      </c>
      <c r="AE211" s="33">
        <v>5798</v>
      </c>
      <c r="AF211" s="33"/>
      <c r="AG211" s="33"/>
      <c r="AH211" s="33">
        <v>4902.3500000000004</v>
      </c>
      <c r="AI211" s="33">
        <v>47399.38</v>
      </c>
      <c r="AJ211" s="33"/>
      <c r="AK211" s="33"/>
      <c r="AL211" s="33"/>
      <c r="AM211" s="328">
        <f t="shared" si="11"/>
        <v>309425.14</v>
      </c>
      <c r="AN211" s="371">
        <v>66</v>
      </c>
      <c r="AO211" s="388">
        <v>1083</v>
      </c>
      <c r="AP211" s="33">
        <v>-96968.61</v>
      </c>
      <c r="AQ211" s="332"/>
      <c r="AR211" s="33">
        <v>-7152.81</v>
      </c>
      <c r="AS211" s="340">
        <v>1</v>
      </c>
      <c r="AT211" s="437"/>
      <c r="AU211" s="438"/>
      <c r="AV211" s="441"/>
      <c r="AW211" s="441"/>
      <c r="AX211" s="441"/>
      <c r="AY211" s="441"/>
      <c r="AZ211" s="441"/>
      <c r="BA211" s="441"/>
      <c r="BB211" s="441"/>
      <c r="BC211" s="441"/>
      <c r="BE211" s="383"/>
      <c r="BF211" s="383"/>
      <c r="BG211" s="383"/>
      <c r="BH211" s="383"/>
      <c r="BI211" s="383"/>
      <c r="BJ211" s="383"/>
      <c r="BK211" s="383"/>
      <c r="BL211" s="383"/>
      <c r="BM211" s="383"/>
      <c r="BN211" s="383"/>
      <c r="BO211" s="383"/>
    </row>
    <row r="212" spans="1:67" x14ac:dyDescent="0.25">
      <c r="A212" s="335">
        <v>5741</v>
      </c>
      <c r="B212" s="425" t="s">
        <v>326</v>
      </c>
      <c r="C212" s="446">
        <v>487738.69</v>
      </c>
      <c r="D212" s="33">
        <v>48683.56</v>
      </c>
      <c r="E212" s="448"/>
      <c r="F212" s="452">
        <v>1480</v>
      </c>
      <c r="G212" s="452">
        <v>6294.45</v>
      </c>
      <c r="H212" s="453">
        <v>103.45</v>
      </c>
      <c r="I212" s="451">
        <v>0</v>
      </c>
      <c r="J212" s="448">
        <v>2049.08</v>
      </c>
      <c r="K212" s="453">
        <v>0</v>
      </c>
      <c r="L212" s="448">
        <v>46308</v>
      </c>
      <c r="M212" s="422">
        <f t="shared" si="9"/>
        <v>592657.22999999986</v>
      </c>
      <c r="N212" s="446">
        <v>21051.95</v>
      </c>
      <c r="O212" s="446">
        <v>0</v>
      </c>
      <c r="P212" s="446">
        <v>17160</v>
      </c>
      <c r="Q212" s="446">
        <v>0</v>
      </c>
      <c r="R212" s="33">
        <v>17949.900000000001</v>
      </c>
      <c r="S212" s="340"/>
      <c r="T212" s="446"/>
      <c r="U212" s="33">
        <v>1080</v>
      </c>
      <c r="V212" s="446"/>
      <c r="W212" s="33"/>
      <c r="X212" s="417">
        <v>1471.7</v>
      </c>
      <c r="Y212" s="328">
        <f t="shared" si="10"/>
        <v>651370.7799999998</v>
      </c>
      <c r="Z212" s="33">
        <f>22474+2247.4</f>
        <v>24721.4</v>
      </c>
      <c r="AA212" s="33">
        <v>4016.5</v>
      </c>
      <c r="AB212" s="33"/>
      <c r="AC212" s="33"/>
      <c r="AD212" s="33">
        <v>26478.1</v>
      </c>
      <c r="AE212" s="33">
        <f>14880.35+33930.2+3197.3</f>
        <v>52007.85</v>
      </c>
      <c r="AF212" s="33">
        <v>3612</v>
      </c>
      <c r="AG212" s="33"/>
      <c r="AH212" s="33"/>
      <c r="AI212" s="33"/>
      <c r="AJ212" s="33"/>
      <c r="AK212" s="33"/>
      <c r="AL212" s="33"/>
      <c r="AM212" s="328">
        <f t="shared" si="11"/>
        <v>110835.85</v>
      </c>
      <c r="AN212" s="371">
        <v>81</v>
      </c>
      <c r="AO212" s="388">
        <v>244</v>
      </c>
      <c r="AP212" s="33">
        <v>-7718</v>
      </c>
      <c r="AQ212" s="332"/>
      <c r="AR212" s="33">
        <v>-7.0000000000000007E-2</v>
      </c>
      <c r="AS212" s="340">
        <v>1.2</v>
      </c>
      <c r="AT212" s="437"/>
      <c r="AU212" s="438"/>
      <c r="AV212" s="441"/>
      <c r="AW212" s="441"/>
      <c r="AX212" s="441"/>
      <c r="AY212" s="441"/>
      <c r="AZ212" s="441"/>
      <c r="BA212" s="441"/>
      <c r="BB212" s="441"/>
      <c r="BC212" s="441"/>
      <c r="BE212" s="383"/>
      <c r="BF212" s="383"/>
      <c r="BG212" s="383"/>
      <c r="BH212" s="383"/>
      <c r="BI212" s="383"/>
      <c r="BJ212" s="383"/>
      <c r="BK212" s="383"/>
      <c r="BL212" s="383"/>
      <c r="BM212" s="383"/>
      <c r="BN212" s="383"/>
      <c r="BO212" s="383"/>
    </row>
    <row r="213" spans="1:67" x14ac:dyDescent="0.25">
      <c r="A213" s="335">
        <v>5742</v>
      </c>
      <c r="B213" s="425" t="s">
        <v>327</v>
      </c>
      <c r="C213" s="446">
        <v>536970.76</v>
      </c>
      <c r="D213" s="33">
        <v>71947.41</v>
      </c>
      <c r="E213" s="448"/>
      <c r="F213" s="452">
        <v>0</v>
      </c>
      <c r="G213" s="452">
        <v>7779.1</v>
      </c>
      <c r="H213" s="453">
        <v>529.85</v>
      </c>
      <c r="I213" s="451">
        <v>0</v>
      </c>
      <c r="J213" s="448">
        <v>31129.64</v>
      </c>
      <c r="K213" s="453">
        <v>798.3</v>
      </c>
      <c r="L213" s="448">
        <v>26167.3</v>
      </c>
      <c r="M213" s="422">
        <f t="shared" si="9"/>
        <v>675322.3600000001</v>
      </c>
      <c r="N213" s="446">
        <v>0</v>
      </c>
      <c r="O213" s="446">
        <v>0</v>
      </c>
      <c r="P213" s="446">
        <v>49908.25</v>
      </c>
      <c r="Q213" s="446">
        <v>0</v>
      </c>
      <c r="R213" s="33">
        <v>17004.599999999999</v>
      </c>
      <c r="S213" s="340"/>
      <c r="T213" s="446"/>
      <c r="U213" s="33">
        <v>2360</v>
      </c>
      <c r="V213" s="446"/>
      <c r="W213" s="33"/>
      <c r="X213" s="417">
        <v>1920.45</v>
      </c>
      <c r="Y213" s="328">
        <f t="shared" si="10"/>
        <v>746515.66</v>
      </c>
      <c r="Z213" s="33"/>
      <c r="AA213" s="33"/>
      <c r="AB213" s="33">
        <v>29237.4</v>
      </c>
      <c r="AC213" s="33"/>
      <c r="AD213" s="33">
        <v>28518</v>
      </c>
      <c r="AE213" s="33">
        <v>4296</v>
      </c>
      <c r="AF213" s="33"/>
      <c r="AG213" s="33"/>
      <c r="AH213" s="33"/>
      <c r="AI213" s="33"/>
      <c r="AJ213" s="33"/>
      <c r="AK213" s="33"/>
      <c r="AL213" s="33"/>
      <c r="AM213" s="328">
        <f t="shared" si="11"/>
        <v>62051.4</v>
      </c>
      <c r="AN213" s="371">
        <v>76</v>
      </c>
      <c r="AO213" s="388">
        <v>354</v>
      </c>
      <c r="AP213" s="33">
        <v>-17619.240000000002</v>
      </c>
      <c r="AQ213" s="332"/>
      <c r="AR213" s="33">
        <v>0</v>
      </c>
      <c r="AS213" s="340">
        <v>0.5</v>
      </c>
      <c r="AT213" s="437"/>
      <c r="AU213" s="438"/>
      <c r="AV213" s="462"/>
      <c r="AW213" s="462"/>
      <c r="AX213" s="462"/>
      <c r="AY213" s="462"/>
      <c r="AZ213" s="462"/>
      <c r="BA213" s="462"/>
      <c r="BB213" s="462"/>
      <c r="BC213" s="462"/>
      <c r="BE213" s="383"/>
      <c r="BF213" s="383"/>
      <c r="BG213" s="383"/>
      <c r="BH213" s="383"/>
      <c r="BI213" s="383"/>
      <c r="BJ213" s="383"/>
      <c r="BK213" s="383"/>
      <c r="BL213" s="383"/>
      <c r="BM213" s="383"/>
      <c r="BN213" s="383"/>
      <c r="BO213" s="383"/>
    </row>
    <row r="214" spans="1:67" x14ac:dyDescent="0.25">
      <c r="A214" s="335">
        <v>5743</v>
      </c>
      <c r="B214" s="425" t="s">
        <v>265</v>
      </c>
      <c r="C214" s="446">
        <v>1161361.73</v>
      </c>
      <c r="D214" s="33">
        <v>131605.74</v>
      </c>
      <c r="E214" s="448"/>
      <c r="F214" s="452">
        <v>0</v>
      </c>
      <c r="G214" s="452">
        <v>4725.5</v>
      </c>
      <c r="H214" s="453">
        <v>692.1</v>
      </c>
      <c r="I214" s="451">
        <v>0</v>
      </c>
      <c r="J214" s="448">
        <v>3711.66</v>
      </c>
      <c r="K214" s="453">
        <v>0</v>
      </c>
      <c r="L214" s="448">
        <v>68536.05</v>
      </c>
      <c r="M214" s="422">
        <f t="shared" si="9"/>
        <v>1370632.78</v>
      </c>
      <c r="N214" s="446">
        <v>28664.35</v>
      </c>
      <c r="O214" s="446">
        <v>143911.6</v>
      </c>
      <c r="P214" s="446">
        <v>31227.9</v>
      </c>
      <c r="Q214" s="446">
        <v>2130.6999999999998</v>
      </c>
      <c r="R214" s="33">
        <v>25402.85</v>
      </c>
      <c r="S214" s="340"/>
      <c r="T214" s="446"/>
      <c r="U214" s="33">
        <v>2380</v>
      </c>
      <c r="V214" s="446"/>
      <c r="W214" s="33"/>
      <c r="X214" s="417">
        <v>2469.5</v>
      </c>
      <c r="Y214" s="328">
        <f t="shared" si="10"/>
        <v>1606819.6800000002</v>
      </c>
      <c r="Z214" s="33">
        <v>22118</v>
      </c>
      <c r="AA214" s="33"/>
      <c r="AB214" s="33">
        <v>57069.599999999999</v>
      </c>
      <c r="AC214" s="33"/>
      <c r="AD214" s="33">
        <v>28449</v>
      </c>
      <c r="AE214" s="33">
        <v>2950</v>
      </c>
      <c r="AF214" s="33"/>
      <c r="AG214" s="33"/>
      <c r="AH214" s="33"/>
      <c r="AI214" s="33"/>
      <c r="AJ214" s="33"/>
      <c r="AK214" s="33"/>
      <c r="AL214" s="33"/>
      <c r="AM214" s="328">
        <f t="shared" si="11"/>
        <v>110586.6</v>
      </c>
      <c r="AN214" s="371">
        <v>73</v>
      </c>
      <c r="AO214" s="388">
        <v>633</v>
      </c>
      <c r="AP214" s="33">
        <v>-4378.76</v>
      </c>
      <c r="AQ214" s="332"/>
      <c r="AR214" s="33">
        <v>-284.19</v>
      </c>
      <c r="AS214" s="340">
        <v>0.8</v>
      </c>
      <c r="AT214" s="437"/>
      <c r="AU214" s="438"/>
      <c r="AV214" s="441"/>
      <c r="AW214" s="441"/>
      <c r="AX214" s="441"/>
      <c r="AY214" s="441"/>
      <c r="AZ214" s="441"/>
      <c r="BA214" s="441"/>
      <c r="BB214" s="441"/>
      <c r="BC214" s="441"/>
      <c r="BE214" s="383"/>
      <c r="BF214" s="383"/>
      <c r="BG214" s="383"/>
      <c r="BH214" s="383"/>
      <c r="BI214" s="383"/>
      <c r="BJ214" s="383"/>
      <c r="BK214" s="383"/>
      <c r="BL214" s="383"/>
      <c r="BM214" s="383"/>
      <c r="BN214" s="383"/>
      <c r="BO214" s="383"/>
    </row>
    <row r="215" spans="1:67" x14ac:dyDescent="0.25">
      <c r="A215" s="335">
        <v>5744</v>
      </c>
      <c r="B215" s="425" t="s">
        <v>266</v>
      </c>
      <c r="C215" s="446">
        <v>1343549.76</v>
      </c>
      <c r="D215" s="33">
        <v>174272.5</v>
      </c>
      <c r="E215" s="448"/>
      <c r="F215" s="452">
        <v>6290</v>
      </c>
      <c r="G215" s="452">
        <v>1930294.1</v>
      </c>
      <c r="H215" s="453">
        <v>20931.599999999999</v>
      </c>
      <c r="I215" s="451">
        <v>0</v>
      </c>
      <c r="J215" s="448">
        <v>76190.789999999994</v>
      </c>
      <c r="K215" s="453">
        <v>0</v>
      </c>
      <c r="L215" s="448">
        <v>173957.15</v>
      </c>
      <c r="M215" s="422">
        <f t="shared" si="9"/>
        <v>3725485.9000000004</v>
      </c>
      <c r="N215" s="446">
        <v>1627852.05</v>
      </c>
      <c r="O215" s="446">
        <v>57070.8</v>
      </c>
      <c r="P215" s="446">
        <v>60399.9</v>
      </c>
      <c r="Q215" s="446">
        <v>9578.92</v>
      </c>
      <c r="R215" s="33">
        <v>25503.8</v>
      </c>
      <c r="S215" s="340">
        <v>125</v>
      </c>
      <c r="T215" s="446"/>
      <c r="U215" s="33">
        <v>4865</v>
      </c>
      <c r="V215" s="446"/>
      <c r="W215" s="33"/>
      <c r="X215" s="417">
        <v>488303.35</v>
      </c>
      <c r="Y215" s="328">
        <f t="shared" si="10"/>
        <v>5999184.7199999997</v>
      </c>
      <c r="Z215" s="33">
        <v>55832</v>
      </c>
      <c r="AA215" s="33"/>
      <c r="AB215" s="33">
        <v>64250.8</v>
      </c>
      <c r="AC215" s="33"/>
      <c r="AD215" s="33">
        <v>106213.39</v>
      </c>
      <c r="AE215" s="33">
        <v>60240</v>
      </c>
      <c r="AF215" s="33"/>
      <c r="AG215" s="33"/>
      <c r="AH215" s="33">
        <v>777</v>
      </c>
      <c r="AI215" s="33">
        <v>103971.92</v>
      </c>
      <c r="AJ215" s="33"/>
      <c r="AK215" s="33"/>
      <c r="AL215" s="33"/>
      <c r="AM215" s="328">
        <f t="shared" si="11"/>
        <v>391285.11</v>
      </c>
      <c r="AN215" s="371">
        <v>66</v>
      </c>
      <c r="AO215" s="388">
        <v>1108</v>
      </c>
      <c r="AP215" s="33">
        <v>-33141.129999999997</v>
      </c>
      <c r="AQ215" s="332"/>
      <c r="AR215" s="33">
        <v>-2056.0500000000002</v>
      </c>
      <c r="AS215" s="340">
        <v>1</v>
      </c>
      <c r="AT215" s="437"/>
      <c r="AU215" s="438"/>
      <c r="AV215" s="441"/>
      <c r="AW215" s="441"/>
      <c r="AX215" s="441"/>
      <c r="AY215" s="441"/>
      <c r="AZ215" s="441"/>
      <c r="BA215" s="441"/>
      <c r="BB215" s="441"/>
      <c r="BC215" s="441"/>
      <c r="BE215" s="383"/>
      <c r="BF215" s="383"/>
      <c r="BG215" s="383"/>
      <c r="BH215" s="383"/>
      <c r="BI215" s="383"/>
      <c r="BJ215" s="383"/>
      <c r="BK215" s="383"/>
      <c r="BL215" s="383"/>
      <c r="BM215" s="383"/>
      <c r="BN215" s="383"/>
      <c r="BO215" s="383"/>
    </row>
    <row r="216" spans="1:67" x14ac:dyDescent="0.25">
      <c r="A216" s="335">
        <v>5745</v>
      </c>
      <c r="B216" s="425" t="s">
        <v>267</v>
      </c>
      <c r="C216" s="446">
        <v>1718959.87</v>
      </c>
      <c r="D216" s="33">
        <v>212759.87</v>
      </c>
      <c r="E216" s="448"/>
      <c r="F216" s="452">
        <v>0</v>
      </c>
      <c r="G216" s="452">
        <v>73772.7</v>
      </c>
      <c r="H216" s="453">
        <v>1089.8499999999999</v>
      </c>
      <c r="I216" s="451">
        <v>0</v>
      </c>
      <c r="J216" s="448">
        <v>27582.799999999999</v>
      </c>
      <c r="K216" s="453">
        <v>0</v>
      </c>
      <c r="L216" s="448">
        <v>131546.1</v>
      </c>
      <c r="M216" s="422">
        <f t="shared" si="9"/>
        <v>2165711.1900000004</v>
      </c>
      <c r="N216" s="446">
        <v>185403.2</v>
      </c>
      <c r="O216" s="446">
        <v>0</v>
      </c>
      <c r="P216" s="446">
        <v>65257.65</v>
      </c>
      <c r="Q216" s="446">
        <v>16897.87</v>
      </c>
      <c r="R216" s="33">
        <v>53988.15</v>
      </c>
      <c r="S216" s="340"/>
      <c r="T216" s="446"/>
      <c r="U216" s="33">
        <v>3350</v>
      </c>
      <c r="V216" s="446"/>
      <c r="W216" s="33"/>
      <c r="X216" s="417">
        <v>15127.35</v>
      </c>
      <c r="Y216" s="328">
        <f t="shared" si="10"/>
        <v>2505735.4100000006</v>
      </c>
      <c r="Z216" s="33"/>
      <c r="AA216" s="33">
        <v>1013.55</v>
      </c>
      <c r="AB216" s="33">
        <v>132414.85</v>
      </c>
      <c r="AC216" s="33"/>
      <c r="AD216" s="33">
        <v>69877.05</v>
      </c>
      <c r="AE216" s="33"/>
      <c r="AF216" s="33"/>
      <c r="AG216" s="33"/>
      <c r="AH216" s="33"/>
      <c r="AI216" s="33">
        <v>24115.05</v>
      </c>
      <c r="AJ216" s="33"/>
      <c r="AK216" s="33"/>
      <c r="AL216" s="33"/>
      <c r="AM216" s="328">
        <f t="shared" si="11"/>
        <v>227420.5</v>
      </c>
      <c r="AN216" s="371">
        <v>78</v>
      </c>
      <c r="AO216" s="388">
        <v>1042</v>
      </c>
      <c r="AP216" s="33">
        <v>-32505.78</v>
      </c>
      <c r="AQ216" s="332"/>
      <c r="AR216" s="33">
        <v>-14.75</v>
      </c>
      <c r="AS216" s="340">
        <v>1</v>
      </c>
      <c r="AT216" s="437"/>
      <c r="AU216" s="438"/>
      <c r="AV216" s="441"/>
      <c r="AW216" s="441"/>
      <c r="AX216" s="441"/>
      <c r="AY216" s="441"/>
      <c r="AZ216" s="441"/>
      <c r="BA216" s="441"/>
      <c r="BB216" s="441"/>
      <c r="BC216" s="441"/>
      <c r="BE216" s="383"/>
      <c r="BF216" s="383"/>
      <c r="BG216" s="383"/>
      <c r="BH216" s="383"/>
      <c r="BI216" s="383"/>
      <c r="BJ216" s="383"/>
      <c r="BK216" s="383"/>
      <c r="BL216" s="383"/>
      <c r="BM216" s="383"/>
      <c r="BN216" s="383"/>
      <c r="BO216" s="383"/>
    </row>
    <row r="217" spans="1:67" x14ac:dyDescent="0.25">
      <c r="A217" s="335">
        <v>5746</v>
      </c>
      <c r="B217" s="425" t="s">
        <v>268</v>
      </c>
      <c r="C217" s="446">
        <v>1543172.72</v>
      </c>
      <c r="D217" s="33">
        <v>156369.78</v>
      </c>
      <c r="E217" s="448"/>
      <c r="F217" s="452">
        <v>0</v>
      </c>
      <c r="G217" s="452">
        <v>33164.6</v>
      </c>
      <c r="H217" s="453">
        <v>1462.85</v>
      </c>
      <c r="I217" s="451">
        <v>0</v>
      </c>
      <c r="J217" s="448">
        <v>26732.77</v>
      </c>
      <c r="K217" s="453">
        <v>0</v>
      </c>
      <c r="L217" s="448">
        <v>211320.5</v>
      </c>
      <c r="M217" s="422">
        <f t="shared" si="9"/>
        <v>1972223.2200000002</v>
      </c>
      <c r="N217" s="446">
        <v>21961.55</v>
      </c>
      <c r="O217" s="446">
        <v>18580</v>
      </c>
      <c r="P217" s="446">
        <v>161482.9</v>
      </c>
      <c r="Q217" s="446">
        <v>26529.05</v>
      </c>
      <c r="R217" s="33">
        <v>16487.599999999999</v>
      </c>
      <c r="S217" s="340">
        <v>375</v>
      </c>
      <c r="T217" s="446">
        <v>2549.5</v>
      </c>
      <c r="U217" s="33">
        <v>5130</v>
      </c>
      <c r="V217" s="446"/>
      <c r="W217" s="33"/>
      <c r="X217" s="417">
        <v>11227.45</v>
      </c>
      <c r="Y217" s="328">
        <f t="shared" si="10"/>
        <v>2236546.2700000005</v>
      </c>
      <c r="Z217" s="33">
        <v>19624.3</v>
      </c>
      <c r="AA217" s="33"/>
      <c r="AB217" s="33">
        <v>104582.6</v>
      </c>
      <c r="AC217" s="33"/>
      <c r="AD217" s="33">
        <v>69793.899999999994</v>
      </c>
      <c r="AE217" s="33">
        <v>1691.4</v>
      </c>
      <c r="AF217" s="33"/>
      <c r="AG217" s="33"/>
      <c r="AH217" s="33"/>
      <c r="AI217" s="33">
        <v>29533.45</v>
      </c>
      <c r="AJ217" s="33"/>
      <c r="AK217" s="33"/>
      <c r="AL217" s="33"/>
      <c r="AM217" s="328">
        <f t="shared" si="11"/>
        <v>225225.65</v>
      </c>
      <c r="AN217" s="371">
        <v>73</v>
      </c>
      <c r="AO217" s="388">
        <v>952</v>
      </c>
      <c r="AP217" s="33">
        <v>-54535.56</v>
      </c>
      <c r="AQ217" s="332"/>
      <c r="AR217" s="33">
        <v>-106.41</v>
      </c>
      <c r="AS217" s="340">
        <v>1.2</v>
      </c>
      <c r="AT217" s="437"/>
      <c r="AU217" s="438"/>
      <c r="AV217" s="441"/>
      <c r="AW217" s="441"/>
      <c r="AX217" s="441"/>
      <c r="AY217" s="441"/>
      <c r="AZ217" s="441"/>
      <c r="BA217" s="441"/>
      <c r="BB217" s="441"/>
      <c r="BC217" s="441"/>
      <c r="BE217" s="383"/>
      <c r="BF217" s="383"/>
      <c r="BG217" s="383"/>
      <c r="BH217" s="383"/>
      <c r="BI217" s="383"/>
      <c r="BJ217" s="383"/>
      <c r="BK217" s="383"/>
      <c r="BL217" s="383"/>
      <c r="BM217" s="383"/>
      <c r="BN217" s="383"/>
      <c r="BO217" s="383"/>
    </row>
    <row r="218" spans="1:67" x14ac:dyDescent="0.25">
      <c r="A218" s="335">
        <v>5747</v>
      </c>
      <c r="B218" s="425" t="s">
        <v>269</v>
      </c>
      <c r="C218" s="446">
        <v>317367.28000000003</v>
      </c>
      <c r="D218" s="33">
        <v>43732.97</v>
      </c>
      <c r="E218" s="448"/>
      <c r="F218" s="452">
        <v>0</v>
      </c>
      <c r="G218" s="452">
        <v>8019.85</v>
      </c>
      <c r="H218" s="453">
        <v>175.5</v>
      </c>
      <c r="I218" s="451">
        <v>0</v>
      </c>
      <c r="J218" s="448">
        <v>6565.94</v>
      </c>
      <c r="K218" s="453">
        <v>0</v>
      </c>
      <c r="L218" s="448">
        <v>31648.6</v>
      </c>
      <c r="M218" s="422">
        <f t="shared" si="9"/>
        <v>407510.13999999996</v>
      </c>
      <c r="N218" s="446">
        <v>0</v>
      </c>
      <c r="O218" s="446">
        <v>0</v>
      </c>
      <c r="P218" s="446">
        <v>12906.35</v>
      </c>
      <c r="Q218" s="446">
        <v>334.1</v>
      </c>
      <c r="R218" s="33">
        <v>1265.0999999999999</v>
      </c>
      <c r="S218" s="340"/>
      <c r="T218" s="446"/>
      <c r="U218" s="33">
        <v>400</v>
      </c>
      <c r="V218" s="446"/>
      <c r="W218" s="33"/>
      <c r="X218" s="417">
        <v>2424.5</v>
      </c>
      <c r="Y218" s="328">
        <f t="shared" si="10"/>
        <v>424840.18999999989</v>
      </c>
      <c r="Z218" s="33"/>
      <c r="AA218" s="33">
        <v>15000</v>
      </c>
      <c r="AB218" s="33">
        <v>18000</v>
      </c>
      <c r="AC218" s="33"/>
      <c r="AD218" s="33">
        <v>17000</v>
      </c>
      <c r="AE218" s="33">
        <v>8400</v>
      </c>
      <c r="AF218" s="33"/>
      <c r="AG218" s="33"/>
      <c r="AH218" s="33"/>
      <c r="AI218" s="33"/>
      <c r="AJ218" s="33"/>
      <c r="AK218" s="33"/>
      <c r="AL218" s="33"/>
      <c r="AM218" s="328">
        <f t="shared" si="11"/>
        <v>58400</v>
      </c>
      <c r="AN218" s="371">
        <v>69</v>
      </c>
      <c r="AO218" s="388">
        <v>194</v>
      </c>
      <c r="AP218" s="33">
        <v>-498.38</v>
      </c>
      <c r="AQ218" s="332"/>
      <c r="AR218" s="33">
        <v>0</v>
      </c>
      <c r="AS218" s="340">
        <v>1</v>
      </c>
      <c r="AT218" s="437"/>
      <c r="AU218" s="438"/>
      <c r="AV218" s="441"/>
      <c r="AW218" s="441"/>
      <c r="AX218" s="441"/>
      <c r="AY218" s="441"/>
      <c r="AZ218" s="441"/>
      <c r="BA218" s="441"/>
      <c r="BB218" s="441"/>
      <c r="BC218" s="441"/>
      <c r="BE218" s="383"/>
      <c r="BF218" s="383"/>
      <c r="BG218" s="383"/>
      <c r="BH218" s="383"/>
      <c r="BI218" s="383"/>
      <c r="BJ218" s="383"/>
      <c r="BK218" s="383"/>
      <c r="BL218" s="383"/>
      <c r="BM218" s="383"/>
      <c r="BN218" s="383"/>
      <c r="BO218" s="383"/>
    </row>
    <row r="219" spans="1:67" x14ac:dyDescent="0.25">
      <c r="A219" s="335">
        <v>5748</v>
      </c>
      <c r="B219" s="425" t="s">
        <v>270</v>
      </c>
      <c r="C219" s="446">
        <v>439427.88</v>
      </c>
      <c r="D219" s="33">
        <v>50333.39</v>
      </c>
      <c r="E219" s="448"/>
      <c r="F219" s="452">
        <v>2080</v>
      </c>
      <c r="G219" s="452">
        <v>384.75</v>
      </c>
      <c r="H219" s="453">
        <v>75.75</v>
      </c>
      <c r="I219" s="451">
        <v>0</v>
      </c>
      <c r="J219" s="448">
        <v>-704.07</v>
      </c>
      <c r="K219" s="453">
        <v>0</v>
      </c>
      <c r="L219" s="448">
        <v>21910.15</v>
      </c>
      <c r="M219" s="422">
        <f t="shared" si="9"/>
        <v>513507.85000000003</v>
      </c>
      <c r="N219" s="446">
        <v>3153.95</v>
      </c>
      <c r="O219" s="446">
        <v>0</v>
      </c>
      <c r="P219" s="446">
        <v>21835</v>
      </c>
      <c r="Q219" s="446">
        <v>20981.279999999999</v>
      </c>
      <c r="R219" s="33">
        <v>8822</v>
      </c>
      <c r="S219" s="340">
        <v>75</v>
      </c>
      <c r="T219" s="446"/>
      <c r="U219" s="33">
        <v>1350</v>
      </c>
      <c r="V219" s="446"/>
      <c r="W219" s="33"/>
      <c r="X219" s="417">
        <v>701.6</v>
      </c>
      <c r="Y219" s="328">
        <f t="shared" si="10"/>
        <v>570426.68000000005</v>
      </c>
      <c r="Z219" s="33"/>
      <c r="AA219" s="33">
        <v>56.8</v>
      </c>
      <c r="AB219" s="33">
        <v>30982.15</v>
      </c>
      <c r="AC219" s="33"/>
      <c r="AD219" s="33">
        <v>23005.55</v>
      </c>
      <c r="AE219" s="33"/>
      <c r="AF219" s="33">
        <v>113.6</v>
      </c>
      <c r="AG219" s="33"/>
      <c r="AH219" s="33"/>
      <c r="AI219" s="33"/>
      <c r="AJ219" s="33"/>
      <c r="AK219" s="33"/>
      <c r="AL219" s="33"/>
      <c r="AM219" s="328">
        <f t="shared" si="11"/>
        <v>54158.1</v>
      </c>
      <c r="AN219" s="371">
        <v>72</v>
      </c>
      <c r="AO219" s="388">
        <v>269</v>
      </c>
      <c r="AP219" s="33">
        <v>-22846.58</v>
      </c>
      <c r="AQ219" s="332"/>
      <c r="AR219" s="33">
        <v>0</v>
      </c>
      <c r="AS219" s="340">
        <v>0.6</v>
      </c>
      <c r="AT219" s="437"/>
      <c r="AU219" s="438"/>
      <c r="AV219" s="441"/>
      <c r="AW219" s="441"/>
      <c r="AX219" s="441"/>
      <c r="AY219" s="441"/>
      <c r="AZ219" s="441"/>
      <c r="BA219" s="441"/>
      <c r="BB219" s="441"/>
      <c r="BC219" s="441"/>
      <c r="BE219" s="383"/>
      <c r="BF219" s="383"/>
      <c r="BG219" s="383"/>
      <c r="BH219" s="383"/>
      <c r="BI219" s="383"/>
      <c r="BJ219" s="383"/>
      <c r="BK219" s="383"/>
      <c r="BL219" s="383"/>
      <c r="BM219" s="383"/>
      <c r="BN219" s="383"/>
      <c r="BO219" s="383"/>
    </row>
    <row r="220" spans="1:67" x14ac:dyDescent="0.25">
      <c r="A220" s="335">
        <v>5749</v>
      </c>
      <c r="B220" s="425" t="s">
        <v>271</v>
      </c>
      <c r="C220" s="446">
        <v>7710798.29</v>
      </c>
      <c r="D220" s="33">
        <v>778923.23</v>
      </c>
      <c r="E220" s="448"/>
      <c r="F220" s="452">
        <v>0</v>
      </c>
      <c r="G220" s="452">
        <v>168704.7</v>
      </c>
      <c r="H220" s="453">
        <v>28639.4</v>
      </c>
      <c r="I220" s="451">
        <v>-53462.9</v>
      </c>
      <c r="J220" s="448">
        <v>197893</v>
      </c>
      <c r="K220" s="453">
        <v>73983.199999999997</v>
      </c>
      <c r="L220" s="448">
        <v>819167.95</v>
      </c>
      <c r="M220" s="422">
        <f t="shared" si="9"/>
        <v>9724646.8699999973</v>
      </c>
      <c r="N220" s="446">
        <v>582192.94999999995</v>
      </c>
      <c r="O220" s="446">
        <v>255643.9</v>
      </c>
      <c r="P220" s="446">
        <v>396785.65</v>
      </c>
      <c r="Q220" s="446">
        <v>49747.63</v>
      </c>
      <c r="R220" s="33">
        <v>226660.5</v>
      </c>
      <c r="S220" s="340"/>
      <c r="T220" s="446">
        <v>9776.7999999999993</v>
      </c>
      <c r="U220" s="33">
        <v>25480</v>
      </c>
      <c r="V220" s="446"/>
      <c r="W220" s="33"/>
      <c r="X220" s="417">
        <v>82844.899999999994</v>
      </c>
      <c r="Y220" s="328">
        <f t="shared" si="10"/>
        <v>11353779.199999999</v>
      </c>
      <c r="Z220" s="33">
        <v>77608.25</v>
      </c>
      <c r="AA220" s="33"/>
      <c r="AB220" s="33">
        <v>800413.2</v>
      </c>
      <c r="AC220" s="33"/>
      <c r="AD220" s="33">
        <v>574234.73</v>
      </c>
      <c r="AE220" s="33">
        <v>92231.4</v>
      </c>
      <c r="AF220" s="33"/>
      <c r="AG220" s="33"/>
      <c r="AH220" s="33"/>
      <c r="AI220" s="33">
        <v>171087.15</v>
      </c>
      <c r="AJ220" s="33"/>
      <c r="AK220" s="33"/>
      <c r="AL220" s="33"/>
      <c r="AM220" s="328">
        <f t="shared" si="11"/>
        <v>1715574.7299999997</v>
      </c>
      <c r="AN220" s="371">
        <v>72</v>
      </c>
      <c r="AO220" s="388">
        <v>5135</v>
      </c>
      <c r="AP220" s="33">
        <v>-262098.52</v>
      </c>
      <c r="AQ220" s="332"/>
      <c r="AR220" s="33">
        <v>-2137.56</v>
      </c>
      <c r="AS220" s="340">
        <v>1</v>
      </c>
      <c r="AT220" s="437"/>
      <c r="AU220" s="438"/>
      <c r="AV220" s="441"/>
      <c r="AW220" s="441"/>
      <c r="AX220" s="441"/>
      <c r="AY220" s="441"/>
      <c r="AZ220" s="441"/>
      <c r="BA220" s="441"/>
      <c r="BB220" s="441"/>
      <c r="BC220" s="441"/>
      <c r="BE220" s="383"/>
      <c r="BF220" s="383"/>
      <c r="BG220" s="383"/>
      <c r="BH220" s="383"/>
      <c r="BI220" s="383"/>
      <c r="BJ220" s="383"/>
      <c r="BK220" s="383"/>
      <c r="BL220" s="383"/>
      <c r="BM220" s="383"/>
      <c r="BN220" s="383"/>
      <c r="BO220" s="383"/>
    </row>
    <row r="221" spans="1:67" x14ac:dyDescent="0.25">
      <c r="A221" s="335">
        <v>5750</v>
      </c>
      <c r="B221" s="425" t="s">
        <v>272</v>
      </c>
      <c r="C221" s="446">
        <v>338295.71</v>
      </c>
      <c r="D221" s="33">
        <v>33464.83</v>
      </c>
      <c r="E221" s="448"/>
      <c r="F221" s="452">
        <v>1090</v>
      </c>
      <c r="G221" s="452">
        <v>10.9000000000001</v>
      </c>
      <c r="H221" s="453">
        <v>11.5</v>
      </c>
      <c r="I221" s="451">
        <v>0</v>
      </c>
      <c r="J221" s="448">
        <v>11155.51</v>
      </c>
      <c r="K221" s="453">
        <v>229.5</v>
      </c>
      <c r="L221" s="448">
        <v>13295.8</v>
      </c>
      <c r="M221" s="422">
        <f t="shared" si="9"/>
        <v>397553.75000000006</v>
      </c>
      <c r="N221" s="446">
        <v>9385.1</v>
      </c>
      <c r="O221" s="446">
        <v>0</v>
      </c>
      <c r="P221" s="446">
        <v>1837</v>
      </c>
      <c r="Q221" s="446">
        <v>6.8</v>
      </c>
      <c r="R221" s="33">
        <v>0</v>
      </c>
      <c r="S221" s="340"/>
      <c r="T221" s="446"/>
      <c r="U221" s="33">
        <v>720</v>
      </c>
      <c r="V221" s="446"/>
      <c r="W221" s="33"/>
      <c r="X221" s="417">
        <v>584.04999999999995</v>
      </c>
      <c r="Y221" s="328">
        <f t="shared" si="10"/>
        <v>410086.7</v>
      </c>
      <c r="Z221" s="33">
        <v>0</v>
      </c>
      <c r="AA221" s="33">
        <v>0</v>
      </c>
      <c r="AB221" s="33">
        <v>33828</v>
      </c>
      <c r="AC221" s="33">
        <v>0</v>
      </c>
      <c r="AD221" s="33">
        <v>19198.11</v>
      </c>
      <c r="AE221" s="33">
        <v>0</v>
      </c>
      <c r="AF221" s="33">
        <v>0</v>
      </c>
      <c r="AG221" s="33">
        <v>0</v>
      </c>
      <c r="AH221" s="33">
        <v>232</v>
      </c>
      <c r="AI221" s="33">
        <v>4510</v>
      </c>
      <c r="AJ221" s="33">
        <v>0</v>
      </c>
      <c r="AK221" s="33">
        <v>0</v>
      </c>
      <c r="AL221" s="33">
        <v>0</v>
      </c>
      <c r="AM221" s="328">
        <f t="shared" si="11"/>
        <v>57768.11</v>
      </c>
      <c r="AN221" s="371">
        <v>80</v>
      </c>
      <c r="AO221" s="388">
        <v>185</v>
      </c>
      <c r="AP221" s="33">
        <v>-2778.65</v>
      </c>
      <c r="AQ221" s="332"/>
      <c r="AR221" s="33">
        <v>0</v>
      </c>
      <c r="AS221" s="340">
        <v>0.6</v>
      </c>
      <c r="AT221" s="437"/>
      <c r="AU221" s="438"/>
      <c r="AV221" s="441"/>
      <c r="AW221" s="441"/>
      <c r="AX221" s="441"/>
      <c r="AY221" s="441"/>
      <c r="AZ221" s="441"/>
      <c r="BA221" s="441"/>
      <c r="BB221" s="441"/>
      <c r="BC221" s="441"/>
      <c r="BE221" s="383"/>
      <c r="BF221" s="383"/>
      <c r="BG221" s="383"/>
      <c r="BH221" s="383"/>
      <c r="BI221" s="383"/>
      <c r="BJ221" s="383"/>
      <c r="BK221" s="383"/>
      <c r="BL221" s="383"/>
      <c r="BM221" s="383"/>
      <c r="BN221" s="383"/>
      <c r="BO221" s="383"/>
    </row>
    <row r="222" spans="1:67" x14ac:dyDescent="0.25">
      <c r="A222" s="335">
        <v>5752</v>
      </c>
      <c r="B222" s="425" t="s">
        <v>332</v>
      </c>
      <c r="C222" s="446">
        <v>581022.15</v>
      </c>
      <c r="D222" s="33">
        <v>84583.17</v>
      </c>
      <c r="E222" s="448"/>
      <c r="F222" s="452">
        <v>0</v>
      </c>
      <c r="G222" s="452">
        <v>282.2</v>
      </c>
      <c r="H222" s="453">
        <v>812.65</v>
      </c>
      <c r="I222" s="451">
        <v>0</v>
      </c>
      <c r="J222" s="448">
        <v>15676.71</v>
      </c>
      <c r="K222" s="453">
        <v>833.4</v>
      </c>
      <c r="L222" s="448">
        <v>42394</v>
      </c>
      <c r="M222" s="422">
        <f t="shared" si="9"/>
        <v>725604.28</v>
      </c>
      <c r="N222" s="446">
        <v>25500.3</v>
      </c>
      <c r="O222" s="446">
        <v>0</v>
      </c>
      <c r="P222" s="446">
        <v>16794.05</v>
      </c>
      <c r="Q222" s="446">
        <v>1825.8</v>
      </c>
      <c r="R222" s="33">
        <v>17285.95</v>
      </c>
      <c r="S222" s="340"/>
      <c r="T222" s="446"/>
      <c r="U222" s="33">
        <v>2200</v>
      </c>
      <c r="V222" s="446"/>
      <c r="W222" s="33"/>
      <c r="X222" s="417">
        <v>1367.95</v>
      </c>
      <c r="Y222" s="328">
        <f t="shared" si="10"/>
        <v>790578.33000000007</v>
      </c>
      <c r="Z222" s="33"/>
      <c r="AA222" s="33"/>
      <c r="AB222" s="33">
        <v>60846</v>
      </c>
      <c r="AC222" s="33"/>
      <c r="AD222" s="33">
        <v>29563.5</v>
      </c>
      <c r="AE222" s="33"/>
      <c r="AF222" s="33"/>
      <c r="AG222" s="33"/>
      <c r="AH222" s="33"/>
      <c r="AI222" s="33"/>
      <c r="AJ222" s="33"/>
      <c r="AK222" s="33"/>
      <c r="AL222" s="33"/>
      <c r="AM222" s="328">
        <f t="shared" si="11"/>
        <v>90409.5</v>
      </c>
      <c r="AN222" s="371">
        <v>74</v>
      </c>
      <c r="AO222" s="388">
        <v>403</v>
      </c>
      <c r="AP222" s="33">
        <v>-21537.07</v>
      </c>
      <c r="AQ222" s="332"/>
      <c r="AR222" s="33">
        <v>-5783.06</v>
      </c>
      <c r="AS222" s="340">
        <v>0.7</v>
      </c>
      <c r="AT222" s="437"/>
      <c r="AU222" s="438"/>
      <c r="AV222" s="441"/>
      <c r="AW222" s="441"/>
      <c r="AX222" s="441"/>
      <c r="AY222" s="441"/>
      <c r="AZ222" s="441"/>
      <c r="BA222" s="441"/>
      <c r="BB222" s="441"/>
      <c r="BC222" s="441"/>
      <c r="BE222" s="383"/>
      <c r="BF222" s="383"/>
      <c r="BG222" s="383"/>
      <c r="BH222" s="383"/>
      <c r="BI222" s="383"/>
      <c r="BJ222" s="383"/>
      <c r="BK222" s="383"/>
      <c r="BL222" s="383"/>
      <c r="BM222" s="383"/>
      <c r="BN222" s="383"/>
      <c r="BO222" s="383"/>
    </row>
    <row r="223" spans="1:67" x14ac:dyDescent="0.25">
      <c r="A223" s="335">
        <v>5754</v>
      </c>
      <c r="B223" s="425" t="s">
        <v>333</v>
      </c>
      <c r="C223" s="446">
        <v>605521.17000000004</v>
      </c>
      <c r="D223" s="33">
        <v>80553.37</v>
      </c>
      <c r="E223" s="448"/>
      <c r="F223" s="452">
        <v>0</v>
      </c>
      <c r="G223" s="452">
        <v>1035.8499999999999</v>
      </c>
      <c r="H223" s="453">
        <v>959.45</v>
      </c>
      <c r="I223" s="451">
        <v>0</v>
      </c>
      <c r="J223" s="448">
        <v>3966.51</v>
      </c>
      <c r="K223" s="453">
        <v>1575.5</v>
      </c>
      <c r="L223" s="448">
        <v>39827.1</v>
      </c>
      <c r="M223" s="422">
        <f t="shared" si="9"/>
        <v>733438.95</v>
      </c>
      <c r="N223" s="446">
        <v>5642.65</v>
      </c>
      <c r="O223" s="446">
        <v>0</v>
      </c>
      <c r="P223" s="446">
        <v>2444.85</v>
      </c>
      <c r="Q223" s="446">
        <v>5657.1</v>
      </c>
      <c r="R223" s="33">
        <v>0</v>
      </c>
      <c r="S223" s="340"/>
      <c r="T223" s="446"/>
      <c r="U223" s="33">
        <v>1560</v>
      </c>
      <c r="V223" s="446"/>
      <c r="W223" s="33"/>
      <c r="X223" s="417">
        <v>351.4</v>
      </c>
      <c r="Y223" s="328">
        <f t="shared" si="10"/>
        <v>749094.95</v>
      </c>
      <c r="Z223" s="33"/>
      <c r="AA223" s="33"/>
      <c r="AB223" s="33">
        <v>41170.949999999997</v>
      </c>
      <c r="AC223" s="33"/>
      <c r="AD223" s="33">
        <v>20796.8</v>
      </c>
      <c r="AE223" s="33"/>
      <c r="AF223" s="33"/>
      <c r="AG223" s="33"/>
      <c r="AH223" s="33"/>
      <c r="AI223" s="33"/>
      <c r="AJ223" s="33"/>
      <c r="AK223" s="33"/>
      <c r="AL223" s="33"/>
      <c r="AM223" s="328">
        <f t="shared" si="11"/>
        <v>61967.75</v>
      </c>
      <c r="AN223" s="371">
        <v>79</v>
      </c>
      <c r="AO223" s="388">
        <v>328</v>
      </c>
      <c r="AP223" s="33">
        <v>-9602.36</v>
      </c>
      <c r="AQ223" s="332"/>
      <c r="AR223" s="33">
        <v>-101.41</v>
      </c>
      <c r="AS223" s="340">
        <v>1</v>
      </c>
      <c r="AT223" s="437"/>
      <c r="AU223" s="438"/>
      <c r="AV223" s="441"/>
      <c r="AW223" s="441"/>
      <c r="AX223" s="441"/>
      <c r="AY223" s="441"/>
      <c r="AZ223" s="441"/>
      <c r="BA223" s="441"/>
      <c r="BB223" s="441"/>
      <c r="BC223" s="441"/>
      <c r="BE223" s="383"/>
      <c r="BF223" s="383"/>
      <c r="BG223" s="383"/>
      <c r="BH223" s="383"/>
      <c r="BI223" s="383"/>
      <c r="BJ223" s="383"/>
      <c r="BK223" s="383"/>
      <c r="BL223" s="383"/>
      <c r="BM223" s="383"/>
      <c r="BN223" s="383"/>
      <c r="BO223" s="383"/>
    </row>
    <row r="224" spans="1:67" x14ac:dyDescent="0.25">
      <c r="A224" s="335">
        <v>5755</v>
      </c>
      <c r="B224" s="425" t="s">
        <v>334</v>
      </c>
      <c r="C224" s="446">
        <v>641762.68000000005</v>
      </c>
      <c r="D224" s="33">
        <v>70970.2</v>
      </c>
      <c r="E224" s="448"/>
      <c r="F224" s="452">
        <v>0</v>
      </c>
      <c r="G224" s="452">
        <v>5588.7</v>
      </c>
      <c r="H224" s="453">
        <v>768.9</v>
      </c>
      <c r="I224" s="451">
        <v>0</v>
      </c>
      <c r="J224" s="448">
        <v>3785.33</v>
      </c>
      <c r="K224" s="453">
        <v>2533.1</v>
      </c>
      <c r="L224" s="448">
        <v>43107.05</v>
      </c>
      <c r="M224" s="422">
        <f t="shared" si="9"/>
        <v>768515.96</v>
      </c>
      <c r="N224" s="446">
        <v>25416.95</v>
      </c>
      <c r="O224" s="446">
        <v>0</v>
      </c>
      <c r="P224" s="446">
        <v>63834.9</v>
      </c>
      <c r="Q224" s="446">
        <v>5562.9</v>
      </c>
      <c r="R224" s="33">
        <v>34972.15</v>
      </c>
      <c r="S224" s="340"/>
      <c r="T224" s="446"/>
      <c r="U224" s="33">
        <v>2350</v>
      </c>
      <c r="V224" s="446"/>
      <c r="W224" s="33"/>
      <c r="X224" s="417">
        <v>3355.25</v>
      </c>
      <c r="Y224" s="328">
        <f t="shared" si="10"/>
        <v>904008.11</v>
      </c>
      <c r="Z224" s="33"/>
      <c r="AA224" s="33"/>
      <c r="AB224" s="33">
        <v>60449.95</v>
      </c>
      <c r="AC224" s="33"/>
      <c r="AD224" s="33">
        <v>51212.63</v>
      </c>
      <c r="AE224" s="33"/>
      <c r="AF224" s="33"/>
      <c r="AG224" s="33"/>
      <c r="AH224" s="33"/>
      <c r="AI224" s="33"/>
      <c r="AJ224" s="33"/>
      <c r="AK224" s="33"/>
      <c r="AL224" s="33"/>
      <c r="AM224" s="328">
        <f t="shared" si="11"/>
        <v>111662.57999999999</v>
      </c>
      <c r="AN224" s="371">
        <v>80</v>
      </c>
      <c r="AO224" s="388">
        <v>437</v>
      </c>
      <c r="AP224" s="33">
        <v>-8185.46</v>
      </c>
      <c r="AQ224" s="332"/>
      <c r="AR224" s="33">
        <v>0</v>
      </c>
      <c r="AS224" s="340">
        <v>0.7</v>
      </c>
      <c r="AT224" s="437"/>
      <c r="AU224" s="438"/>
      <c r="AV224" s="441"/>
      <c r="AW224" s="441"/>
      <c r="AX224" s="441"/>
      <c r="AY224" s="441"/>
      <c r="AZ224" s="441"/>
      <c r="BA224" s="441"/>
      <c r="BB224" s="441"/>
      <c r="BC224" s="441"/>
      <c r="BE224" s="383"/>
      <c r="BF224" s="383"/>
      <c r="BG224" s="383"/>
      <c r="BH224" s="383"/>
      <c r="BI224" s="383"/>
      <c r="BJ224" s="383"/>
      <c r="BK224" s="383"/>
      <c r="BL224" s="383"/>
      <c r="BM224" s="383"/>
      <c r="BN224" s="383"/>
      <c r="BO224" s="383"/>
    </row>
    <row r="225" spans="1:67" x14ac:dyDescent="0.25">
      <c r="A225" s="335">
        <v>5756</v>
      </c>
      <c r="B225" s="425" t="s">
        <v>335</v>
      </c>
      <c r="C225" s="446">
        <v>939223.22</v>
      </c>
      <c r="D225" s="33">
        <v>168947.92</v>
      </c>
      <c r="E225" s="448"/>
      <c r="F225" s="452">
        <v>0</v>
      </c>
      <c r="G225" s="452">
        <v>-6975.15</v>
      </c>
      <c r="H225" s="453">
        <v>-672.55</v>
      </c>
      <c r="I225" s="451">
        <v>0</v>
      </c>
      <c r="J225" s="448">
        <v>5914.32</v>
      </c>
      <c r="K225" s="453">
        <v>160.4</v>
      </c>
      <c r="L225" s="448">
        <v>84984</v>
      </c>
      <c r="M225" s="422">
        <f t="shared" si="9"/>
        <v>1191582.1599999999</v>
      </c>
      <c r="N225" s="446">
        <v>29390.1</v>
      </c>
      <c r="O225" s="446">
        <v>765</v>
      </c>
      <c r="P225" s="446">
        <v>31400.6</v>
      </c>
      <c r="Q225" s="446">
        <v>0</v>
      </c>
      <c r="R225" s="33">
        <v>6990.4</v>
      </c>
      <c r="S225" s="340"/>
      <c r="T225" s="446">
        <v>300</v>
      </c>
      <c r="U225" s="33">
        <v>2875</v>
      </c>
      <c r="V225" s="446"/>
      <c r="W225" s="33"/>
      <c r="X225" s="417">
        <v>13241.8</v>
      </c>
      <c r="Y225" s="328">
        <f t="shared" si="10"/>
        <v>1276545.06</v>
      </c>
      <c r="Z225" s="33"/>
      <c r="AA225" s="33"/>
      <c r="AB225" s="33">
        <v>52445.2</v>
      </c>
      <c r="AC225" s="33"/>
      <c r="AD225" s="33">
        <v>28560.5</v>
      </c>
      <c r="AE225" s="33"/>
      <c r="AF225" s="33"/>
      <c r="AG225" s="33"/>
      <c r="AH225" s="33">
        <v>396.8</v>
      </c>
      <c r="AI225" s="33">
        <v>10846.65</v>
      </c>
      <c r="AJ225" s="33"/>
      <c r="AK225" s="33"/>
      <c r="AL225" s="33"/>
      <c r="AM225" s="328">
        <f t="shared" si="11"/>
        <v>92249.15</v>
      </c>
      <c r="AN225" s="371">
        <v>72</v>
      </c>
      <c r="AO225" s="388">
        <v>505</v>
      </c>
      <c r="AP225" s="33">
        <v>-20702.57</v>
      </c>
      <c r="AQ225" s="332"/>
      <c r="AR225" s="33">
        <v>-1228.77</v>
      </c>
      <c r="AS225" s="340">
        <v>1</v>
      </c>
      <c r="AT225" s="437"/>
      <c r="AU225" s="438"/>
      <c r="AV225" s="441"/>
      <c r="AW225" s="441"/>
      <c r="AX225" s="441"/>
      <c r="AY225" s="441"/>
      <c r="AZ225" s="441"/>
      <c r="BA225" s="441"/>
      <c r="BB225" s="441"/>
      <c r="BC225" s="441"/>
      <c r="BE225" s="383"/>
      <c r="BF225" s="383"/>
      <c r="BG225" s="383"/>
      <c r="BH225" s="383"/>
      <c r="BI225" s="383"/>
      <c r="BJ225" s="383"/>
      <c r="BK225" s="383"/>
      <c r="BL225" s="383"/>
      <c r="BM225" s="383"/>
      <c r="BN225" s="383"/>
      <c r="BO225" s="383"/>
    </row>
    <row r="226" spans="1:67" x14ac:dyDescent="0.25">
      <c r="A226" s="335">
        <v>5757</v>
      </c>
      <c r="B226" s="425" t="s">
        <v>336</v>
      </c>
      <c r="C226" s="446">
        <v>11162653.550000001</v>
      </c>
      <c r="D226" s="33">
        <v>1136686.72</v>
      </c>
      <c r="E226" s="448"/>
      <c r="F226" s="452">
        <v>0</v>
      </c>
      <c r="G226" s="452">
        <v>1505027.1</v>
      </c>
      <c r="H226" s="453">
        <v>52674.35</v>
      </c>
      <c r="I226" s="451">
        <v>0</v>
      </c>
      <c r="J226" s="448">
        <v>421751.35</v>
      </c>
      <c r="K226" s="453">
        <v>110574.45</v>
      </c>
      <c r="L226" s="448">
        <v>1290165.8</v>
      </c>
      <c r="M226" s="422">
        <f t="shared" si="9"/>
        <v>15679533.32</v>
      </c>
      <c r="N226" s="446">
        <v>2385887.2999999998</v>
      </c>
      <c r="O226" s="446">
        <v>77692.2</v>
      </c>
      <c r="P226" s="446">
        <v>525535</v>
      </c>
      <c r="Q226" s="446">
        <v>59814.36</v>
      </c>
      <c r="R226" s="33">
        <v>409342.65</v>
      </c>
      <c r="S226" s="340">
        <v>39254.800000000003</v>
      </c>
      <c r="T226" s="446"/>
      <c r="U226" s="33">
        <v>44295</v>
      </c>
      <c r="V226" s="446"/>
      <c r="W226" s="33"/>
      <c r="X226" s="417">
        <v>373687.95</v>
      </c>
      <c r="Y226" s="328">
        <f t="shared" si="10"/>
        <v>19595042.579999998</v>
      </c>
      <c r="Z226" s="33">
        <v>161007</v>
      </c>
      <c r="AA226" s="33"/>
      <c r="AB226" s="33">
        <v>1065210.53</v>
      </c>
      <c r="AC226" s="33"/>
      <c r="AD226" s="33">
        <v>951782.27</v>
      </c>
      <c r="AE226" s="33">
        <v>84777.25</v>
      </c>
      <c r="AF226" s="33"/>
      <c r="AG226" s="33"/>
      <c r="AH226" s="33">
        <v>29650.6</v>
      </c>
      <c r="AI226" s="33">
        <v>224353.59</v>
      </c>
      <c r="AJ226" s="33">
        <v>208987.5</v>
      </c>
      <c r="AK226" s="33">
        <v>193872.29</v>
      </c>
      <c r="AL226" s="33">
        <v>15115.21</v>
      </c>
      <c r="AM226" s="328">
        <f t="shared" si="11"/>
        <v>2934756.2399999998</v>
      </c>
      <c r="AN226" s="371">
        <v>77</v>
      </c>
      <c r="AO226" s="388">
        <v>7030</v>
      </c>
      <c r="AP226" s="33">
        <v>-409528.08</v>
      </c>
      <c r="AQ226" s="332"/>
      <c r="AR226" s="33">
        <v>-24544.12</v>
      </c>
      <c r="AS226" s="340">
        <v>1</v>
      </c>
      <c r="AT226" s="437"/>
      <c r="AU226" s="438"/>
      <c r="AV226" s="441"/>
      <c r="AW226" s="441"/>
      <c r="AX226" s="441"/>
      <c r="AY226" s="441"/>
      <c r="AZ226" s="441"/>
      <c r="BA226" s="441"/>
      <c r="BB226" s="441"/>
      <c r="BC226" s="441"/>
      <c r="BE226" s="383"/>
      <c r="BF226" s="383"/>
      <c r="BG226" s="383"/>
      <c r="BH226" s="383"/>
      <c r="BI226" s="383"/>
      <c r="BJ226" s="383"/>
      <c r="BK226" s="383"/>
      <c r="BL226" s="383"/>
      <c r="BM226" s="383"/>
      <c r="BN226" s="383"/>
      <c r="BO226" s="383"/>
    </row>
    <row r="227" spans="1:67" x14ac:dyDescent="0.25">
      <c r="A227" s="335">
        <v>5758</v>
      </c>
      <c r="B227" s="425" t="s">
        <v>217</v>
      </c>
      <c r="C227" s="446">
        <v>298632.88</v>
      </c>
      <c r="D227" s="33">
        <v>39960.19</v>
      </c>
      <c r="E227" s="448"/>
      <c r="F227" s="452">
        <v>1010</v>
      </c>
      <c r="G227" s="452">
        <v>5572.45</v>
      </c>
      <c r="H227" s="453">
        <v>862.25</v>
      </c>
      <c r="I227" s="451">
        <v>0</v>
      </c>
      <c r="J227" s="448">
        <v>699.76</v>
      </c>
      <c r="K227" s="453">
        <v>0</v>
      </c>
      <c r="L227" s="448">
        <v>23619.9</v>
      </c>
      <c r="M227" s="422">
        <f t="shared" si="9"/>
        <v>370357.43000000005</v>
      </c>
      <c r="N227" s="446">
        <v>0</v>
      </c>
      <c r="O227" s="446">
        <v>0</v>
      </c>
      <c r="P227" s="446">
        <v>25718.400000000001</v>
      </c>
      <c r="Q227" s="446">
        <v>5040.37</v>
      </c>
      <c r="R227" s="33">
        <v>34052.5</v>
      </c>
      <c r="S227" s="340"/>
      <c r="T227" s="446"/>
      <c r="U227" s="33">
        <v>1000</v>
      </c>
      <c r="V227" s="446"/>
      <c r="W227" s="33"/>
      <c r="X227" s="417">
        <v>446.75</v>
      </c>
      <c r="Y227" s="328">
        <f t="shared" si="10"/>
        <v>436615.45000000007</v>
      </c>
      <c r="Z227" s="33">
        <v>465</v>
      </c>
      <c r="AA227" s="33"/>
      <c r="AB227" s="33">
        <v>48574.75</v>
      </c>
      <c r="AC227" s="33"/>
      <c r="AD227" s="33">
        <v>13600</v>
      </c>
      <c r="AE227" s="33">
        <v>1997.5</v>
      </c>
      <c r="AF227" s="33"/>
      <c r="AG227" s="33"/>
      <c r="AH227" s="33"/>
      <c r="AI227" s="33">
        <v>5444.15</v>
      </c>
      <c r="AJ227" s="33"/>
      <c r="AK227" s="33"/>
      <c r="AL227" s="33"/>
      <c r="AM227" s="328">
        <f t="shared" si="11"/>
        <v>70081.399999999994</v>
      </c>
      <c r="AN227" s="371">
        <v>83</v>
      </c>
      <c r="AO227" s="388">
        <v>165</v>
      </c>
      <c r="AP227" s="33">
        <v>-3824.08</v>
      </c>
      <c r="AQ227" s="332"/>
      <c r="AR227" s="33">
        <v>0</v>
      </c>
      <c r="AS227" s="340">
        <v>0.9</v>
      </c>
      <c r="AT227" s="437"/>
      <c r="AU227" s="438"/>
      <c r="AV227" s="441"/>
      <c r="AW227" s="441"/>
      <c r="AX227" s="441"/>
      <c r="AY227" s="441"/>
      <c r="AZ227" s="441"/>
      <c r="BA227" s="441"/>
      <c r="BB227" s="441"/>
      <c r="BC227" s="441"/>
      <c r="BE227" s="383"/>
      <c r="BF227" s="383"/>
      <c r="BG227" s="383"/>
      <c r="BH227" s="383"/>
      <c r="BI227" s="383"/>
      <c r="BJ227" s="383"/>
      <c r="BK227" s="383"/>
      <c r="BL227" s="383"/>
      <c r="BM227" s="383"/>
      <c r="BN227" s="383"/>
      <c r="BO227" s="383"/>
    </row>
    <row r="228" spans="1:67" x14ac:dyDescent="0.25">
      <c r="A228" s="335">
        <v>5759</v>
      </c>
      <c r="B228" s="425" t="s">
        <v>218</v>
      </c>
      <c r="C228" s="446">
        <v>336645.86</v>
      </c>
      <c r="D228" s="33">
        <v>56358.34</v>
      </c>
      <c r="E228" s="448"/>
      <c r="F228" s="452">
        <v>0</v>
      </c>
      <c r="G228" s="452">
        <v>7389.45</v>
      </c>
      <c r="H228" s="453">
        <v>121.05</v>
      </c>
      <c r="I228" s="451">
        <v>0</v>
      </c>
      <c r="J228" s="448">
        <v>8237.02</v>
      </c>
      <c r="K228" s="453">
        <v>242.95</v>
      </c>
      <c r="L228" s="448">
        <v>28590.3</v>
      </c>
      <c r="M228" s="422">
        <f t="shared" si="9"/>
        <v>437584.97</v>
      </c>
      <c r="N228" s="446">
        <v>3194.25</v>
      </c>
      <c r="O228" s="446">
        <v>0</v>
      </c>
      <c r="P228" s="446">
        <v>7397.8</v>
      </c>
      <c r="Q228" s="446">
        <v>27.03</v>
      </c>
      <c r="R228" s="33">
        <v>15682</v>
      </c>
      <c r="S228" s="340"/>
      <c r="T228" s="446"/>
      <c r="U228" s="33">
        <v>800</v>
      </c>
      <c r="V228" s="446"/>
      <c r="W228" s="33"/>
      <c r="X228" s="417">
        <v>327.25</v>
      </c>
      <c r="Y228" s="328">
        <f t="shared" si="10"/>
        <v>465013.3</v>
      </c>
      <c r="Z228" s="33"/>
      <c r="AA228" s="33"/>
      <c r="AB228" s="33">
        <v>27837</v>
      </c>
      <c r="AC228" s="33"/>
      <c r="AD228" s="33">
        <v>18546.900000000001</v>
      </c>
      <c r="AE228" s="33"/>
      <c r="AF228" s="33"/>
      <c r="AG228" s="33"/>
      <c r="AH228" s="33"/>
      <c r="AI228" s="33"/>
      <c r="AJ228" s="33"/>
      <c r="AK228" s="33"/>
      <c r="AL228" s="33"/>
      <c r="AM228" s="328">
        <f t="shared" si="11"/>
        <v>46383.9</v>
      </c>
      <c r="AN228" s="371">
        <v>81</v>
      </c>
      <c r="AO228" s="388">
        <v>215</v>
      </c>
      <c r="AP228" s="33">
        <v>-11258.17</v>
      </c>
      <c r="AQ228" s="332"/>
      <c r="AR228" s="33">
        <v>-113.05</v>
      </c>
      <c r="AS228" s="340">
        <v>1</v>
      </c>
      <c r="AT228" s="437"/>
      <c r="AU228" s="438"/>
      <c r="AV228" s="441"/>
      <c r="AW228" s="441"/>
      <c r="AX228" s="441"/>
      <c r="AY228" s="441"/>
      <c r="AZ228" s="441"/>
      <c r="BA228" s="441"/>
      <c r="BB228" s="441"/>
      <c r="BC228" s="441"/>
      <c r="BE228" s="383"/>
      <c r="BF228" s="383"/>
      <c r="BG228" s="383"/>
      <c r="BH228" s="383"/>
      <c r="BI228" s="383"/>
      <c r="BJ228" s="383"/>
      <c r="BK228" s="383"/>
      <c r="BL228" s="383"/>
      <c r="BM228" s="383"/>
      <c r="BN228" s="383"/>
      <c r="BO228" s="383"/>
    </row>
    <row r="229" spans="1:67" x14ac:dyDescent="0.25">
      <c r="A229" s="335">
        <v>5760</v>
      </c>
      <c r="B229" s="425" t="s">
        <v>219</v>
      </c>
      <c r="C229" s="446">
        <v>828540.41</v>
      </c>
      <c r="D229" s="33">
        <v>70641.75</v>
      </c>
      <c r="E229" s="448"/>
      <c r="F229" s="452">
        <v>0</v>
      </c>
      <c r="G229" s="452">
        <v>1033.95</v>
      </c>
      <c r="H229" s="453">
        <v>1009.9</v>
      </c>
      <c r="I229" s="451">
        <v>0</v>
      </c>
      <c r="J229" s="448">
        <v>4654.07</v>
      </c>
      <c r="K229" s="453">
        <v>0</v>
      </c>
      <c r="L229" s="448">
        <v>105358.55</v>
      </c>
      <c r="M229" s="422">
        <f t="shared" si="9"/>
        <v>1011238.63</v>
      </c>
      <c r="N229" s="446">
        <v>16854.2</v>
      </c>
      <c r="O229" s="446">
        <v>477.2</v>
      </c>
      <c r="P229" s="446">
        <v>21138.6</v>
      </c>
      <c r="Q229" s="446">
        <v>2427.5</v>
      </c>
      <c r="R229" s="33">
        <v>892.7</v>
      </c>
      <c r="S229" s="340"/>
      <c r="T229" s="446">
        <v>100</v>
      </c>
      <c r="U229" s="33">
        <v>2655</v>
      </c>
      <c r="V229" s="446"/>
      <c r="W229" s="33"/>
      <c r="X229" s="417">
        <v>1736.95</v>
      </c>
      <c r="Y229" s="328">
        <f t="shared" si="10"/>
        <v>1057520.7799999998</v>
      </c>
      <c r="Z229" s="33"/>
      <c r="AA229" s="33">
        <v>32155.8</v>
      </c>
      <c r="AB229" s="33">
        <v>45426.7</v>
      </c>
      <c r="AC229" s="33">
        <v>65022.8</v>
      </c>
      <c r="AD229" s="33">
        <v>25430.2</v>
      </c>
      <c r="AE229" s="33"/>
      <c r="AF229" s="33"/>
      <c r="AG229" s="33"/>
      <c r="AH229" s="33"/>
      <c r="AI229" s="33"/>
      <c r="AJ229" s="33"/>
      <c r="AK229" s="33"/>
      <c r="AL229" s="33"/>
      <c r="AM229" s="328">
        <f t="shared" si="11"/>
        <v>168035.5</v>
      </c>
      <c r="AN229" s="371">
        <v>78</v>
      </c>
      <c r="AO229" s="388">
        <v>505</v>
      </c>
      <c r="AP229" s="33">
        <v>-11699.49</v>
      </c>
      <c r="AQ229" s="332"/>
      <c r="AR229" s="33">
        <v>-1918.01</v>
      </c>
      <c r="AS229" s="340">
        <v>1.5</v>
      </c>
      <c r="AT229" s="437"/>
      <c r="AU229" s="438"/>
      <c r="AV229" s="441"/>
      <c r="AW229" s="441"/>
      <c r="AX229" s="441"/>
      <c r="AY229" s="441"/>
      <c r="AZ229" s="441"/>
      <c r="BA229" s="441"/>
      <c r="BB229" s="441"/>
      <c r="BC229" s="441"/>
      <c r="BE229" s="383"/>
      <c r="BF229" s="383"/>
      <c r="BG229" s="383"/>
      <c r="BH229" s="383"/>
      <c r="BI229" s="383"/>
      <c r="BJ229" s="383"/>
      <c r="BK229" s="383"/>
      <c r="BL229" s="383"/>
      <c r="BM229" s="383"/>
      <c r="BN229" s="383"/>
      <c r="BO229" s="383"/>
    </row>
    <row r="230" spans="1:67" x14ac:dyDescent="0.25">
      <c r="A230" s="335">
        <v>5761</v>
      </c>
      <c r="B230" s="425" t="s">
        <v>135</v>
      </c>
      <c r="C230" s="446">
        <v>794794.29</v>
      </c>
      <c r="D230" s="33">
        <v>99810.19</v>
      </c>
      <c r="E230" s="448"/>
      <c r="F230" s="452">
        <v>0</v>
      </c>
      <c r="G230" s="452">
        <v>13844.65</v>
      </c>
      <c r="H230" s="453">
        <v>849.4</v>
      </c>
      <c r="I230" s="451">
        <v>0</v>
      </c>
      <c r="J230" s="448">
        <v>17533.5</v>
      </c>
      <c r="K230" s="453">
        <v>6520.55</v>
      </c>
      <c r="L230" s="448">
        <v>92247.15</v>
      </c>
      <c r="M230" s="422">
        <f t="shared" si="9"/>
        <v>1025599.7300000001</v>
      </c>
      <c r="N230" s="446">
        <v>54355.95</v>
      </c>
      <c r="O230" s="446">
        <v>17444</v>
      </c>
      <c r="P230" s="446">
        <v>31666.35</v>
      </c>
      <c r="Q230" s="446">
        <v>12561.89</v>
      </c>
      <c r="R230" s="33">
        <v>61949.05</v>
      </c>
      <c r="S230" s="340">
        <v>1108.5999999999999</v>
      </c>
      <c r="T230" s="446"/>
      <c r="U230" s="33">
        <v>3312</v>
      </c>
      <c r="V230" s="446">
        <v>1177</v>
      </c>
      <c r="W230" s="33"/>
      <c r="X230" s="417">
        <v>2525.4499999999998</v>
      </c>
      <c r="Y230" s="328">
        <f t="shared" si="10"/>
        <v>1211700.0200000003</v>
      </c>
      <c r="Z230" s="33">
        <v>506</v>
      </c>
      <c r="AA230" s="33"/>
      <c r="AB230" s="33">
        <v>89754</v>
      </c>
      <c r="AC230" s="33"/>
      <c r="AD230" s="33">
        <v>50685</v>
      </c>
      <c r="AE230" s="33">
        <v>184</v>
      </c>
      <c r="AF230" s="33"/>
      <c r="AG230" s="33"/>
      <c r="AH230" s="33"/>
      <c r="AI230" s="33">
        <v>17749.349999999999</v>
      </c>
      <c r="AJ230" s="33"/>
      <c r="AK230" s="33"/>
      <c r="AL230" s="33"/>
      <c r="AM230" s="328">
        <f t="shared" si="11"/>
        <v>158878.35</v>
      </c>
      <c r="AN230" s="371">
        <v>81</v>
      </c>
      <c r="AO230" s="388">
        <v>535</v>
      </c>
      <c r="AP230" s="33">
        <v>-35972.910000000003</v>
      </c>
      <c r="AQ230" s="332"/>
      <c r="AR230" s="33">
        <v>0</v>
      </c>
      <c r="AS230" s="340">
        <v>1.1000000000000001</v>
      </c>
      <c r="AT230" s="437"/>
      <c r="AU230" s="438"/>
      <c r="AV230" s="441"/>
      <c r="AW230" s="441"/>
      <c r="AX230" s="441"/>
      <c r="AY230" s="441"/>
      <c r="AZ230" s="441"/>
      <c r="BA230" s="441"/>
      <c r="BB230" s="441"/>
      <c r="BC230" s="441"/>
      <c r="BE230" s="383"/>
      <c r="BF230" s="383"/>
      <c r="BG230" s="383"/>
      <c r="BH230" s="383"/>
      <c r="BI230" s="383"/>
      <c r="BJ230" s="383"/>
      <c r="BK230" s="383"/>
      <c r="BL230" s="383"/>
      <c r="BM230" s="383"/>
      <c r="BN230" s="383"/>
      <c r="BO230" s="383"/>
    </row>
    <row r="231" spans="1:67" x14ac:dyDescent="0.25">
      <c r="A231" s="335">
        <v>5762</v>
      </c>
      <c r="B231" s="425" t="s">
        <v>136</v>
      </c>
      <c r="C231" s="446">
        <v>240364.43</v>
      </c>
      <c r="D231" s="33">
        <v>33456.11</v>
      </c>
      <c r="E231" s="448"/>
      <c r="F231" s="452">
        <v>0</v>
      </c>
      <c r="G231" s="452">
        <v>14449.35</v>
      </c>
      <c r="H231" s="453">
        <v>108.8</v>
      </c>
      <c r="I231" s="451">
        <v>0</v>
      </c>
      <c r="J231" s="448">
        <v>1087.5</v>
      </c>
      <c r="K231" s="453">
        <v>75</v>
      </c>
      <c r="L231" s="448">
        <v>19868.599999999999</v>
      </c>
      <c r="M231" s="422">
        <f t="shared" si="9"/>
        <v>309409.78999999992</v>
      </c>
      <c r="N231" s="446">
        <v>8622.5</v>
      </c>
      <c r="O231" s="446">
        <v>0</v>
      </c>
      <c r="P231" s="446">
        <v>880</v>
      </c>
      <c r="Q231" s="446">
        <v>4050.2</v>
      </c>
      <c r="R231" s="33">
        <v>1152.75</v>
      </c>
      <c r="S231" s="340"/>
      <c r="T231" s="446"/>
      <c r="U231" s="33">
        <v>1300</v>
      </c>
      <c r="V231" s="446"/>
      <c r="W231" s="33"/>
      <c r="X231" s="417">
        <v>2879.6</v>
      </c>
      <c r="Y231" s="328">
        <f t="shared" si="10"/>
        <v>328294.83999999991</v>
      </c>
      <c r="Z231" s="33"/>
      <c r="AA231" s="33"/>
      <c r="AB231" s="33">
        <v>5165.6000000000004</v>
      </c>
      <c r="AC231" s="33"/>
      <c r="AD231" s="33">
        <v>14922.5</v>
      </c>
      <c r="AE231" s="33"/>
      <c r="AF231" s="33"/>
      <c r="AG231" s="33"/>
      <c r="AH231" s="33"/>
      <c r="AI231" s="33"/>
      <c r="AJ231" s="33"/>
      <c r="AK231" s="33"/>
      <c r="AL231" s="33"/>
      <c r="AM231" s="328">
        <f t="shared" si="11"/>
        <v>20088.099999999999</v>
      </c>
      <c r="AN231" s="371">
        <v>78</v>
      </c>
      <c r="AO231" s="388">
        <v>145</v>
      </c>
      <c r="AP231" s="33">
        <v>-3659.26</v>
      </c>
      <c r="AQ231" s="332"/>
      <c r="AR231" s="33">
        <v>0</v>
      </c>
      <c r="AS231" s="340">
        <v>1</v>
      </c>
      <c r="AT231" s="437"/>
      <c r="AU231" s="438"/>
      <c r="AV231" s="441"/>
      <c r="AW231" s="441"/>
      <c r="AX231" s="441"/>
      <c r="AY231" s="441"/>
      <c r="AZ231" s="441"/>
      <c r="BA231" s="441"/>
      <c r="BB231" s="441"/>
      <c r="BC231" s="441"/>
      <c r="BE231" s="383"/>
      <c r="BF231" s="383"/>
      <c r="BG231" s="383"/>
      <c r="BH231" s="383"/>
      <c r="BI231" s="383"/>
      <c r="BJ231" s="383"/>
      <c r="BK231" s="383"/>
      <c r="BL231" s="383"/>
      <c r="BM231" s="383"/>
      <c r="BN231" s="383"/>
      <c r="BO231" s="383"/>
    </row>
    <row r="232" spans="1:67" x14ac:dyDescent="0.25">
      <c r="A232" s="335">
        <v>5763</v>
      </c>
      <c r="B232" s="425" t="s">
        <v>137</v>
      </c>
      <c r="C232" s="446">
        <v>1107938.55</v>
      </c>
      <c r="D232" s="33">
        <v>241285.89</v>
      </c>
      <c r="E232" s="448"/>
      <c r="F232" s="452">
        <v>3240</v>
      </c>
      <c r="G232" s="452">
        <v>32665.45</v>
      </c>
      <c r="H232" s="453">
        <v>1547.4</v>
      </c>
      <c r="I232" s="451">
        <v>0</v>
      </c>
      <c r="J232" s="448">
        <v>16727.34</v>
      </c>
      <c r="K232" s="453">
        <v>3519.35</v>
      </c>
      <c r="L232" s="448">
        <v>88555</v>
      </c>
      <c r="M232" s="422">
        <f t="shared" si="9"/>
        <v>1495478.98</v>
      </c>
      <c r="N232" s="446">
        <v>45726.7</v>
      </c>
      <c r="O232" s="446">
        <v>0</v>
      </c>
      <c r="P232" s="446">
        <v>24332.65</v>
      </c>
      <c r="Q232" s="446">
        <v>7621.41</v>
      </c>
      <c r="R232" s="33">
        <v>6556.05</v>
      </c>
      <c r="S232" s="340"/>
      <c r="T232" s="446">
        <v>2772.45</v>
      </c>
      <c r="U232" s="33">
        <v>5300</v>
      </c>
      <c r="V232" s="446"/>
      <c r="W232" s="33"/>
      <c r="X232" s="417">
        <v>2241.4499999999998</v>
      </c>
      <c r="Y232" s="328">
        <f t="shared" si="10"/>
        <v>1590029.6899999997</v>
      </c>
      <c r="Z232" s="33"/>
      <c r="AA232" s="33"/>
      <c r="AB232" s="33">
        <v>96667.4</v>
      </c>
      <c r="AC232" s="33">
        <v>52938.8</v>
      </c>
      <c r="AD232" s="33">
        <v>77694</v>
      </c>
      <c r="AE232" s="33">
        <v>10684.7</v>
      </c>
      <c r="AF232" s="33"/>
      <c r="AG232" s="33"/>
      <c r="AH232" s="33"/>
      <c r="AI232" s="33"/>
      <c r="AJ232" s="33"/>
      <c r="AK232" s="33"/>
      <c r="AL232" s="33"/>
      <c r="AM232" s="328">
        <f t="shared" si="11"/>
        <v>237984.90000000002</v>
      </c>
      <c r="AN232" s="371">
        <v>68</v>
      </c>
      <c r="AO232" s="388">
        <v>620</v>
      </c>
      <c r="AP232" s="33">
        <v>-14704.25</v>
      </c>
      <c r="AQ232" s="332"/>
      <c r="AR232" s="33">
        <v>-348.45</v>
      </c>
      <c r="AS232" s="340">
        <v>1</v>
      </c>
      <c r="AT232" s="437"/>
      <c r="AU232" s="438"/>
      <c r="AV232" s="462"/>
      <c r="AW232" s="441"/>
      <c r="AX232" s="441"/>
      <c r="AY232" s="462"/>
      <c r="AZ232" s="441"/>
      <c r="BA232" s="441"/>
      <c r="BB232" s="441"/>
      <c r="BC232" s="441"/>
      <c r="BE232" s="383"/>
      <c r="BF232" s="383"/>
      <c r="BG232" s="383"/>
      <c r="BH232" s="383"/>
      <c r="BI232" s="383"/>
      <c r="BJ232" s="383"/>
      <c r="BK232" s="383"/>
      <c r="BL232" s="383"/>
      <c r="BM232" s="383"/>
      <c r="BN232" s="383"/>
      <c r="BO232" s="383"/>
    </row>
    <row r="233" spans="1:67" x14ac:dyDescent="0.25">
      <c r="A233" s="335">
        <v>5764</v>
      </c>
      <c r="B233" s="425" t="s">
        <v>337</v>
      </c>
      <c r="C233" s="446">
        <v>4953500.9400000004</v>
      </c>
      <c r="D233" s="33">
        <v>423966.98</v>
      </c>
      <c r="E233" s="448"/>
      <c r="F233" s="452">
        <v>0</v>
      </c>
      <c r="G233" s="452">
        <v>431918.2</v>
      </c>
      <c r="H233" s="453">
        <v>45807.45</v>
      </c>
      <c r="I233" s="451">
        <v>0</v>
      </c>
      <c r="J233" s="448">
        <v>183049.14</v>
      </c>
      <c r="K233" s="453">
        <v>36197.4</v>
      </c>
      <c r="L233" s="448">
        <v>454100.85</v>
      </c>
      <c r="M233" s="422">
        <f t="shared" si="9"/>
        <v>6528540.96</v>
      </c>
      <c r="N233" s="446">
        <v>2136567.6</v>
      </c>
      <c r="O233" s="446">
        <v>327432.7</v>
      </c>
      <c r="P233" s="446">
        <v>245586.45</v>
      </c>
      <c r="Q233" s="446">
        <v>26109.17</v>
      </c>
      <c r="R233" s="33">
        <v>135465.70000000001</v>
      </c>
      <c r="S233" s="340">
        <v>275</v>
      </c>
      <c r="T233" s="446">
        <v>11196.45</v>
      </c>
      <c r="U233" s="33">
        <v>21562.5</v>
      </c>
      <c r="V233" s="446">
        <v>51004.5</v>
      </c>
      <c r="W233" s="33"/>
      <c r="X233" s="417">
        <v>94309.4</v>
      </c>
      <c r="Y233" s="328">
        <f t="shared" si="10"/>
        <v>9578050.4299999978</v>
      </c>
      <c r="Z233" s="33">
        <v>153180</v>
      </c>
      <c r="AA233" s="33">
        <v>10418</v>
      </c>
      <c r="AB233" s="33">
        <v>534698.5</v>
      </c>
      <c r="AC233" s="33"/>
      <c r="AD233" s="33">
        <v>520033.46</v>
      </c>
      <c r="AE233" s="33">
        <v>103818.85</v>
      </c>
      <c r="AF233" s="33">
        <v>14330</v>
      </c>
      <c r="AG233" s="33"/>
      <c r="AH233" s="33">
        <v>7729.4</v>
      </c>
      <c r="AI233" s="33">
        <v>192463.8</v>
      </c>
      <c r="AJ233" s="33"/>
      <c r="AK233" s="33"/>
      <c r="AL233" s="33"/>
      <c r="AM233" s="328">
        <f t="shared" si="11"/>
        <v>1536672.01</v>
      </c>
      <c r="AN233" s="371">
        <v>73</v>
      </c>
      <c r="AO233" s="388">
        <v>3857</v>
      </c>
      <c r="AP233" s="33">
        <v>-220639.95</v>
      </c>
      <c r="AQ233" s="332"/>
      <c r="AR233" s="33">
        <v>-1324.77</v>
      </c>
      <c r="AS233" s="340">
        <v>1</v>
      </c>
      <c r="AT233" s="437"/>
      <c r="AU233" s="438"/>
      <c r="AV233" s="441"/>
      <c r="AW233" s="441"/>
      <c r="AX233" s="441"/>
      <c r="AY233" s="441"/>
      <c r="AZ233" s="441"/>
      <c r="BA233" s="441"/>
      <c r="BB233" s="441"/>
      <c r="BC233" s="441"/>
      <c r="BE233" s="383"/>
      <c r="BF233" s="383"/>
      <c r="BG233" s="383"/>
      <c r="BH233" s="383"/>
      <c r="BI233" s="383"/>
      <c r="BJ233" s="383"/>
      <c r="BK233" s="383"/>
      <c r="BL233" s="383"/>
      <c r="BM233" s="383"/>
      <c r="BN233" s="383"/>
      <c r="BO233" s="383"/>
    </row>
    <row r="234" spans="1:67" x14ac:dyDescent="0.25">
      <c r="A234" s="335">
        <v>5765</v>
      </c>
      <c r="B234" s="425" t="s">
        <v>338</v>
      </c>
      <c r="C234" s="446">
        <v>809855.69</v>
      </c>
      <c r="D234" s="33">
        <v>85686.68</v>
      </c>
      <c r="E234" s="448"/>
      <c r="F234" s="452">
        <v>0</v>
      </c>
      <c r="G234" s="452">
        <v>4215.25</v>
      </c>
      <c r="H234" s="453">
        <v>882.6</v>
      </c>
      <c r="I234" s="451">
        <v>0</v>
      </c>
      <c r="J234" s="448">
        <v>13487.21</v>
      </c>
      <c r="K234" s="453">
        <v>0</v>
      </c>
      <c r="L234" s="448">
        <v>31776</v>
      </c>
      <c r="M234" s="422">
        <f t="shared" si="9"/>
        <v>945903.42999999982</v>
      </c>
      <c r="N234" s="446">
        <v>28462.45</v>
      </c>
      <c r="O234" s="446">
        <v>922.5</v>
      </c>
      <c r="P234" s="446">
        <v>50292</v>
      </c>
      <c r="Q234" s="446">
        <v>208.07</v>
      </c>
      <c r="R234" s="33">
        <v>31876.2</v>
      </c>
      <c r="S234" s="340"/>
      <c r="T234" s="446">
        <v>854.35</v>
      </c>
      <c r="U234" s="33">
        <v>3540</v>
      </c>
      <c r="V234" s="446">
        <v>683.7</v>
      </c>
      <c r="W234" s="33"/>
      <c r="X234" s="417">
        <v>1891.7</v>
      </c>
      <c r="Y234" s="328">
        <f t="shared" si="10"/>
        <v>1064634.3999999997</v>
      </c>
      <c r="Z234" s="33">
        <v>33981.449999999997</v>
      </c>
      <c r="AA234" s="33">
        <v>840</v>
      </c>
      <c r="AB234" s="33">
        <v>113046.9</v>
      </c>
      <c r="AC234" s="33"/>
      <c r="AD234" s="33">
        <v>62013.7</v>
      </c>
      <c r="AE234" s="33">
        <v>840</v>
      </c>
      <c r="AF234" s="33">
        <v>8620.4500000000007</v>
      </c>
      <c r="AG234" s="33"/>
      <c r="AH234" s="33"/>
      <c r="AI234" s="33"/>
      <c r="AJ234" s="33"/>
      <c r="AK234" s="33"/>
      <c r="AL234" s="33"/>
      <c r="AM234" s="328">
        <f t="shared" si="11"/>
        <v>219342.5</v>
      </c>
      <c r="AN234" s="371">
        <v>81</v>
      </c>
      <c r="AO234" s="388">
        <v>496</v>
      </c>
      <c r="AP234" s="33">
        <v>-10251.64</v>
      </c>
      <c r="AQ234" s="332"/>
      <c r="AR234" s="33">
        <v>-3.44</v>
      </c>
      <c r="AS234" s="340">
        <v>0.5</v>
      </c>
      <c r="AT234" s="437"/>
      <c r="AU234" s="438"/>
      <c r="AV234" s="441"/>
      <c r="AW234" s="441"/>
      <c r="AX234" s="441"/>
      <c r="AY234" s="441"/>
      <c r="AZ234" s="441"/>
      <c r="BA234" s="441"/>
      <c r="BB234" s="441"/>
      <c r="BC234" s="441"/>
      <c r="BE234" s="383"/>
      <c r="BF234" s="383"/>
      <c r="BG234" s="383"/>
      <c r="BH234" s="383"/>
      <c r="BI234" s="383"/>
      <c r="BJ234" s="383"/>
      <c r="BK234" s="383"/>
      <c r="BL234" s="383"/>
      <c r="BM234" s="383"/>
      <c r="BN234" s="383"/>
      <c r="BO234" s="383"/>
    </row>
    <row r="235" spans="1:67" x14ac:dyDescent="0.25">
      <c r="A235" s="335">
        <v>5766</v>
      </c>
      <c r="B235" s="425" t="s">
        <v>339</v>
      </c>
      <c r="C235" s="446">
        <v>849129.18</v>
      </c>
      <c r="D235" s="33">
        <v>106512.1</v>
      </c>
      <c r="E235" s="448"/>
      <c r="F235" s="452">
        <v>0</v>
      </c>
      <c r="G235" s="452">
        <v>11838.05</v>
      </c>
      <c r="H235" s="453">
        <v>1450.75</v>
      </c>
      <c r="I235" s="451">
        <v>0</v>
      </c>
      <c r="J235" s="448">
        <v>26259.51</v>
      </c>
      <c r="K235" s="453">
        <v>4564.6499999999996</v>
      </c>
      <c r="L235" s="448">
        <v>56058.8</v>
      </c>
      <c r="M235" s="422">
        <f t="shared" si="9"/>
        <v>1055813.04</v>
      </c>
      <c r="N235" s="446">
        <v>0</v>
      </c>
      <c r="O235" s="446">
        <v>0</v>
      </c>
      <c r="P235" s="446">
        <v>61265.599999999999</v>
      </c>
      <c r="Q235" s="446">
        <v>200.2</v>
      </c>
      <c r="R235" s="33">
        <v>33834.949999999997</v>
      </c>
      <c r="S235" s="340"/>
      <c r="T235" s="446"/>
      <c r="U235" s="33">
        <v>2320</v>
      </c>
      <c r="V235" s="446"/>
      <c r="W235" s="33"/>
      <c r="X235" s="417">
        <v>3086.75</v>
      </c>
      <c r="Y235" s="328">
        <f t="shared" si="10"/>
        <v>1156520.54</v>
      </c>
      <c r="Z235" s="33"/>
      <c r="AA235" s="33"/>
      <c r="AB235" s="33">
        <v>41626.800000000003</v>
      </c>
      <c r="AC235" s="33"/>
      <c r="AD235" s="33">
        <v>23538.45</v>
      </c>
      <c r="AE235" s="33"/>
      <c r="AF235" s="33"/>
      <c r="AG235" s="33"/>
      <c r="AH235" s="33"/>
      <c r="AI235" s="33">
        <v>15965.6</v>
      </c>
      <c r="AJ235" s="33"/>
      <c r="AK235" s="33"/>
      <c r="AL235" s="33"/>
      <c r="AM235" s="328">
        <f t="shared" si="11"/>
        <v>81130.850000000006</v>
      </c>
      <c r="AN235" s="371">
        <v>77</v>
      </c>
      <c r="AO235" s="388">
        <v>576</v>
      </c>
      <c r="AP235" s="33">
        <v>-7853.91</v>
      </c>
      <c r="AQ235" s="332"/>
      <c r="AR235" s="33">
        <v>-105.29</v>
      </c>
      <c r="AS235" s="340">
        <v>0.7</v>
      </c>
      <c r="AT235" s="437"/>
      <c r="AU235" s="438"/>
      <c r="AV235" s="441"/>
      <c r="AW235" s="441"/>
      <c r="AX235" s="441"/>
      <c r="AY235" s="441"/>
      <c r="AZ235" s="441"/>
      <c r="BA235" s="441"/>
      <c r="BB235" s="441"/>
      <c r="BC235" s="441"/>
      <c r="BE235" s="383"/>
      <c r="BF235" s="383"/>
      <c r="BG235" s="383"/>
      <c r="BH235" s="383"/>
      <c r="BI235" s="383"/>
      <c r="BJ235" s="383"/>
      <c r="BK235" s="383"/>
      <c r="BL235" s="383"/>
      <c r="BM235" s="383"/>
      <c r="BN235" s="383"/>
      <c r="BO235" s="383"/>
    </row>
    <row r="236" spans="1:67" x14ac:dyDescent="0.25">
      <c r="A236" s="335">
        <v>5785</v>
      </c>
      <c r="B236" s="425" t="s">
        <v>279</v>
      </c>
      <c r="C236" s="446">
        <v>1012785.62</v>
      </c>
      <c r="D236" s="33">
        <v>179625.07</v>
      </c>
      <c r="E236" s="448"/>
      <c r="F236" s="452">
        <v>0</v>
      </c>
      <c r="G236" s="452">
        <v>14098.45</v>
      </c>
      <c r="H236" s="453">
        <v>237.3</v>
      </c>
      <c r="I236" s="451">
        <v>0</v>
      </c>
      <c r="J236" s="448">
        <v>25805.360000000001</v>
      </c>
      <c r="K236" s="453">
        <v>1333.1</v>
      </c>
      <c r="L236" s="448">
        <v>69341.75</v>
      </c>
      <c r="M236" s="422">
        <f t="shared" si="9"/>
        <v>1303226.6500000001</v>
      </c>
      <c r="N236" s="446">
        <v>0</v>
      </c>
      <c r="O236" s="446">
        <v>26156.9</v>
      </c>
      <c r="P236" s="446">
        <v>36959.550000000003</v>
      </c>
      <c r="Q236" s="446">
        <v>2431.35</v>
      </c>
      <c r="R236" s="33">
        <v>27893.15</v>
      </c>
      <c r="S236" s="340"/>
      <c r="T236" s="446">
        <v>196.95</v>
      </c>
      <c r="U236" s="33">
        <v>3040</v>
      </c>
      <c r="V236" s="446"/>
      <c r="W236" s="33"/>
      <c r="X236" s="417">
        <v>4307.2</v>
      </c>
      <c r="Y236" s="328">
        <f t="shared" si="10"/>
        <v>1404211.75</v>
      </c>
      <c r="Z236" s="33">
        <v>55000</v>
      </c>
      <c r="AA236" s="33" t="s">
        <v>599</v>
      </c>
      <c r="AB236" s="33">
        <v>47581.65</v>
      </c>
      <c r="AC236" s="33" t="s">
        <v>599</v>
      </c>
      <c r="AD236" s="33">
        <v>41683.800000000003</v>
      </c>
      <c r="AE236" s="33">
        <v>30000</v>
      </c>
      <c r="AF236" s="33" t="s">
        <v>599</v>
      </c>
      <c r="AG236" s="33" t="s">
        <v>599</v>
      </c>
      <c r="AH236" s="33" t="s">
        <v>599</v>
      </c>
      <c r="AI236" s="33"/>
      <c r="AJ236" s="33"/>
      <c r="AK236" s="33"/>
      <c r="AL236" s="33"/>
      <c r="AM236" s="328">
        <f t="shared" si="11"/>
        <v>174265.45</v>
      </c>
      <c r="AN236" s="371">
        <v>77</v>
      </c>
      <c r="AO236" s="388">
        <v>458</v>
      </c>
      <c r="AP236" s="33">
        <v>-1740.53</v>
      </c>
      <c r="AQ236" s="332"/>
      <c r="AR236" s="33">
        <v>-602.91</v>
      </c>
      <c r="AS236" s="340">
        <v>1</v>
      </c>
      <c r="AT236" s="437"/>
      <c r="AU236" s="438"/>
      <c r="AV236" s="441"/>
      <c r="AW236" s="441"/>
      <c r="AX236" s="441"/>
      <c r="AY236" s="441"/>
      <c r="AZ236" s="441"/>
      <c r="BA236" s="441"/>
      <c r="BB236" s="441"/>
      <c r="BC236" s="441"/>
      <c r="BE236" s="383"/>
      <c r="BF236" s="383"/>
      <c r="BG236" s="383"/>
      <c r="BH236" s="383"/>
      <c r="BI236" s="383"/>
      <c r="BJ236" s="383"/>
      <c r="BK236" s="383"/>
      <c r="BL236" s="383"/>
      <c r="BM236" s="383"/>
      <c r="BN236" s="383"/>
      <c r="BO236" s="383"/>
    </row>
    <row r="237" spans="1:67" x14ac:dyDescent="0.25">
      <c r="A237" s="335">
        <v>5788</v>
      </c>
      <c r="B237" s="425" t="s">
        <v>280</v>
      </c>
      <c r="C237" s="446">
        <v>713924.25</v>
      </c>
      <c r="D237" s="33">
        <v>86868.62</v>
      </c>
      <c r="E237" s="448"/>
      <c r="F237" s="452">
        <v>0</v>
      </c>
      <c r="G237" s="452">
        <v>6514.3</v>
      </c>
      <c r="H237" s="453">
        <v>134.65</v>
      </c>
      <c r="I237" s="451">
        <v>0</v>
      </c>
      <c r="J237" s="448">
        <v>18807.8</v>
      </c>
      <c r="K237" s="453">
        <v>3926</v>
      </c>
      <c r="L237" s="448">
        <v>90186</v>
      </c>
      <c r="M237" s="422">
        <f t="shared" si="9"/>
        <v>920361.62000000011</v>
      </c>
      <c r="N237" s="446">
        <v>0</v>
      </c>
      <c r="O237" s="446">
        <v>0</v>
      </c>
      <c r="P237" s="446">
        <v>58045.05</v>
      </c>
      <c r="Q237" s="446">
        <v>0</v>
      </c>
      <c r="R237" s="33">
        <v>41283.75</v>
      </c>
      <c r="S237" s="340"/>
      <c r="T237" s="446">
        <v>75</v>
      </c>
      <c r="U237" s="33">
        <v>2100</v>
      </c>
      <c r="V237" s="446"/>
      <c r="W237" s="33"/>
      <c r="X237" s="417">
        <v>1979.75</v>
      </c>
      <c r="Y237" s="328">
        <f t="shared" si="10"/>
        <v>1023845.1700000002</v>
      </c>
      <c r="Z237" s="33">
        <v>2200</v>
      </c>
      <c r="AA237" s="33"/>
      <c r="AB237" s="33">
        <v>50463.4</v>
      </c>
      <c r="AC237" s="33"/>
      <c r="AD237" s="33">
        <v>30955.55</v>
      </c>
      <c r="AE237" s="33"/>
      <c r="AF237" s="33"/>
      <c r="AG237" s="33"/>
      <c r="AH237" s="33"/>
      <c r="AI237" s="33"/>
      <c r="AJ237" s="33"/>
      <c r="AK237" s="33"/>
      <c r="AL237" s="33"/>
      <c r="AM237" s="328">
        <f t="shared" si="11"/>
        <v>83618.95</v>
      </c>
      <c r="AN237" s="371">
        <v>72</v>
      </c>
      <c r="AO237" s="388">
        <v>380</v>
      </c>
      <c r="AP237" s="33">
        <v>-13344.28</v>
      </c>
      <c r="AQ237" s="332"/>
      <c r="AR237" s="33">
        <v>-82.54</v>
      </c>
      <c r="AS237" s="340">
        <v>1.25</v>
      </c>
      <c r="AT237" s="437"/>
      <c r="AU237" s="438"/>
      <c r="AV237" s="441"/>
      <c r="AW237" s="441"/>
      <c r="AX237" s="441"/>
      <c r="AY237" s="441"/>
      <c r="AZ237" s="441"/>
      <c r="BA237" s="441"/>
      <c r="BB237" s="441"/>
      <c r="BC237" s="441"/>
      <c r="BE237" s="383"/>
      <c r="BF237" s="383"/>
      <c r="BG237" s="383"/>
      <c r="BH237" s="383"/>
      <c r="BI237" s="383"/>
      <c r="BJ237" s="383"/>
      <c r="BK237" s="383"/>
      <c r="BL237" s="383"/>
      <c r="BM237" s="383"/>
      <c r="BN237" s="383"/>
      <c r="BO237" s="383"/>
    </row>
    <row r="238" spans="1:67" x14ac:dyDescent="0.25">
      <c r="A238" s="335">
        <v>5790</v>
      </c>
      <c r="B238" s="425" t="s">
        <v>281</v>
      </c>
      <c r="C238" s="446">
        <v>858994.16</v>
      </c>
      <c r="D238" s="33">
        <v>124857</v>
      </c>
      <c r="E238" s="448"/>
      <c r="F238" s="452">
        <v>0</v>
      </c>
      <c r="G238" s="452">
        <v>3295.7</v>
      </c>
      <c r="H238" s="453">
        <v>755.65</v>
      </c>
      <c r="I238" s="451">
        <v>0</v>
      </c>
      <c r="J238" s="448">
        <v>31803.69</v>
      </c>
      <c r="K238" s="453">
        <v>-1145.5</v>
      </c>
      <c r="L238" s="448">
        <v>82914.25</v>
      </c>
      <c r="M238" s="422">
        <f t="shared" si="9"/>
        <v>1101474.95</v>
      </c>
      <c r="N238" s="446">
        <v>9920.6</v>
      </c>
      <c r="O238" s="446">
        <v>147675</v>
      </c>
      <c r="P238" s="446">
        <v>68988</v>
      </c>
      <c r="Q238" s="446">
        <v>0</v>
      </c>
      <c r="R238" s="33">
        <v>20856.2</v>
      </c>
      <c r="S238" s="340"/>
      <c r="T238" s="446"/>
      <c r="U238" s="33">
        <v>5000</v>
      </c>
      <c r="V238" s="446"/>
      <c r="W238" s="33"/>
      <c r="X238" s="417">
        <v>572.20000000000005</v>
      </c>
      <c r="Y238" s="328">
        <f t="shared" si="10"/>
        <v>1354486.95</v>
      </c>
      <c r="Z238" s="33">
        <v>2000</v>
      </c>
      <c r="AA238" s="33"/>
      <c r="AB238" s="33">
        <v>68382.55</v>
      </c>
      <c r="AC238" s="33"/>
      <c r="AD238" s="33">
        <v>27692.5</v>
      </c>
      <c r="AE238" s="33">
        <v>481</v>
      </c>
      <c r="AF238" s="33"/>
      <c r="AG238" s="33"/>
      <c r="AH238" s="33"/>
      <c r="AI238" s="33"/>
      <c r="AJ238" s="33"/>
      <c r="AK238" s="33"/>
      <c r="AL238" s="33"/>
      <c r="AM238" s="328">
        <f t="shared" si="11"/>
        <v>98556.05</v>
      </c>
      <c r="AN238" s="371">
        <v>76</v>
      </c>
      <c r="AO238" s="388">
        <v>538</v>
      </c>
      <c r="AP238" s="33">
        <v>-4880.07</v>
      </c>
      <c r="AQ238" s="332"/>
      <c r="AR238" s="33">
        <v>-267.56</v>
      </c>
      <c r="AS238" s="340">
        <v>1</v>
      </c>
      <c r="AT238" s="437"/>
      <c r="AU238" s="438"/>
      <c r="AV238" s="441"/>
      <c r="AW238" s="441"/>
      <c r="AX238" s="441"/>
      <c r="AY238" s="441"/>
      <c r="AZ238" s="441"/>
      <c r="BA238" s="441"/>
      <c r="BB238" s="441"/>
      <c r="BC238" s="441"/>
      <c r="BE238" s="383"/>
      <c r="BF238" s="383"/>
      <c r="BG238" s="383"/>
      <c r="BH238" s="383"/>
      <c r="BI238" s="383"/>
      <c r="BJ238" s="383"/>
      <c r="BK238" s="383"/>
      <c r="BL238" s="383"/>
      <c r="BM238" s="383"/>
      <c r="BN238" s="383"/>
      <c r="BO238" s="383"/>
    </row>
    <row r="239" spans="1:67" x14ac:dyDescent="0.25">
      <c r="A239" s="335">
        <v>5792</v>
      </c>
      <c r="B239" s="425" t="s">
        <v>282</v>
      </c>
      <c r="C239" s="446">
        <v>1234961.3700000001</v>
      </c>
      <c r="D239" s="33">
        <v>114706.73</v>
      </c>
      <c r="E239" s="448"/>
      <c r="F239" s="452">
        <v>0</v>
      </c>
      <c r="G239" s="452">
        <v>60735.55</v>
      </c>
      <c r="H239" s="453">
        <v>908.35</v>
      </c>
      <c r="I239" s="451">
        <v>0</v>
      </c>
      <c r="J239" s="448">
        <v>29622.68</v>
      </c>
      <c r="K239" s="453">
        <v>456.7</v>
      </c>
      <c r="L239" s="448">
        <v>117252.9</v>
      </c>
      <c r="M239" s="422">
        <f t="shared" si="9"/>
        <v>1558644.28</v>
      </c>
      <c r="N239" s="446">
        <v>0</v>
      </c>
      <c r="O239" s="446">
        <v>4994.2</v>
      </c>
      <c r="P239" s="446">
        <v>78135.05</v>
      </c>
      <c r="Q239" s="446">
        <v>922.61</v>
      </c>
      <c r="R239" s="33">
        <v>37993.5</v>
      </c>
      <c r="S239" s="340"/>
      <c r="T239" s="446"/>
      <c r="U239" s="33">
        <v>4160</v>
      </c>
      <c r="V239" s="446"/>
      <c r="W239" s="33"/>
      <c r="X239" s="417">
        <v>3735.65</v>
      </c>
      <c r="Y239" s="328">
        <f t="shared" si="10"/>
        <v>1688585.29</v>
      </c>
      <c r="Z239" s="33">
        <v>3160</v>
      </c>
      <c r="AA239" s="33"/>
      <c r="AB239" s="33">
        <v>79072.100000000006</v>
      </c>
      <c r="AC239" s="33"/>
      <c r="AD239" s="33">
        <v>40650</v>
      </c>
      <c r="AE239" s="33">
        <v>2925.5</v>
      </c>
      <c r="AF239" s="33"/>
      <c r="AG239" s="33"/>
      <c r="AH239" s="33"/>
      <c r="AI239" s="33">
        <v>8100</v>
      </c>
      <c r="AJ239" s="33"/>
      <c r="AK239" s="33"/>
      <c r="AL239" s="33"/>
      <c r="AM239" s="328">
        <f t="shared" si="11"/>
        <v>133907.6</v>
      </c>
      <c r="AN239" s="371">
        <v>77</v>
      </c>
      <c r="AO239" s="388">
        <v>657</v>
      </c>
      <c r="AP239" s="33">
        <v>-12155.98</v>
      </c>
      <c r="AQ239" s="332"/>
      <c r="AR239" s="33">
        <v>-4.79</v>
      </c>
      <c r="AS239" s="340">
        <v>1</v>
      </c>
      <c r="AT239" s="437"/>
      <c r="AU239" s="438"/>
      <c r="AV239" s="441"/>
      <c r="AW239" s="441"/>
      <c r="AX239" s="441"/>
      <c r="AY239" s="441"/>
      <c r="AZ239" s="441"/>
      <c r="BA239" s="441"/>
      <c r="BB239" s="441"/>
      <c r="BC239" s="441"/>
      <c r="BE239" s="383"/>
      <c r="BF239" s="383"/>
      <c r="BG239" s="383"/>
      <c r="BH239" s="383"/>
      <c r="BI239" s="383"/>
      <c r="BJ239" s="383"/>
      <c r="BK239" s="383"/>
      <c r="BL239" s="383"/>
      <c r="BM239" s="383"/>
      <c r="BN239" s="383"/>
      <c r="BO239" s="383"/>
    </row>
    <row r="240" spans="1:67" x14ac:dyDescent="0.25">
      <c r="A240" s="335">
        <v>5798</v>
      </c>
      <c r="B240" s="425" t="s">
        <v>283</v>
      </c>
      <c r="C240" s="446">
        <v>917633.59</v>
      </c>
      <c r="D240" s="33">
        <v>96142.75</v>
      </c>
      <c r="E240" s="448"/>
      <c r="F240" s="452">
        <v>0</v>
      </c>
      <c r="G240" s="452">
        <v>11853.05</v>
      </c>
      <c r="H240" s="453">
        <v>288.89999999999998</v>
      </c>
      <c r="I240" s="451">
        <v>0</v>
      </c>
      <c r="J240" s="448">
        <v>13283.32</v>
      </c>
      <c r="K240" s="453">
        <v>3941.45</v>
      </c>
      <c r="L240" s="448">
        <v>38499.65</v>
      </c>
      <c r="M240" s="422">
        <f t="shared" si="9"/>
        <v>1081642.71</v>
      </c>
      <c r="N240" s="446">
        <v>15436.75</v>
      </c>
      <c r="O240" s="446">
        <v>0</v>
      </c>
      <c r="P240" s="446">
        <v>7406.05</v>
      </c>
      <c r="Q240" s="446">
        <v>0</v>
      </c>
      <c r="R240" s="33">
        <v>0</v>
      </c>
      <c r="S240" s="340"/>
      <c r="T240" s="446"/>
      <c r="U240" s="33">
        <v>3120</v>
      </c>
      <c r="V240" s="446"/>
      <c r="W240" s="33"/>
      <c r="X240" s="417">
        <v>2550.1</v>
      </c>
      <c r="Y240" s="328">
        <f t="shared" si="10"/>
        <v>1110155.6100000001</v>
      </c>
      <c r="Z240" s="33">
        <v>42200</v>
      </c>
      <c r="AA240" s="33"/>
      <c r="AB240" s="33">
        <v>43462.5</v>
      </c>
      <c r="AC240" s="33"/>
      <c r="AD240" s="33">
        <v>33275.300000000003</v>
      </c>
      <c r="AE240" s="33">
        <v>36481.199999999997</v>
      </c>
      <c r="AF240" s="33"/>
      <c r="AG240" s="33"/>
      <c r="AH240" s="33"/>
      <c r="AI240" s="33"/>
      <c r="AJ240" s="33"/>
      <c r="AK240" s="33"/>
      <c r="AL240" s="33"/>
      <c r="AM240" s="328">
        <f t="shared" si="11"/>
        <v>155419</v>
      </c>
      <c r="AN240" s="371">
        <v>77.5</v>
      </c>
      <c r="AO240" s="388">
        <v>488</v>
      </c>
      <c r="AP240" s="33">
        <v>-8728.89</v>
      </c>
      <c r="AQ240" s="332"/>
      <c r="AR240" s="33">
        <v>-86.47</v>
      </c>
      <c r="AS240" s="340">
        <v>0.5</v>
      </c>
      <c r="AT240" s="437"/>
      <c r="AU240" s="438"/>
      <c r="AV240" s="441"/>
      <c r="AW240" s="441"/>
      <c r="AX240" s="441"/>
      <c r="AY240" s="441"/>
      <c r="AZ240" s="441"/>
      <c r="BA240" s="441"/>
      <c r="BB240" s="441"/>
      <c r="BC240" s="441"/>
      <c r="BE240" s="383"/>
      <c r="BF240" s="383"/>
      <c r="BG240" s="383"/>
      <c r="BH240" s="383"/>
      <c r="BI240" s="383"/>
      <c r="BJ240" s="383"/>
      <c r="BK240" s="383"/>
      <c r="BL240" s="383"/>
      <c r="BM240" s="383"/>
      <c r="BN240" s="383"/>
      <c r="BO240" s="383"/>
    </row>
    <row r="241" spans="1:67" x14ac:dyDescent="0.25">
      <c r="A241" s="335">
        <v>5799</v>
      </c>
      <c r="B241" s="425" t="s">
        <v>284</v>
      </c>
      <c r="C241" s="446">
        <v>3909988.1900000004</v>
      </c>
      <c r="D241" s="33">
        <v>528364.12</v>
      </c>
      <c r="E241" s="448"/>
      <c r="F241" s="452">
        <v>0</v>
      </c>
      <c r="G241" s="452">
        <v>-5334.45</v>
      </c>
      <c r="H241" s="453">
        <v>3344.45</v>
      </c>
      <c r="I241" s="451">
        <v>0</v>
      </c>
      <c r="J241" s="448">
        <v>53771.66</v>
      </c>
      <c r="K241" s="453">
        <v>14351.4</v>
      </c>
      <c r="L241" s="448">
        <v>407035</v>
      </c>
      <c r="M241" s="422">
        <f t="shared" si="9"/>
        <v>4911520.370000001</v>
      </c>
      <c r="N241" s="446">
        <v>11845.95</v>
      </c>
      <c r="O241" s="446">
        <v>0</v>
      </c>
      <c r="P241" s="446">
        <v>208055.75</v>
      </c>
      <c r="Q241" s="446">
        <v>7395.42</v>
      </c>
      <c r="R241" s="33">
        <v>229546.5</v>
      </c>
      <c r="S241" s="340"/>
      <c r="T241" s="446"/>
      <c r="U241" s="33">
        <v>9050</v>
      </c>
      <c r="V241" s="446">
        <v>62117.75</v>
      </c>
      <c r="W241" s="33"/>
      <c r="X241" s="417">
        <v>9545.25</v>
      </c>
      <c r="Y241" s="328">
        <f t="shared" si="10"/>
        <v>5449076.9900000012</v>
      </c>
      <c r="Z241" s="33">
        <v>146900.75</v>
      </c>
      <c r="AA241" s="33"/>
      <c r="AB241" s="33">
        <v>389933.8</v>
      </c>
      <c r="AC241" s="33" t="s">
        <v>599</v>
      </c>
      <c r="AD241" s="33">
        <v>215479.6</v>
      </c>
      <c r="AE241" s="33" t="s">
        <v>599</v>
      </c>
      <c r="AF241" s="33" t="s">
        <v>599</v>
      </c>
      <c r="AG241" s="33" t="s">
        <v>599</v>
      </c>
      <c r="AH241" s="33" t="s">
        <v>599</v>
      </c>
      <c r="AI241" s="33">
        <v>58266.25</v>
      </c>
      <c r="AJ241" s="33"/>
      <c r="AK241" s="33"/>
      <c r="AL241" s="33"/>
      <c r="AM241" s="328">
        <f t="shared" si="11"/>
        <v>810580.4</v>
      </c>
      <c r="AN241" s="371">
        <v>69</v>
      </c>
      <c r="AO241" s="388">
        <v>1997</v>
      </c>
      <c r="AP241" s="33">
        <v>-19385.689999999999</v>
      </c>
      <c r="AQ241" s="332"/>
      <c r="AR241" s="33">
        <v>-1090.27</v>
      </c>
      <c r="AS241" s="340">
        <v>1</v>
      </c>
      <c r="AT241" s="437"/>
      <c r="AU241" s="438"/>
      <c r="AV241" s="441"/>
      <c r="AW241" s="441"/>
      <c r="AX241" s="441"/>
      <c r="AY241" s="441"/>
      <c r="AZ241" s="442"/>
      <c r="BA241" s="441"/>
      <c r="BB241" s="441"/>
      <c r="BC241" s="441"/>
      <c r="BE241" s="383"/>
      <c r="BF241" s="383"/>
      <c r="BG241" s="383"/>
      <c r="BH241" s="383"/>
      <c r="BI241" s="383"/>
      <c r="BJ241" s="383"/>
      <c r="BK241" s="383"/>
      <c r="BL241" s="383"/>
      <c r="BM241" s="383"/>
      <c r="BN241" s="383"/>
      <c r="BO241" s="383"/>
    </row>
    <row r="242" spans="1:67" x14ac:dyDescent="0.25">
      <c r="A242" s="335">
        <v>5803</v>
      </c>
      <c r="B242" s="425" t="s">
        <v>386</v>
      </c>
      <c r="C242" s="33">
        <v>1131244.6100000001</v>
      </c>
      <c r="D242" s="33">
        <v>145757.59</v>
      </c>
      <c r="E242" s="448"/>
      <c r="F242" s="452">
        <v>0</v>
      </c>
      <c r="G242" s="452">
        <v>-15589.05</v>
      </c>
      <c r="H242" s="453">
        <v>373.5</v>
      </c>
      <c r="I242" s="451">
        <v>0</v>
      </c>
      <c r="J242" s="448">
        <v>12121.29</v>
      </c>
      <c r="K242" s="453">
        <v>0</v>
      </c>
      <c r="L242" s="448">
        <v>104771.85</v>
      </c>
      <c r="M242" s="422">
        <f t="shared" si="9"/>
        <v>1378679.7900000003</v>
      </c>
      <c r="N242" s="446">
        <v>0</v>
      </c>
      <c r="O242" s="446">
        <v>1452.3</v>
      </c>
      <c r="P242" s="446">
        <v>16551.8</v>
      </c>
      <c r="Q242" s="446">
        <v>336.85</v>
      </c>
      <c r="R242" s="33">
        <v>2438.3000000000002</v>
      </c>
      <c r="S242" s="340">
        <v>682.7</v>
      </c>
      <c r="T242" s="446"/>
      <c r="U242" s="33">
        <v>5450</v>
      </c>
      <c r="V242" s="446"/>
      <c r="W242" s="33"/>
      <c r="X242" s="417">
        <v>2520.1999999999998</v>
      </c>
      <c r="Y242" s="328">
        <f t="shared" si="10"/>
        <v>1408111.9400000004</v>
      </c>
      <c r="Z242" s="33">
        <v>0</v>
      </c>
      <c r="AA242" s="33">
        <v>0</v>
      </c>
      <c r="AB242" s="33">
        <v>79777</v>
      </c>
      <c r="AC242" s="33">
        <v>0</v>
      </c>
      <c r="AD242" s="33">
        <v>43872.3</v>
      </c>
      <c r="AE242" s="33">
        <v>0</v>
      </c>
      <c r="AF242" s="33">
        <v>12960</v>
      </c>
      <c r="AG242" s="33">
        <v>0</v>
      </c>
      <c r="AH242" s="33">
        <v>0</v>
      </c>
      <c r="AI242" s="33">
        <v>0</v>
      </c>
      <c r="AJ242" s="33">
        <v>0</v>
      </c>
      <c r="AK242" s="33">
        <v>0</v>
      </c>
      <c r="AL242" s="33">
        <v>0</v>
      </c>
      <c r="AM242" s="328">
        <f t="shared" si="11"/>
        <v>136609.29999999999</v>
      </c>
      <c r="AN242" s="371">
        <v>78</v>
      </c>
      <c r="AO242" s="388">
        <v>614</v>
      </c>
      <c r="AP242" s="33">
        <v>-18498.72</v>
      </c>
      <c r="AQ242" s="332"/>
      <c r="AR242" s="33">
        <v>-225.66</v>
      </c>
      <c r="AS242" s="340">
        <v>1</v>
      </c>
      <c r="AT242" s="437"/>
      <c r="AU242" s="438"/>
      <c r="AV242" s="441"/>
      <c r="AW242" s="441"/>
      <c r="AX242" s="441"/>
      <c r="AY242" s="441"/>
      <c r="AZ242" s="441"/>
      <c r="BA242" s="441"/>
      <c r="BB242" s="441"/>
      <c r="BC242" s="441"/>
      <c r="BE242" s="383"/>
      <c r="BF242" s="383"/>
      <c r="BG242" s="383"/>
      <c r="BH242" s="383"/>
      <c r="BI242" s="383"/>
      <c r="BJ242" s="383"/>
      <c r="BK242" s="383"/>
      <c r="BL242" s="383"/>
      <c r="BM242" s="383"/>
      <c r="BN242" s="383"/>
      <c r="BO242" s="383"/>
    </row>
    <row r="243" spans="1:67" x14ac:dyDescent="0.25">
      <c r="A243" s="335">
        <v>5804</v>
      </c>
      <c r="B243" s="425" t="s">
        <v>433</v>
      </c>
      <c r="C243" s="33">
        <v>2553852.62</v>
      </c>
      <c r="D243" s="33">
        <v>336553.66</v>
      </c>
      <c r="E243" s="448"/>
      <c r="F243" s="452">
        <v>0</v>
      </c>
      <c r="G243" s="452">
        <v>54371.8</v>
      </c>
      <c r="H243" s="453">
        <v>515.29999999999995</v>
      </c>
      <c r="I243" s="451">
        <v>0</v>
      </c>
      <c r="J243" s="448">
        <v>73220.460000000006</v>
      </c>
      <c r="K243" s="453">
        <v>4390.1000000000004</v>
      </c>
      <c r="L243" s="453">
        <v>268001.8</v>
      </c>
      <c r="M243" s="422">
        <f t="shared" si="9"/>
        <v>3290905.7399999998</v>
      </c>
      <c r="N243" s="446">
        <v>3973</v>
      </c>
      <c r="O243" s="446">
        <v>48892.6</v>
      </c>
      <c r="P243" s="446">
        <v>68571.100000000006</v>
      </c>
      <c r="Q243" s="446">
        <v>6548.47</v>
      </c>
      <c r="R243" s="33">
        <v>60966.6</v>
      </c>
      <c r="S243" s="340"/>
      <c r="T243" s="446">
        <v>2295.75</v>
      </c>
      <c r="U243" s="33">
        <v>14150</v>
      </c>
      <c r="V243" s="446"/>
      <c r="W243" s="33"/>
      <c r="X243" s="417">
        <v>8910.7000000000007</v>
      </c>
      <c r="Y243" s="328">
        <f t="shared" si="10"/>
        <v>3505213.9600000004</v>
      </c>
      <c r="Z243" s="33">
        <v>5925.65</v>
      </c>
      <c r="AA243" s="33" t="s">
        <v>599</v>
      </c>
      <c r="AB243" s="33">
        <v>272059.8</v>
      </c>
      <c r="AC243" s="33" t="s">
        <v>599</v>
      </c>
      <c r="AD243" s="33">
        <v>186265.25</v>
      </c>
      <c r="AE243" s="33">
        <v>10173.15</v>
      </c>
      <c r="AF243" s="33" t="s">
        <v>599</v>
      </c>
      <c r="AG243" s="33" t="s">
        <v>599</v>
      </c>
      <c r="AH243" s="33" t="s">
        <v>599</v>
      </c>
      <c r="AI243" s="33">
        <v>44436</v>
      </c>
      <c r="AJ243" s="33"/>
      <c r="AK243" s="33"/>
      <c r="AL243" s="33"/>
      <c r="AM243" s="328">
        <f t="shared" si="11"/>
        <v>518859.85000000003</v>
      </c>
      <c r="AN243" s="371">
        <v>72</v>
      </c>
      <c r="AO243" s="388">
        <v>1591</v>
      </c>
      <c r="AP243" s="33">
        <v>-120100.77</v>
      </c>
      <c r="AQ243" s="332"/>
      <c r="AR243" s="33">
        <v>-76.150000000000006</v>
      </c>
      <c r="AS243" s="340">
        <v>1</v>
      </c>
      <c r="AT243" s="437"/>
      <c r="AU243" s="438"/>
      <c r="AV243" s="441"/>
      <c r="AW243" s="441"/>
      <c r="AX243" s="441"/>
      <c r="AY243" s="441"/>
      <c r="AZ243" s="441"/>
      <c r="BA243" s="441"/>
      <c r="BB243" s="441"/>
      <c r="BC243" s="441"/>
      <c r="BE243" s="383"/>
      <c r="BF243" s="383"/>
      <c r="BG243" s="383"/>
      <c r="BH243" s="383"/>
      <c r="BI243" s="383"/>
      <c r="BJ243" s="383"/>
      <c r="BK243" s="383"/>
      <c r="BL243" s="383"/>
      <c r="BM243" s="383"/>
      <c r="BN243" s="383"/>
      <c r="BO243" s="383"/>
    </row>
    <row r="244" spans="1:67" x14ac:dyDescent="0.25">
      <c r="A244" s="335">
        <v>5805</v>
      </c>
      <c r="B244" s="425" t="s">
        <v>435</v>
      </c>
      <c r="C244" s="446">
        <v>8314484.79</v>
      </c>
      <c r="D244" s="33">
        <v>1078882.68</v>
      </c>
      <c r="E244" s="448"/>
      <c r="F244" s="452">
        <v>0</v>
      </c>
      <c r="G244" s="452">
        <v>344844.6</v>
      </c>
      <c r="H244" s="453">
        <v>38273</v>
      </c>
      <c r="I244" s="451">
        <v>0</v>
      </c>
      <c r="J244" s="448">
        <v>208340.91</v>
      </c>
      <c r="K244" s="453">
        <v>70919.5</v>
      </c>
      <c r="L244" s="448">
        <v>990415.55</v>
      </c>
      <c r="M244" s="422">
        <f t="shared" si="9"/>
        <v>11046161.030000001</v>
      </c>
      <c r="N244" s="446">
        <v>97651.95</v>
      </c>
      <c r="O244" s="446">
        <v>326180</v>
      </c>
      <c r="P244" s="446">
        <v>655368.35</v>
      </c>
      <c r="Q244" s="446">
        <v>71404.789999999994</v>
      </c>
      <c r="R244" s="33">
        <v>325627.5</v>
      </c>
      <c r="S244" s="340">
        <v>54949.4</v>
      </c>
      <c r="T244" s="446"/>
      <c r="U244" s="33">
        <v>38400</v>
      </c>
      <c r="V244" s="446">
        <v>2200</v>
      </c>
      <c r="W244" s="33"/>
      <c r="X244" s="417">
        <v>116009.35</v>
      </c>
      <c r="Y244" s="328">
        <f t="shared" si="10"/>
        <v>12733952.369999999</v>
      </c>
      <c r="Z244" s="33">
        <v>261090.5</v>
      </c>
      <c r="AA244" s="33"/>
      <c r="AB244" s="33">
        <v>808651.75</v>
      </c>
      <c r="AC244" s="33"/>
      <c r="AD244" s="33">
        <v>377339.4</v>
      </c>
      <c r="AE244" s="33">
        <v>139244.29999999999</v>
      </c>
      <c r="AF244" s="33"/>
      <c r="AG244" s="33"/>
      <c r="AH244" s="33"/>
      <c r="AI244" s="33">
        <v>164660.5</v>
      </c>
      <c r="AJ244" s="33"/>
      <c r="AK244" s="33"/>
      <c r="AL244" s="33"/>
      <c r="AM244" s="328">
        <f t="shared" si="11"/>
        <v>1750986.45</v>
      </c>
      <c r="AN244" s="371">
        <v>69</v>
      </c>
      <c r="AO244" s="388">
        <v>5669</v>
      </c>
      <c r="AP244" s="33">
        <v>-186304.74</v>
      </c>
      <c r="AQ244" s="332"/>
      <c r="AR244" s="33">
        <v>-4320.09</v>
      </c>
      <c r="AS244" s="340">
        <v>1.1000000000000001</v>
      </c>
      <c r="AT244" s="437"/>
      <c r="AU244" s="438"/>
      <c r="AV244" s="441"/>
      <c r="AW244" s="441"/>
      <c r="AX244" s="441"/>
      <c r="AY244" s="441"/>
      <c r="AZ244" s="441"/>
      <c r="BA244" s="441"/>
      <c r="BB244" s="441"/>
      <c r="BC244" s="441"/>
      <c r="BE244" s="383"/>
      <c r="BF244" s="383"/>
      <c r="BG244" s="383"/>
      <c r="BH244" s="383"/>
      <c r="BI244" s="383"/>
      <c r="BJ244" s="383"/>
      <c r="BK244" s="383"/>
      <c r="BL244" s="383"/>
      <c r="BM244" s="383"/>
      <c r="BN244" s="383"/>
      <c r="BO244" s="383"/>
    </row>
    <row r="245" spans="1:67" x14ac:dyDescent="0.25">
      <c r="A245" s="335">
        <v>5806</v>
      </c>
      <c r="B245" s="425" t="s">
        <v>528</v>
      </c>
      <c r="C245" s="33">
        <v>5704672.8500000006</v>
      </c>
      <c r="D245" s="33">
        <v>578821.68999999994</v>
      </c>
      <c r="E245" s="448"/>
      <c r="F245" s="452">
        <v>0</v>
      </c>
      <c r="G245" s="452">
        <v>138495.15</v>
      </c>
      <c r="H245" s="453">
        <v>5487.4</v>
      </c>
      <c r="I245" s="451">
        <v>54947.5</v>
      </c>
      <c r="J245" s="448">
        <v>36005.19</v>
      </c>
      <c r="K245" s="453">
        <v>24994.85</v>
      </c>
      <c r="L245" s="451">
        <v>496965</v>
      </c>
      <c r="M245" s="422">
        <f t="shared" si="9"/>
        <v>7040389.6300000018</v>
      </c>
      <c r="N245" s="446">
        <v>32523.45</v>
      </c>
      <c r="O245" s="446">
        <v>12728.8</v>
      </c>
      <c r="P245" s="446">
        <v>239262.65</v>
      </c>
      <c r="Q245" s="446">
        <v>39163.879999999997</v>
      </c>
      <c r="R245" s="33">
        <v>88587.65</v>
      </c>
      <c r="S245" s="340"/>
      <c r="T245" s="446"/>
      <c r="U245" s="33">
        <v>12570</v>
      </c>
      <c r="V245" s="446">
        <v>20000</v>
      </c>
      <c r="W245" s="33"/>
      <c r="X245" s="417">
        <v>39052.9</v>
      </c>
      <c r="Y245" s="328">
        <f t="shared" si="10"/>
        <v>7524278.9600000028</v>
      </c>
      <c r="Z245" s="33">
        <v>249582.6</v>
      </c>
      <c r="AA245" s="33" t="s">
        <v>599</v>
      </c>
      <c r="AB245" s="33">
        <v>556044.69999999995</v>
      </c>
      <c r="AC245" s="33" t="s">
        <v>599</v>
      </c>
      <c r="AD245" s="33">
        <v>289194.87</v>
      </c>
      <c r="AE245" s="33">
        <v>198639.85</v>
      </c>
      <c r="AF245" s="33" t="s">
        <v>599</v>
      </c>
      <c r="AG245" s="33" t="s">
        <v>599</v>
      </c>
      <c r="AH245" s="33">
        <v>6538</v>
      </c>
      <c r="AI245" s="33"/>
      <c r="AJ245" s="33"/>
      <c r="AK245" s="33"/>
      <c r="AL245" s="33"/>
      <c r="AM245" s="328">
        <f t="shared" si="11"/>
        <v>1300000.02</v>
      </c>
      <c r="AN245" s="371">
        <v>76</v>
      </c>
      <c r="AO245" s="388">
        <v>2949</v>
      </c>
      <c r="AP245" s="33">
        <v>-117362.91</v>
      </c>
      <c r="AQ245" s="332"/>
      <c r="AR245" s="33">
        <v>-1600.01</v>
      </c>
      <c r="AS245" s="340">
        <v>1</v>
      </c>
      <c r="AT245" s="437"/>
      <c r="AU245" s="438"/>
      <c r="AV245" s="441"/>
      <c r="AW245" s="441"/>
      <c r="AX245" s="441"/>
      <c r="AY245" s="441"/>
      <c r="AZ245" s="441"/>
      <c r="BA245" s="441"/>
      <c r="BB245" s="441"/>
      <c r="BC245" s="441"/>
      <c r="BE245" s="383"/>
      <c r="BF245" s="383"/>
      <c r="BG245" s="383"/>
      <c r="BH245" s="383"/>
      <c r="BI245" s="383"/>
      <c r="BJ245" s="383"/>
      <c r="BK245" s="383"/>
      <c r="BL245" s="383"/>
      <c r="BM245" s="383"/>
      <c r="BN245" s="383"/>
      <c r="BO245" s="383"/>
    </row>
    <row r="246" spans="1:67" x14ac:dyDescent="0.25">
      <c r="A246" s="335">
        <v>5812</v>
      </c>
      <c r="B246" s="425" t="s">
        <v>387</v>
      </c>
      <c r="C246" s="446">
        <v>215620.62</v>
      </c>
      <c r="D246" s="33">
        <v>45225.54</v>
      </c>
      <c r="E246" s="448"/>
      <c r="F246" s="452">
        <v>0</v>
      </c>
      <c r="G246" s="452">
        <v>8964.85</v>
      </c>
      <c r="H246" s="453">
        <v>-48.15</v>
      </c>
      <c r="I246" s="451">
        <v>0</v>
      </c>
      <c r="J246" s="448">
        <v>3497.81</v>
      </c>
      <c r="K246" s="453">
        <v>637.5</v>
      </c>
      <c r="L246" s="448">
        <v>14867.15</v>
      </c>
      <c r="M246" s="422">
        <f t="shared" si="9"/>
        <v>288765.32</v>
      </c>
      <c r="N246" s="446">
        <v>0</v>
      </c>
      <c r="O246" s="446">
        <v>38923.599999999999</v>
      </c>
      <c r="P246" s="446">
        <v>4767.1000000000004</v>
      </c>
      <c r="Q246" s="446">
        <v>0</v>
      </c>
      <c r="R246" s="33">
        <v>18737.3</v>
      </c>
      <c r="S246" s="340"/>
      <c r="T246" s="446"/>
      <c r="U246" s="33">
        <v>440</v>
      </c>
      <c r="V246" s="446"/>
      <c r="W246" s="33"/>
      <c r="X246" s="417">
        <v>160.65</v>
      </c>
      <c r="Y246" s="328">
        <f t="shared" si="10"/>
        <v>351793.97</v>
      </c>
      <c r="Z246" s="33"/>
      <c r="AA246" s="33"/>
      <c r="AB246" s="33">
        <v>10019.1</v>
      </c>
      <c r="AC246" s="33"/>
      <c r="AD246" s="33">
        <v>10785.35</v>
      </c>
      <c r="AE246" s="33"/>
      <c r="AF246" s="33"/>
      <c r="AG246" s="33"/>
      <c r="AH246" s="33"/>
      <c r="AI246" s="33">
        <v>3687.05</v>
      </c>
      <c r="AJ246" s="33"/>
      <c r="AK246" s="33"/>
      <c r="AL246" s="33"/>
      <c r="AM246" s="328">
        <f t="shared" si="11"/>
        <v>24491.5</v>
      </c>
      <c r="AN246" s="371">
        <v>77</v>
      </c>
      <c r="AO246" s="388">
        <v>130</v>
      </c>
      <c r="AP246" s="33">
        <v>-7905.96</v>
      </c>
      <c r="AQ246" s="332"/>
      <c r="AR246" s="33">
        <v>0</v>
      </c>
      <c r="AS246" s="340">
        <v>0.8</v>
      </c>
      <c r="AT246" s="437"/>
      <c r="AU246" s="438"/>
      <c r="AV246" s="441"/>
      <c r="AW246" s="441"/>
      <c r="AX246" s="441"/>
      <c r="AY246" s="441"/>
      <c r="AZ246" s="441"/>
      <c r="BA246" s="441"/>
      <c r="BB246" s="441"/>
      <c r="BC246" s="441"/>
      <c r="BE246" s="383"/>
      <c r="BF246" s="383"/>
      <c r="BG246" s="383"/>
      <c r="BH246" s="383"/>
      <c r="BI246" s="383"/>
      <c r="BJ246" s="383"/>
      <c r="BK246" s="383"/>
      <c r="BL246" s="383"/>
      <c r="BM246" s="383"/>
      <c r="BN246" s="383"/>
      <c r="BO246" s="383"/>
    </row>
    <row r="247" spans="1:67" x14ac:dyDescent="0.25">
      <c r="A247" s="335">
        <v>5813</v>
      </c>
      <c r="B247" s="425" t="s">
        <v>388</v>
      </c>
      <c r="C247" s="446">
        <v>802140.85</v>
      </c>
      <c r="D247" s="33">
        <v>109360.41</v>
      </c>
      <c r="E247" s="448"/>
      <c r="F247" s="452">
        <v>3100</v>
      </c>
      <c r="G247" s="452">
        <v>18875.25</v>
      </c>
      <c r="H247" s="453">
        <v>454.3</v>
      </c>
      <c r="I247" s="451">
        <v>0</v>
      </c>
      <c r="J247" s="448">
        <v>14431.02</v>
      </c>
      <c r="K247" s="453">
        <v>0</v>
      </c>
      <c r="L247" s="448">
        <v>108318.3</v>
      </c>
      <c r="M247" s="422">
        <f t="shared" si="9"/>
        <v>1056680.1300000001</v>
      </c>
      <c r="N247" s="446">
        <v>0</v>
      </c>
      <c r="O247" s="446">
        <v>0</v>
      </c>
      <c r="P247" s="446">
        <v>36850</v>
      </c>
      <c r="Q247" s="446">
        <v>0</v>
      </c>
      <c r="R247" s="33">
        <v>3259.3</v>
      </c>
      <c r="S247" s="340"/>
      <c r="T247" s="446">
        <v>2169.1</v>
      </c>
      <c r="U247" s="33">
        <v>5500</v>
      </c>
      <c r="V247" s="446"/>
      <c r="W247" s="33"/>
      <c r="X247" s="417">
        <v>3032.2</v>
      </c>
      <c r="Y247" s="328">
        <f t="shared" si="10"/>
        <v>1107490.7300000002</v>
      </c>
      <c r="Z247" s="33">
        <v>2470.35</v>
      </c>
      <c r="AA247" s="33"/>
      <c r="AB247" s="33">
        <v>52814</v>
      </c>
      <c r="AC247" s="33"/>
      <c r="AD247" s="33">
        <v>56429.96</v>
      </c>
      <c r="AE247" s="33">
        <v>574.97</v>
      </c>
      <c r="AF247" s="33"/>
      <c r="AG247" s="33"/>
      <c r="AH247" s="33">
        <v>81709.5</v>
      </c>
      <c r="AI247" s="33"/>
      <c r="AJ247" s="33">
        <v>20396.150000000001</v>
      </c>
      <c r="AK247" s="33"/>
      <c r="AL247" s="33"/>
      <c r="AM247" s="328">
        <f t="shared" si="11"/>
        <v>214394.93</v>
      </c>
      <c r="AN247" s="371">
        <v>70</v>
      </c>
      <c r="AO247" s="388">
        <v>492</v>
      </c>
      <c r="AP247" s="33">
        <v>-11356.09</v>
      </c>
      <c r="AQ247" s="332"/>
      <c r="AR247" s="33">
        <v>-55.8</v>
      </c>
      <c r="AS247" s="340">
        <v>1.2</v>
      </c>
      <c r="AT247" s="437"/>
      <c r="AU247" s="438"/>
      <c r="AV247" s="441"/>
      <c r="AW247" s="441"/>
      <c r="AX247" s="441"/>
      <c r="AY247" s="441"/>
      <c r="AZ247" s="441"/>
      <c r="BA247" s="441"/>
      <c r="BB247" s="441"/>
      <c r="BC247" s="441"/>
      <c r="BE247" s="383"/>
      <c r="BF247" s="383"/>
      <c r="BG247" s="383"/>
      <c r="BH247" s="383"/>
      <c r="BI247" s="383"/>
      <c r="BJ247" s="383"/>
      <c r="BK247" s="383"/>
      <c r="BL247" s="383"/>
      <c r="BM247" s="383"/>
      <c r="BN247" s="383"/>
      <c r="BO247" s="383"/>
    </row>
    <row r="248" spans="1:67" x14ac:dyDescent="0.25">
      <c r="A248" s="335">
        <v>5816</v>
      </c>
      <c r="B248" s="425" t="s">
        <v>6</v>
      </c>
      <c r="C248" s="446">
        <v>3298208.5</v>
      </c>
      <c r="D248" s="33">
        <v>313916.65999999997</v>
      </c>
      <c r="E248" s="448"/>
      <c r="F248" s="452">
        <v>0</v>
      </c>
      <c r="G248" s="452">
        <v>115220.7</v>
      </c>
      <c r="H248" s="453">
        <v>22660.799999999999</v>
      </c>
      <c r="I248" s="451">
        <v>0</v>
      </c>
      <c r="J248" s="448">
        <v>172168.66</v>
      </c>
      <c r="K248" s="453">
        <v>26633.4</v>
      </c>
      <c r="L248" s="448">
        <v>251428.2</v>
      </c>
      <c r="M248" s="422">
        <f t="shared" si="9"/>
        <v>4200236.92</v>
      </c>
      <c r="N248" s="446">
        <v>19660.349999999999</v>
      </c>
      <c r="O248" s="446">
        <v>677659.5</v>
      </c>
      <c r="P248" s="446">
        <v>80623.05</v>
      </c>
      <c r="Q248" s="446">
        <v>10120.69</v>
      </c>
      <c r="R248" s="33">
        <v>87255.15</v>
      </c>
      <c r="S248" s="340"/>
      <c r="T248" s="446">
        <v>7703.1</v>
      </c>
      <c r="U248" s="33">
        <v>9330</v>
      </c>
      <c r="V248" s="446"/>
      <c r="W248" s="33"/>
      <c r="X248" s="417">
        <v>41412.15</v>
      </c>
      <c r="Y248" s="328">
        <f t="shared" si="10"/>
        <v>5134000.91</v>
      </c>
      <c r="Z248" s="33">
        <v>24841.8</v>
      </c>
      <c r="AA248" s="33"/>
      <c r="AB248" s="33">
        <v>477726</v>
      </c>
      <c r="AC248" s="33"/>
      <c r="AD248" s="33">
        <v>227758.1</v>
      </c>
      <c r="AE248" s="33">
        <v>21384.6</v>
      </c>
      <c r="AF248" s="33"/>
      <c r="AG248" s="33"/>
      <c r="AH248" s="33"/>
      <c r="AI248" s="33"/>
      <c r="AJ248" s="33"/>
      <c r="AK248" s="33"/>
      <c r="AL248" s="33"/>
      <c r="AM248" s="328">
        <f t="shared" si="11"/>
        <v>751710.5</v>
      </c>
      <c r="AN248" s="371">
        <v>70</v>
      </c>
      <c r="AO248" s="388">
        <v>2571</v>
      </c>
      <c r="AP248" s="33">
        <v>-106669.5</v>
      </c>
      <c r="AQ248" s="332"/>
      <c r="AR248" s="33">
        <v>-115.51</v>
      </c>
      <c r="AS248" s="340">
        <v>0.7</v>
      </c>
      <c r="AT248" s="437"/>
      <c r="AU248" s="438"/>
      <c r="AV248" s="441"/>
      <c r="AW248" s="441"/>
      <c r="AX248" s="441"/>
      <c r="AY248" s="441"/>
      <c r="AZ248" s="441"/>
      <c r="BA248" s="441"/>
      <c r="BB248" s="441"/>
      <c r="BC248" s="441"/>
      <c r="BE248" s="383"/>
      <c r="BF248" s="383"/>
      <c r="BG248" s="383"/>
      <c r="BH248" s="383"/>
      <c r="BI248" s="383"/>
      <c r="BJ248" s="383"/>
      <c r="BK248" s="383"/>
      <c r="BL248" s="383"/>
      <c r="BM248" s="383"/>
      <c r="BN248" s="383"/>
      <c r="BO248" s="383"/>
    </row>
    <row r="249" spans="1:67" x14ac:dyDescent="0.25">
      <c r="A249" s="335">
        <v>5817</v>
      </c>
      <c r="B249" s="425" t="s">
        <v>7</v>
      </c>
      <c r="C249" s="446">
        <v>1375925.32</v>
      </c>
      <c r="D249" s="33">
        <v>149186.26</v>
      </c>
      <c r="E249" s="448"/>
      <c r="F249" s="452">
        <v>5290</v>
      </c>
      <c r="G249" s="452">
        <v>19970.150000000001</v>
      </c>
      <c r="H249" s="453">
        <v>1466.6</v>
      </c>
      <c r="I249" s="451">
        <v>0</v>
      </c>
      <c r="J249" s="448">
        <v>30595.45</v>
      </c>
      <c r="K249" s="453">
        <v>4527.95</v>
      </c>
      <c r="L249" s="448">
        <v>127142.9</v>
      </c>
      <c r="M249" s="422">
        <f t="shared" si="9"/>
        <v>1714104.63</v>
      </c>
      <c r="N249" s="446">
        <v>0</v>
      </c>
      <c r="O249" s="446">
        <v>0</v>
      </c>
      <c r="P249" s="446">
        <v>25362.55</v>
      </c>
      <c r="Q249" s="446">
        <v>4040.66</v>
      </c>
      <c r="R249" s="33">
        <v>22571.1</v>
      </c>
      <c r="S249" s="340"/>
      <c r="T249" s="446">
        <v>1086.8499999999999</v>
      </c>
      <c r="U249" s="33">
        <v>4125</v>
      </c>
      <c r="V249" s="446"/>
      <c r="W249" s="33"/>
      <c r="X249" s="417">
        <v>5472.85</v>
      </c>
      <c r="Y249" s="328">
        <f t="shared" si="10"/>
        <v>1776763.6400000001</v>
      </c>
      <c r="Z249" s="33">
        <v>93222</v>
      </c>
      <c r="AA249" s="33"/>
      <c r="AB249" s="33">
        <v>260212</v>
      </c>
      <c r="AC249" s="33"/>
      <c r="AD249" s="33">
        <v>74194.350000000006</v>
      </c>
      <c r="AE249" s="33">
        <v>17525</v>
      </c>
      <c r="AF249" s="33"/>
      <c r="AG249" s="33"/>
      <c r="AH249" s="33"/>
      <c r="AI249" s="33">
        <v>28916.1</v>
      </c>
      <c r="AJ249" s="33"/>
      <c r="AK249" s="33"/>
      <c r="AL249" s="33"/>
      <c r="AM249" s="328">
        <f t="shared" si="11"/>
        <v>474069.44999999995</v>
      </c>
      <c r="AN249" s="371">
        <v>77</v>
      </c>
      <c r="AO249" s="388">
        <v>953</v>
      </c>
      <c r="AP249" s="33">
        <v>-41595.360000000001</v>
      </c>
      <c r="AQ249" s="332"/>
      <c r="AR249" s="33">
        <v>-10.69</v>
      </c>
      <c r="AS249" s="340">
        <v>1</v>
      </c>
      <c r="AT249" s="437"/>
      <c r="AU249" s="438"/>
      <c r="AV249" s="441"/>
      <c r="AW249" s="441"/>
      <c r="AX249" s="441"/>
      <c r="AY249" s="441"/>
      <c r="AZ249" s="441"/>
      <c r="BA249" s="441"/>
      <c r="BB249" s="441"/>
      <c r="BC249" s="441"/>
      <c r="BE249" s="383"/>
      <c r="BF249" s="383"/>
      <c r="BG249" s="383"/>
      <c r="BH249" s="383"/>
      <c r="BI249" s="383"/>
      <c r="BJ249" s="383"/>
      <c r="BK249" s="383"/>
      <c r="BL249" s="383"/>
      <c r="BM249" s="383"/>
      <c r="BN249" s="383"/>
      <c r="BO249" s="383"/>
    </row>
    <row r="250" spans="1:67" x14ac:dyDescent="0.25">
      <c r="A250" s="335">
        <v>5819</v>
      </c>
      <c r="B250" s="425" t="s">
        <v>8</v>
      </c>
      <c r="C250" s="446">
        <v>525238.66</v>
      </c>
      <c r="D250" s="33">
        <v>166495.91</v>
      </c>
      <c r="E250" s="448"/>
      <c r="F250" s="452">
        <v>0</v>
      </c>
      <c r="G250" s="452">
        <v>23064.7</v>
      </c>
      <c r="H250" s="453">
        <v>4384.7</v>
      </c>
      <c r="I250" s="451">
        <v>0</v>
      </c>
      <c r="J250" s="448">
        <v>13378.75</v>
      </c>
      <c r="K250" s="453">
        <v>2011.65</v>
      </c>
      <c r="L250" s="448">
        <v>82861.149999999994</v>
      </c>
      <c r="M250" s="422">
        <f t="shared" si="9"/>
        <v>817435.52</v>
      </c>
      <c r="N250" s="446">
        <v>23421.9</v>
      </c>
      <c r="O250" s="446">
        <v>1378</v>
      </c>
      <c r="P250" s="446">
        <v>28832.45</v>
      </c>
      <c r="Q250" s="446">
        <v>0</v>
      </c>
      <c r="R250" s="33">
        <v>19825.95</v>
      </c>
      <c r="S250" s="340"/>
      <c r="T250" s="446"/>
      <c r="U250" s="33">
        <v>740</v>
      </c>
      <c r="V250" s="446"/>
      <c r="W250" s="33"/>
      <c r="X250" s="417">
        <v>48233.35</v>
      </c>
      <c r="Y250" s="328">
        <f t="shared" si="10"/>
        <v>939867.16999999993</v>
      </c>
      <c r="Z250" s="33">
        <v>63375</v>
      </c>
      <c r="AA250" s="33"/>
      <c r="AB250" s="33">
        <v>31229.9</v>
      </c>
      <c r="AC250" s="33"/>
      <c r="AD250" s="33">
        <v>31249.1</v>
      </c>
      <c r="AE250" s="33">
        <v>12285</v>
      </c>
      <c r="AF250" s="33">
        <v>820</v>
      </c>
      <c r="AG250" s="33"/>
      <c r="AH250" s="33"/>
      <c r="AI250" s="33">
        <v>58889</v>
      </c>
      <c r="AJ250" s="33"/>
      <c r="AK250" s="33"/>
      <c r="AL250" s="33"/>
      <c r="AM250" s="328">
        <f t="shared" si="11"/>
        <v>197848</v>
      </c>
      <c r="AN250" s="371">
        <v>69</v>
      </c>
      <c r="AO250" s="388">
        <v>376</v>
      </c>
      <c r="AP250" s="33">
        <v>-1283.44</v>
      </c>
      <c r="AQ250" s="332"/>
      <c r="AR250" s="33">
        <v>-176.44</v>
      </c>
      <c r="AS250" s="340">
        <v>1</v>
      </c>
      <c r="AT250" s="437"/>
      <c r="AU250" s="438"/>
      <c r="AV250" s="441"/>
      <c r="AW250" s="441"/>
      <c r="AX250" s="441"/>
      <c r="AY250" s="441"/>
      <c r="AZ250" s="441"/>
      <c r="BA250" s="441"/>
      <c r="BB250" s="441"/>
      <c r="BC250" s="441"/>
      <c r="BE250" s="383"/>
      <c r="BF250" s="383"/>
      <c r="BG250" s="383"/>
      <c r="BH250" s="383"/>
      <c r="BI250" s="383"/>
      <c r="BJ250" s="383"/>
      <c r="BK250" s="383"/>
      <c r="BL250" s="383"/>
      <c r="BM250" s="383"/>
      <c r="BN250" s="383"/>
      <c r="BO250" s="383"/>
    </row>
    <row r="251" spans="1:67" x14ac:dyDescent="0.25">
      <c r="A251" s="335">
        <v>5821</v>
      </c>
      <c r="B251" s="425" t="s">
        <v>9</v>
      </c>
      <c r="C251" s="446">
        <v>475571.88</v>
      </c>
      <c r="D251" s="33">
        <v>56105.45</v>
      </c>
      <c r="E251" s="448"/>
      <c r="F251" s="452">
        <v>2100</v>
      </c>
      <c r="G251" s="452">
        <v>-495.35</v>
      </c>
      <c r="H251" s="453">
        <v>381.8</v>
      </c>
      <c r="I251" s="451">
        <v>0</v>
      </c>
      <c r="J251" s="448">
        <v>8585.49</v>
      </c>
      <c r="K251" s="453">
        <v>1346.65</v>
      </c>
      <c r="L251" s="448">
        <v>50446.3</v>
      </c>
      <c r="M251" s="422">
        <f t="shared" si="9"/>
        <v>594042.22000000009</v>
      </c>
      <c r="N251" s="446">
        <v>0</v>
      </c>
      <c r="O251" s="446">
        <v>0</v>
      </c>
      <c r="P251" s="446">
        <v>3630</v>
      </c>
      <c r="Q251" s="446">
        <v>16980.38</v>
      </c>
      <c r="R251" s="33">
        <v>0</v>
      </c>
      <c r="S251" s="340"/>
      <c r="T251" s="446"/>
      <c r="U251" s="33">
        <v>2150</v>
      </c>
      <c r="V251" s="446"/>
      <c r="W251" s="33"/>
      <c r="X251" s="417">
        <v>761.9</v>
      </c>
      <c r="Y251" s="328">
        <f t="shared" si="10"/>
        <v>617564.50000000012</v>
      </c>
      <c r="Z251" s="33">
        <v>4944</v>
      </c>
      <c r="AA251" s="33"/>
      <c r="AB251" s="33">
        <v>60425.25</v>
      </c>
      <c r="AC251" s="33"/>
      <c r="AD251" s="33">
        <v>23226.1</v>
      </c>
      <c r="AE251" s="33">
        <v>4200</v>
      </c>
      <c r="AF251" s="33"/>
      <c r="AG251" s="33"/>
      <c r="AH251" s="33"/>
      <c r="AI251" s="33">
        <v>8090.8</v>
      </c>
      <c r="AJ251" s="33"/>
      <c r="AK251" s="33">
        <v>170.5</v>
      </c>
      <c r="AL251" s="33"/>
      <c r="AM251" s="328">
        <f t="shared" si="11"/>
        <v>101056.65000000001</v>
      </c>
      <c r="AN251" s="371">
        <v>72</v>
      </c>
      <c r="AO251" s="388">
        <v>362</v>
      </c>
      <c r="AP251" s="33">
        <v>-9920.1200000000008</v>
      </c>
      <c r="AQ251" s="332"/>
      <c r="AR251" s="33">
        <v>0</v>
      </c>
      <c r="AS251" s="340">
        <v>1</v>
      </c>
      <c r="AT251" s="437"/>
      <c r="AU251" s="438"/>
      <c r="AV251" s="441"/>
      <c r="AW251" s="441"/>
      <c r="AX251" s="441"/>
      <c r="AY251" s="441"/>
      <c r="AZ251" s="441"/>
      <c r="BA251" s="441"/>
      <c r="BB251" s="441"/>
      <c r="BC251" s="441"/>
      <c r="BE251" s="383"/>
      <c r="BF251" s="383"/>
      <c r="BG251" s="383"/>
      <c r="BH251" s="383"/>
      <c r="BI251" s="383"/>
      <c r="BJ251" s="383"/>
      <c r="BK251" s="383"/>
      <c r="BL251" s="383"/>
      <c r="BM251" s="383"/>
      <c r="BN251" s="383"/>
      <c r="BO251" s="383"/>
    </row>
    <row r="252" spans="1:67" x14ac:dyDescent="0.25">
      <c r="A252" s="335">
        <v>5822</v>
      </c>
      <c r="B252" s="425" t="s">
        <v>10</v>
      </c>
      <c r="C252" s="446">
        <v>13952614.9</v>
      </c>
      <c r="D252" s="33">
        <v>1429430.63</v>
      </c>
      <c r="E252" s="448"/>
      <c r="F252" s="452">
        <v>0</v>
      </c>
      <c r="G252" s="452">
        <v>510459.35</v>
      </c>
      <c r="H252" s="453">
        <v>123003.8</v>
      </c>
      <c r="I252" s="451">
        <v>0</v>
      </c>
      <c r="J252" s="448">
        <v>906432.77</v>
      </c>
      <c r="K252" s="453">
        <v>208173.85</v>
      </c>
      <c r="L252" s="448">
        <v>1406155.3</v>
      </c>
      <c r="M252" s="422">
        <f t="shared" si="9"/>
        <v>18536270.600000005</v>
      </c>
      <c r="N252" s="446">
        <v>76138.3</v>
      </c>
      <c r="O252" s="446">
        <v>152337.1</v>
      </c>
      <c r="P252" s="446">
        <v>604071.85</v>
      </c>
      <c r="Q252" s="446">
        <v>197416.49</v>
      </c>
      <c r="R252" s="33">
        <v>412749.45</v>
      </c>
      <c r="S252" s="340">
        <v>99841</v>
      </c>
      <c r="T252" s="446">
        <v>35070</v>
      </c>
      <c r="U252" s="33">
        <v>23525</v>
      </c>
      <c r="V252" s="446">
        <v>76147.149999999994</v>
      </c>
      <c r="W252" s="33"/>
      <c r="X252" s="417">
        <v>308031.95</v>
      </c>
      <c r="Y252" s="328">
        <f t="shared" si="10"/>
        <v>20521598.890000004</v>
      </c>
      <c r="Z252" s="33">
        <v>150880.95000000001</v>
      </c>
      <c r="AA252" s="33"/>
      <c r="AB252" s="33">
        <v>2259013.7000000002</v>
      </c>
      <c r="AC252" s="33"/>
      <c r="AD252" s="33">
        <v>1173392.1299999999</v>
      </c>
      <c r="AE252" s="33">
        <v>65347.7</v>
      </c>
      <c r="AF252" s="33"/>
      <c r="AG252" s="33"/>
      <c r="AH252" s="33">
        <v>1265</v>
      </c>
      <c r="AI252" s="33"/>
      <c r="AJ252" s="33"/>
      <c r="AK252" s="33"/>
      <c r="AL252" s="33"/>
      <c r="AM252" s="328">
        <f t="shared" si="11"/>
        <v>3649899.4800000004</v>
      </c>
      <c r="AN252" s="371">
        <v>75</v>
      </c>
      <c r="AO252" s="388">
        <v>10072</v>
      </c>
      <c r="AP252" s="33">
        <v>-541005.63</v>
      </c>
      <c r="AQ252" s="332"/>
      <c r="AR252" s="33">
        <v>-1059.3900000000001</v>
      </c>
      <c r="AS252" s="340">
        <v>1</v>
      </c>
      <c r="AT252" s="437"/>
      <c r="AU252" s="438"/>
      <c r="AV252" s="441"/>
      <c r="AW252" s="441"/>
      <c r="AX252" s="441"/>
      <c r="AY252" s="441"/>
      <c r="AZ252" s="441"/>
      <c r="BA252" s="441"/>
      <c r="BB252" s="441"/>
      <c r="BC252" s="441"/>
      <c r="BE252" s="383"/>
      <c r="BF252" s="383"/>
      <c r="BG252" s="383"/>
      <c r="BH252" s="383"/>
      <c r="BI252" s="383"/>
      <c r="BJ252" s="383"/>
      <c r="BK252" s="383"/>
      <c r="BL252" s="383"/>
      <c r="BM252" s="383"/>
      <c r="BN252" s="383"/>
      <c r="BO252" s="383"/>
    </row>
    <row r="253" spans="1:67" x14ac:dyDescent="0.25">
      <c r="A253" s="335">
        <v>5827</v>
      </c>
      <c r="B253" s="425" t="s">
        <v>11</v>
      </c>
      <c r="C253" s="446">
        <v>456771.92</v>
      </c>
      <c r="D253" s="33">
        <v>43125.3</v>
      </c>
      <c r="E253" s="448"/>
      <c r="F253" s="452">
        <v>1620</v>
      </c>
      <c r="G253" s="452">
        <v>7178.1</v>
      </c>
      <c r="H253" s="453">
        <v>374.95</v>
      </c>
      <c r="I253" s="451">
        <v>0</v>
      </c>
      <c r="J253" s="448">
        <v>-2811.11</v>
      </c>
      <c r="K253" s="453">
        <v>30.85</v>
      </c>
      <c r="L253" s="448">
        <v>36758.050000000003</v>
      </c>
      <c r="M253" s="422">
        <f t="shared" si="9"/>
        <v>543048.05999999994</v>
      </c>
      <c r="N253" s="446">
        <v>0</v>
      </c>
      <c r="O253" s="446">
        <v>14325</v>
      </c>
      <c r="P253" s="446">
        <v>5967.7</v>
      </c>
      <c r="Q253" s="446">
        <v>120.26</v>
      </c>
      <c r="R253" s="33">
        <v>0</v>
      </c>
      <c r="S253" s="340"/>
      <c r="T253" s="446">
        <v>100</v>
      </c>
      <c r="U253" s="33">
        <v>950</v>
      </c>
      <c r="V253" s="446"/>
      <c r="W253" s="33"/>
      <c r="X253" s="417">
        <v>1730.95</v>
      </c>
      <c r="Y253" s="328">
        <f t="shared" si="10"/>
        <v>566241.96999999986</v>
      </c>
      <c r="Z253" s="33">
        <v>18000</v>
      </c>
      <c r="AA253" s="33"/>
      <c r="AB253" s="33">
        <v>41374.550000000003</v>
      </c>
      <c r="AC253" s="33"/>
      <c r="AD253" s="33">
        <v>13660</v>
      </c>
      <c r="AE253" s="33">
        <v>26492.35</v>
      </c>
      <c r="AF253" s="33"/>
      <c r="AG253" s="33"/>
      <c r="AH253" s="33"/>
      <c r="AI253" s="33">
        <v>6548.5</v>
      </c>
      <c r="AJ253" s="33"/>
      <c r="AK253" s="33"/>
      <c r="AL253" s="33"/>
      <c r="AM253" s="328">
        <f t="shared" si="11"/>
        <v>106075.4</v>
      </c>
      <c r="AN253" s="371">
        <v>80</v>
      </c>
      <c r="AO253" s="388">
        <v>285</v>
      </c>
      <c r="AP253" s="33">
        <v>-3387.34</v>
      </c>
      <c r="AQ253" s="332"/>
      <c r="AR253" s="33">
        <v>0</v>
      </c>
      <c r="AS253" s="340">
        <v>1</v>
      </c>
      <c r="AT253" s="437"/>
      <c r="AU253" s="438"/>
      <c r="AV253" s="441"/>
      <c r="AW253" s="441"/>
      <c r="AX253" s="441"/>
      <c r="AY253" s="441"/>
      <c r="AZ253" s="441"/>
      <c r="BA253" s="441"/>
      <c r="BB253" s="441"/>
      <c r="BC253" s="441"/>
      <c r="BE253" s="383"/>
      <c r="BF253" s="383"/>
      <c r="BG253" s="383"/>
      <c r="BH253" s="383"/>
      <c r="BI253" s="383"/>
      <c r="BJ253" s="383"/>
      <c r="BK253" s="383"/>
      <c r="BL253" s="383"/>
      <c r="BM253" s="383"/>
      <c r="BN253" s="383"/>
      <c r="BO253" s="383"/>
    </row>
    <row r="254" spans="1:67" x14ac:dyDescent="0.25">
      <c r="A254" s="335">
        <v>5828</v>
      </c>
      <c r="B254" s="425" t="s">
        <v>514</v>
      </c>
      <c r="C254" s="446">
        <v>158097.26</v>
      </c>
      <c r="D254" s="33">
        <v>30020.76</v>
      </c>
      <c r="E254" s="448"/>
      <c r="F254" s="452">
        <v>0</v>
      </c>
      <c r="G254" s="452">
        <v>-386.05</v>
      </c>
      <c r="H254" s="453">
        <v>113</v>
      </c>
      <c r="I254" s="451">
        <v>0</v>
      </c>
      <c r="J254" s="448">
        <v>38.200000000000003</v>
      </c>
      <c r="K254" s="453">
        <v>0</v>
      </c>
      <c r="L254" s="448">
        <v>23587.4</v>
      </c>
      <c r="M254" s="422">
        <f t="shared" si="9"/>
        <v>211470.57000000004</v>
      </c>
      <c r="N254" s="446">
        <v>0</v>
      </c>
      <c r="O254" s="446">
        <v>0</v>
      </c>
      <c r="P254" s="446">
        <v>14374.45</v>
      </c>
      <c r="Q254" s="446">
        <v>0</v>
      </c>
      <c r="R254" s="33">
        <v>17585.900000000001</v>
      </c>
      <c r="S254" s="340"/>
      <c r="T254" s="446"/>
      <c r="U254" s="33">
        <v>885</v>
      </c>
      <c r="V254" s="446"/>
      <c r="W254" s="33"/>
      <c r="X254" s="417">
        <v>124</v>
      </c>
      <c r="Y254" s="328">
        <f t="shared" si="10"/>
        <v>244439.92000000004</v>
      </c>
      <c r="Z254" s="33"/>
      <c r="AA254" s="33"/>
      <c r="AB254" s="33">
        <v>18922</v>
      </c>
      <c r="AC254" s="33"/>
      <c r="AD254" s="33">
        <v>9691.75</v>
      </c>
      <c r="AE254" s="33"/>
      <c r="AF254" s="33"/>
      <c r="AG254" s="33"/>
      <c r="AH254" s="33"/>
      <c r="AI254" s="33">
        <v>2692.2</v>
      </c>
      <c r="AJ254" s="33"/>
      <c r="AK254" s="33"/>
      <c r="AL254" s="33"/>
      <c r="AM254" s="328">
        <f t="shared" si="11"/>
        <v>31305.95</v>
      </c>
      <c r="AN254" s="371">
        <v>84</v>
      </c>
      <c r="AO254" s="388">
        <v>111</v>
      </c>
      <c r="AP254" s="33">
        <v>-74.88</v>
      </c>
      <c r="AQ254" s="332"/>
      <c r="AR254" s="33">
        <v>0</v>
      </c>
      <c r="AS254" s="340">
        <v>1.5</v>
      </c>
      <c r="AT254" s="437"/>
      <c r="AU254" s="438"/>
      <c r="AV254" s="441"/>
      <c r="AW254" s="441"/>
      <c r="AX254" s="441"/>
      <c r="AY254" s="441"/>
      <c r="AZ254" s="441"/>
      <c r="BA254" s="441"/>
      <c r="BB254" s="441"/>
      <c r="BC254" s="441"/>
      <c r="BE254" s="383"/>
      <c r="BF254" s="383"/>
      <c r="BG254" s="383"/>
      <c r="BH254" s="383"/>
      <c r="BI254" s="383"/>
      <c r="BJ254" s="383"/>
      <c r="BK254" s="383"/>
      <c r="BL254" s="383"/>
      <c r="BM254" s="383"/>
      <c r="BN254" s="383"/>
      <c r="BO254" s="383"/>
    </row>
    <row r="255" spans="1:67" x14ac:dyDescent="0.25">
      <c r="A255" s="335">
        <v>5830</v>
      </c>
      <c r="B255" s="425" t="s">
        <v>12</v>
      </c>
      <c r="C255" s="446">
        <v>904067.88</v>
      </c>
      <c r="D255" s="33">
        <v>83116.44</v>
      </c>
      <c r="E255" s="448"/>
      <c r="F255" s="452">
        <v>0</v>
      </c>
      <c r="G255" s="452">
        <v>17936.5</v>
      </c>
      <c r="H255" s="453">
        <v>301.5</v>
      </c>
      <c r="I255" s="451">
        <v>0</v>
      </c>
      <c r="J255" s="448">
        <v>9458.58</v>
      </c>
      <c r="K255" s="453">
        <v>1945.2</v>
      </c>
      <c r="L255" s="448">
        <v>57367.65</v>
      </c>
      <c r="M255" s="422">
        <f t="shared" si="9"/>
        <v>1074193.75</v>
      </c>
      <c r="N255" s="446">
        <v>0</v>
      </c>
      <c r="O255" s="446">
        <v>1597.2</v>
      </c>
      <c r="P255" s="446">
        <v>33027.800000000003</v>
      </c>
      <c r="Q255" s="446">
        <v>4317.7700000000004</v>
      </c>
      <c r="R255" s="33">
        <v>47000.800000000003</v>
      </c>
      <c r="S255" s="340"/>
      <c r="T255" s="446"/>
      <c r="U255" s="33">
        <v>3330</v>
      </c>
      <c r="V255" s="446"/>
      <c r="W255" s="33"/>
      <c r="X255" s="417">
        <v>1539.5</v>
      </c>
      <c r="Y255" s="328">
        <f t="shared" si="10"/>
        <v>1165006.82</v>
      </c>
      <c r="Z255" s="33">
        <v>85000</v>
      </c>
      <c r="AA255" s="33"/>
      <c r="AB255" s="33">
        <v>53503.3</v>
      </c>
      <c r="AC255" s="33"/>
      <c r="AD255" s="33">
        <v>21770</v>
      </c>
      <c r="AE255" s="33">
        <v>28000</v>
      </c>
      <c r="AF255" s="33"/>
      <c r="AG255" s="33"/>
      <c r="AH255" s="33"/>
      <c r="AI255" s="33"/>
      <c r="AJ255" s="33"/>
      <c r="AK255" s="33"/>
      <c r="AL255" s="33"/>
      <c r="AM255" s="328">
        <f t="shared" si="11"/>
        <v>188273.3</v>
      </c>
      <c r="AN255" s="371">
        <v>77</v>
      </c>
      <c r="AO255" s="388">
        <v>451</v>
      </c>
      <c r="AP255" s="33">
        <v>-28785.19</v>
      </c>
      <c r="AQ255" s="332"/>
      <c r="AR255" s="33">
        <v>-7.0000000000000007E-2</v>
      </c>
      <c r="AS255" s="340">
        <v>1</v>
      </c>
      <c r="AT255" s="437"/>
      <c r="AU255" s="438"/>
      <c r="AV255" s="441"/>
      <c r="AW255" s="441"/>
      <c r="AX255" s="441"/>
      <c r="AY255" s="441"/>
      <c r="AZ255" s="441"/>
      <c r="BA255" s="441"/>
      <c r="BB255" s="441"/>
      <c r="BC255" s="441"/>
      <c r="BE255" s="383"/>
      <c r="BF255" s="383"/>
      <c r="BG255" s="383"/>
      <c r="BH255" s="383"/>
      <c r="BI255" s="383"/>
      <c r="BJ255" s="383"/>
      <c r="BK255" s="383"/>
      <c r="BL255" s="383"/>
      <c r="BM255" s="383"/>
      <c r="BN255" s="383"/>
      <c r="BO255" s="383"/>
    </row>
    <row r="256" spans="1:67" x14ac:dyDescent="0.25">
      <c r="A256" s="335">
        <v>5831</v>
      </c>
      <c r="B256" s="425" t="s">
        <v>434</v>
      </c>
      <c r="C256" s="446">
        <v>4459376.84</v>
      </c>
      <c r="D256" s="33">
        <v>647455.73</v>
      </c>
      <c r="E256" s="448"/>
      <c r="F256" s="452">
        <v>0</v>
      </c>
      <c r="G256" s="452">
        <v>480849.8</v>
      </c>
      <c r="H256" s="453">
        <v>20587.349999999999</v>
      </c>
      <c r="I256" s="451">
        <v>0</v>
      </c>
      <c r="J256" s="448">
        <v>206702.76</v>
      </c>
      <c r="K256" s="453">
        <v>22092.85</v>
      </c>
      <c r="L256" s="448">
        <v>458956.5</v>
      </c>
      <c r="M256" s="422">
        <f t="shared" si="9"/>
        <v>6296021.8299999991</v>
      </c>
      <c r="N256" s="446">
        <v>21168.7</v>
      </c>
      <c r="O256" s="446">
        <v>62187.9</v>
      </c>
      <c r="P256" s="446">
        <v>282710</v>
      </c>
      <c r="Q256" s="446">
        <v>37519.93</v>
      </c>
      <c r="R256" s="33">
        <v>232705.05</v>
      </c>
      <c r="S256" s="340">
        <v>1100</v>
      </c>
      <c r="T256" s="446">
        <v>8373</v>
      </c>
      <c r="U256" s="33">
        <v>15100</v>
      </c>
      <c r="V256" s="446"/>
      <c r="W256" s="33"/>
      <c r="X256" s="417">
        <v>72877.350000000006</v>
      </c>
      <c r="Y256" s="328">
        <f t="shared" si="10"/>
        <v>7029763.7599999988</v>
      </c>
      <c r="Z256" s="33">
        <v>-236000</v>
      </c>
      <c r="AA256" s="33"/>
      <c r="AB256" s="33">
        <v>326042.40000000002</v>
      </c>
      <c r="AC256" s="33"/>
      <c r="AD256" s="33">
        <v>328498.65999999997</v>
      </c>
      <c r="AE256" s="33">
        <v>-19173.05</v>
      </c>
      <c r="AF256" s="33"/>
      <c r="AG256" s="33"/>
      <c r="AH256" s="33"/>
      <c r="AI256" s="33">
        <v>150721.70000000001</v>
      </c>
      <c r="AJ256" s="33"/>
      <c r="AK256" s="33"/>
      <c r="AL256" s="33"/>
      <c r="AM256" s="328">
        <f t="shared" si="11"/>
        <v>550089.71</v>
      </c>
      <c r="AN256" s="371">
        <v>73</v>
      </c>
      <c r="AO256" s="388">
        <v>3296</v>
      </c>
      <c r="AP256" s="33">
        <v>-100160.31</v>
      </c>
      <c r="AQ256" s="332"/>
      <c r="AR256" s="33">
        <v>-366.07</v>
      </c>
      <c r="AS256" s="340">
        <v>0.6</v>
      </c>
      <c r="AT256" s="437"/>
      <c r="AU256" s="438"/>
      <c r="AV256" s="441"/>
      <c r="AW256" s="441"/>
      <c r="AX256" s="441"/>
      <c r="AY256" s="441"/>
      <c r="AZ256" s="441"/>
      <c r="BA256" s="441"/>
      <c r="BB256" s="441"/>
      <c r="BC256" s="441"/>
      <c r="BE256" s="383"/>
      <c r="BF256" s="383"/>
      <c r="BG256" s="383"/>
      <c r="BH256" s="383"/>
      <c r="BI256" s="383"/>
      <c r="BJ256" s="383"/>
      <c r="BK256" s="383"/>
      <c r="BL256" s="383"/>
      <c r="BM256" s="383"/>
      <c r="BN256" s="383"/>
      <c r="BO256" s="383"/>
    </row>
    <row r="257" spans="1:67" x14ac:dyDescent="0.25">
      <c r="A257" s="335">
        <v>5841</v>
      </c>
      <c r="B257" s="425" t="s">
        <v>13</v>
      </c>
      <c r="C257" s="446">
        <v>5666309.0300000003</v>
      </c>
      <c r="D257" s="33">
        <v>1732789.26</v>
      </c>
      <c r="E257" s="448"/>
      <c r="F257" s="452">
        <v>0</v>
      </c>
      <c r="G257" s="452">
        <v>175013.05</v>
      </c>
      <c r="H257" s="453">
        <v>67661.899999999994</v>
      </c>
      <c r="I257" s="451">
        <v>872877.7</v>
      </c>
      <c r="J257" s="448">
        <v>327608.68</v>
      </c>
      <c r="K257" s="453">
        <v>32338.85</v>
      </c>
      <c r="L257" s="448">
        <v>1478157</v>
      </c>
      <c r="M257" s="422">
        <f t="shared" si="9"/>
        <v>10352755.469999999</v>
      </c>
      <c r="N257" s="446">
        <v>163.25</v>
      </c>
      <c r="O257" s="446">
        <v>158620.4</v>
      </c>
      <c r="P257" s="446">
        <v>374670.25</v>
      </c>
      <c r="Q257" s="446">
        <v>19839.59</v>
      </c>
      <c r="R257" s="33">
        <v>150359.04999999999</v>
      </c>
      <c r="S257" s="340"/>
      <c r="T257" s="446">
        <v>33968.75</v>
      </c>
      <c r="U257" s="33">
        <v>23850</v>
      </c>
      <c r="V257" s="446"/>
      <c r="W257" s="33"/>
      <c r="X257" s="417">
        <v>53138.6</v>
      </c>
      <c r="Y257" s="328">
        <f t="shared" si="10"/>
        <v>11167365.359999999</v>
      </c>
      <c r="Z257" s="33">
        <v>49340.74</v>
      </c>
      <c r="AA257" s="33"/>
      <c r="AB257" s="33">
        <v>1107647.8700000001</v>
      </c>
      <c r="AC257" s="33"/>
      <c r="AD257" s="33">
        <v>596280.57999999996</v>
      </c>
      <c r="AE257" s="33"/>
      <c r="AF257" s="33"/>
      <c r="AG257" s="33"/>
      <c r="AH257" s="33">
        <v>777799.03</v>
      </c>
      <c r="AI257" s="33">
        <v>163248</v>
      </c>
      <c r="AJ257" s="33"/>
      <c r="AK257" s="33"/>
      <c r="AL257" s="33"/>
      <c r="AM257" s="328">
        <f t="shared" si="11"/>
        <v>2694316.2199999997</v>
      </c>
      <c r="AN257" s="371">
        <v>83</v>
      </c>
      <c r="AO257" s="388">
        <v>3468</v>
      </c>
      <c r="AP257" s="33">
        <v>-69683.91</v>
      </c>
      <c r="AQ257" s="332"/>
      <c r="AR257" s="33">
        <v>-15910.69</v>
      </c>
      <c r="AS257" s="340">
        <v>1.5</v>
      </c>
      <c r="AT257" s="437"/>
      <c r="AU257" s="438"/>
      <c r="AV257" s="441"/>
      <c r="AW257" s="441"/>
      <c r="AX257" s="441"/>
      <c r="AY257" s="441"/>
      <c r="AZ257" s="441"/>
      <c r="BA257" s="441"/>
      <c r="BB257" s="441"/>
      <c r="BC257" s="441"/>
      <c r="BE257" s="383"/>
      <c r="BF257" s="383"/>
      <c r="BG257" s="383"/>
      <c r="BH257" s="383"/>
      <c r="BI257" s="383"/>
      <c r="BJ257" s="383"/>
      <c r="BK257" s="383"/>
      <c r="BL257" s="383"/>
      <c r="BM257" s="383"/>
      <c r="BN257" s="383"/>
      <c r="BO257" s="383"/>
    </row>
    <row r="258" spans="1:67" x14ac:dyDescent="0.25">
      <c r="A258" s="335">
        <v>5842</v>
      </c>
      <c r="B258" s="425" t="s">
        <v>14</v>
      </c>
      <c r="C258" s="446">
        <v>817226.26</v>
      </c>
      <c r="D258" s="33">
        <v>154884.04</v>
      </c>
      <c r="E258" s="448"/>
      <c r="F258" s="452">
        <v>0</v>
      </c>
      <c r="G258" s="452">
        <v>43312.35</v>
      </c>
      <c r="H258" s="453">
        <v>2615.75</v>
      </c>
      <c r="I258" s="451">
        <v>-24596.85</v>
      </c>
      <c r="J258" s="448">
        <v>23613.599999999999</v>
      </c>
      <c r="K258" s="453">
        <v>907.25</v>
      </c>
      <c r="L258" s="448">
        <v>141300.04999999999</v>
      </c>
      <c r="M258" s="422">
        <f t="shared" si="9"/>
        <v>1159262.45</v>
      </c>
      <c r="N258" s="446">
        <v>0</v>
      </c>
      <c r="O258" s="446">
        <v>428.8</v>
      </c>
      <c r="P258" s="446">
        <v>22076.15</v>
      </c>
      <c r="Q258" s="446">
        <v>0</v>
      </c>
      <c r="R258" s="33">
        <v>25274.7</v>
      </c>
      <c r="S258" s="340"/>
      <c r="T258" s="446"/>
      <c r="U258" s="33">
        <v>3920</v>
      </c>
      <c r="V258" s="446"/>
      <c r="W258" s="33"/>
      <c r="X258" s="417">
        <v>2564.0500000000002</v>
      </c>
      <c r="Y258" s="328">
        <f t="shared" si="10"/>
        <v>1213526.1499999999</v>
      </c>
      <c r="Z258" s="33">
        <v>29555.45</v>
      </c>
      <c r="AA258" s="33"/>
      <c r="AB258" s="33">
        <v>81728.850000000006</v>
      </c>
      <c r="AC258" s="33"/>
      <c r="AD258" s="33">
        <v>40814.85</v>
      </c>
      <c r="AE258" s="33">
        <v>36802.199999999997</v>
      </c>
      <c r="AF258" s="33"/>
      <c r="AG258" s="33"/>
      <c r="AH258" s="33"/>
      <c r="AI258" s="33"/>
      <c r="AJ258" s="33"/>
      <c r="AK258" s="33"/>
      <c r="AL258" s="33"/>
      <c r="AM258" s="328">
        <f t="shared" si="11"/>
        <v>188901.34999999998</v>
      </c>
      <c r="AN258" s="371">
        <v>81</v>
      </c>
      <c r="AO258" s="388">
        <v>548</v>
      </c>
      <c r="AP258" s="33">
        <v>-2487.0300000000002</v>
      </c>
      <c r="AQ258" s="332"/>
      <c r="AR258" s="33">
        <v>-313.92</v>
      </c>
      <c r="AS258" s="340">
        <v>1.5</v>
      </c>
      <c r="AT258" s="437"/>
      <c r="AU258" s="438"/>
      <c r="AV258" s="441"/>
      <c r="AW258" s="441"/>
      <c r="AX258" s="441"/>
      <c r="AY258" s="441"/>
      <c r="AZ258" s="441"/>
      <c r="BA258" s="441"/>
      <c r="BB258" s="441"/>
      <c r="BC258" s="441"/>
      <c r="BE258" s="383"/>
      <c r="BF258" s="383"/>
      <c r="BG258" s="383"/>
      <c r="BH258" s="383"/>
      <c r="BI258" s="383"/>
      <c r="BJ258" s="383"/>
      <c r="BK258" s="383"/>
      <c r="BL258" s="383"/>
      <c r="BM258" s="383"/>
      <c r="BN258" s="383"/>
      <c r="BO258" s="383"/>
    </row>
    <row r="259" spans="1:67" x14ac:dyDescent="0.25">
      <c r="A259" s="335">
        <v>5843</v>
      </c>
      <c r="B259" s="425" t="s">
        <v>15</v>
      </c>
      <c r="C259" s="446">
        <v>2576175.84</v>
      </c>
      <c r="D259" s="33">
        <v>1599844.45</v>
      </c>
      <c r="E259" s="448"/>
      <c r="F259" s="452">
        <v>0</v>
      </c>
      <c r="G259" s="452">
        <v>39278.9</v>
      </c>
      <c r="H259" s="453">
        <v>13498</v>
      </c>
      <c r="I259" s="451">
        <v>1262291.18</v>
      </c>
      <c r="J259" s="448">
        <v>93615.95</v>
      </c>
      <c r="K259" s="453">
        <v>44858.45</v>
      </c>
      <c r="L259" s="448">
        <v>1169640.1000000001</v>
      </c>
      <c r="M259" s="422">
        <f t="shared" si="9"/>
        <v>6799202.870000001</v>
      </c>
      <c r="N259" s="446">
        <v>0</v>
      </c>
      <c r="O259" s="446">
        <v>941705.7</v>
      </c>
      <c r="P259" s="446">
        <v>471343.2</v>
      </c>
      <c r="Q259" s="446">
        <v>41559.769999999997</v>
      </c>
      <c r="R259" s="33">
        <v>399957.7</v>
      </c>
      <c r="S259" s="340"/>
      <c r="T259" s="446">
        <v>2748.6</v>
      </c>
      <c r="U259" s="33">
        <v>5700</v>
      </c>
      <c r="V259" s="446"/>
      <c r="W259" s="33"/>
      <c r="X259" s="417">
        <v>30804.1</v>
      </c>
      <c r="Y259" s="328">
        <f t="shared" si="10"/>
        <v>8693021.9399999995</v>
      </c>
      <c r="Z259" s="33">
        <v>19035</v>
      </c>
      <c r="AA259" s="33"/>
      <c r="AB259" s="33">
        <v>235754.42</v>
      </c>
      <c r="AC259" s="33"/>
      <c r="AD259" s="33">
        <v>233103.05</v>
      </c>
      <c r="AE259" s="33">
        <v>38910</v>
      </c>
      <c r="AF259" s="33"/>
      <c r="AG259" s="33"/>
      <c r="AH259" s="33">
        <v>994856.95</v>
      </c>
      <c r="AI259" s="33">
        <v>88082.4</v>
      </c>
      <c r="AJ259" s="33"/>
      <c r="AK259" s="33"/>
      <c r="AL259" s="33"/>
      <c r="AM259" s="328">
        <f t="shared" si="11"/>
        <v>1609741.8199999998</v>
      </c>
      <c r="AN259" s="371">
        <v>74</v>
      </c>
      <c r="AO259" s="388">
        <v>858</v>
      </c>
      <c r="AP259" s="33">
        <v>-93359.46</v>
      </c>
      <c r="AQ259" s="332"/>
      <c r="AR259" s="33">
        <v>-7690.73</v>
      </c>
      <c r="AS259" s="340">
        <v>1.5</v>
      </c>
      <c r="AT259" s="437"/>
      <c r="AU259" s="438"/>
      <c r="AV259" s="441"/>
      <c r="AW259" s="441"/>
      <c r="AX259" s="441"/>
      <c r="AY259" s="441"/>
      <c r="AZ259" s="441"/>
      <c r="BA259" s="441"/>
      <c r="BB259" s="441"/>
      <c r="BC259" s="441"/>
      <c r="BE259" s="383"/>
      <c r="BF259" s="383"/>
      <c r="BG259" s="383"/>
      <c r="BH259" s="383"/>
      <c r="BI259" s="383"/>
      <c r="BJ259" s="383"/>
      <c r="BK259" s="383"/>
      <c r="BL259" s="383"/>
      <c r="BM259" s="383"/>
      <c r="BN259" s="383"/>
      <c r="BO259" s="383"/>
    </row>
    <row r="260" spans="1:67" x14ac:dyDescent="0.25">
      <c r="A260" s="335">
        <v>5851</v>
      </c>
      <c r="B260" s="425" t="s">
        <v>16</v>
      </c>
      <c r="C260" s="446">
        <v>738151.97</v>
      </c>
      <c r="D260" s="33">
        <v>153761.03</v>
      </c>
      <c r="E260" s="448"/>
      <c r="F260" s="452">
        <v>0</v>
      </c>
      <c r="G260" s="452">
        <v>81541.3</v>
      </c>
      <c r="H260" s="453">
        <v>5819.5</v>
      </c>
      <c r="I260" s="451">
        <v>195823.8</v>
      </c>
      <c r="J260" s="448">
        <v>41396.54</v>
      </c>
      <c r="K260" s="453">
        <v>6856</v>
      </c>
      <c r="L260" s="448">
        <v>242268.4</v>
      </c>
      <c r="M260" s="422">
        <f t="shared" si="9"/>
        <v>1465618.54</v>
      </c>
      <c r="N260" s="446">
        <v>30894.1</v>
      </c>
      <c r="O260" s="446">
        <v>96769.600000000006</v>
      </c>
      <c r="P260" s="446">
        <v>235479.55</v>
      </c>
      <c r="Q260" s="446">
        <v>9116.69</v>
      </c>
      <c r="R260" s="33">
        <v>42944.7</v>
      </c>
      <c r="S260" s="340">
        <v>44383.85</v>
      </c>
      <c r="T260" s="446"/>
      <c r="U260" s="33">
        <v>2300</v>
      </c>
      <c r="V260" s="446"/>
      <c r="W260" s="33"/>
      <c r="X260" s="417">
        <v>36720.949999999997</v>
      </c>
      <c r="Y260" s="328">
        <f t="shared" si="10"/>
        <v>1964227.9800000002</v>
      </c>
      <c r="Z260" s="33"/>
      <c r="AA260" s="33"/>
      <c r="AB260" s="33">
        <v>168111.94</v>
      </c>
      <c r="AC260" s="33"/>
      <c r="AD260" s="33">
        <v>39866.550000000003</v>
      </c>
      <c r="AE260" s="33"/>
      <c r="AF260" s="33"/>
      <c r="AG260" s="33"/>
      <c r="AH260" s="33"/>
      <c r="AI260" s="33">
        <v>56461.2</v>
      </c>
      <c r="AJ260" s="33"/>
      <c r="AK260" s="33"/>
      <c r="AL260" s="33"/>
      <c r="AM260" s="328">
        <f t="shared" si="11"/>
        <v>264439.69</v>
      </c>
      <c r="AN260" s="371">
        <v>62</v>
      </c>
      <c r="AO260" s="388">
        <v>451</v>
      </c>
      <c r="AP260" s="33">
        <v>-21666.11</v>
      </c>
      <c r="AQ260" s="332"/>
      <c r="AR260" s="33">
        <v>-717.14</v>
      </c>
      <c r="AS260" s="340">
        <v>1.1000000000000001</v>
      </c>
      <c r="AT260" s="437"/>
      <c r="AU260" s="438"/>
      <c r="AV260" s="441"/>
      <c r="AW260" s="441"/>
      <c r="AX260" s="441"/>
      <c r="AY260" s="441"/>
      <c r="AZ260" s="441"/>
      <c r="BA260" s="441"/>
      <c r="BB260" s="441"/>
      <c r="BC260" s="441"/>
      <c r="BE260" s="383"/>
      <c r="BF260" s="383"/>
      <c r="BG260" s="383"/>
      <c r="BH260" s="383"/>
      <c r="BI260" s="383"/>
      <c r="BJ260" s="383"/>
      <c r="BK260" s="383"/>
      <c r="BL260" s="383"/>
      <c r="BM260" s="383"/>
      <c r="BN260" s="383"/>
      <c r="BO260" s="383"/>
    </row>
    <row r="261" spans="1:67" x14ac:dyDescent="0.25">
      <c r="A261" s="335">
        <v>5852</v>
      </c>
      <c r="B261" s="425" t="s">
        <v>17</v>
      </c>
      <c r="C261" s="446">
        <v>1386272.17</v>
      </c>
      <c r="D261" s="33">
        <v>806082.03</v>
      </c>
      <c r="E261" s="448"/>
      <c r="F261" s="452">
        <v>0</v>
      </c>
      <c r="G261" s="452">
        <v>7664.2</v>
      </c>
      <c r="H261" s="453">
        <v>4105.05</v>
      </c>
      <c r="I261" s="451">
        <v>161771.70000000001</v>
      </c>
      <c r="J261" s="448">
        <v>60098.23</v>
      </c>
      <c r="K261" s="453">
        <v>7630.35</v>
      </c>
      <c r="L261" s="448">
        <v>135958.1</v>
      </c>
      <c r="M261" s="422">
        <f t="shared" si="9"/>
        <v>2569581.8300000005</v>
      </c>
      <c r="N261" s="446">
        <v>10313.4</v>
      </c>
      <c r="O261" s="446">
        <v>113022.7</v>
      </c>
      <c r="P261" s="446">
        <v>254943.7</v>
      </c>
      <c r="Q261" s="446">
        <v>23343.47</v>
      </c>
      <c r="R261" s="33">
        <v>92081.5</v>
      </c>
      <c r="S261" s="340"/>
      <c r="T261" s="446"/>
      <c r="U261" s="33">
        <v>3612.5</v>
      </c>
      <c r="V261" s="446"/>
      <c r="W261" s="33"/>
      <c r="X261" s="417">
        <v>2035</v>
      </c>
      <c r="Y261" s="328">
        <f t="shared" si="10"/>
        <v>3068934.100000001</v>
      </c>
      <c r="Z261" s="33">
        <v>7360</v>
      </c>
      <c r="AA261" s="33"/>
      <c r="AB261" s="33">
        <v>65121.599999999999</v>
      </c>
      <c r="AC261" s="33"/>
      <c r="AD261" s="33">
        <v>21756</v>
      </c>
      <c r="AE261" s="33"/>
      <c r="AF261" s="33"/>
      <c r="AG261" s="33"/>
      <c r="AH261" s="33">
        <v>7955.11</v>
      </c>
      <c r="AI261" s="33"/>
      <c r="AJ261" s="33"/>
      <c r="AK261" s="33"/>
      <c r="AL261" s="33"/>
      <c r="AM261" s="328">
        <f t="shared" si="11"/>
        <v>102192.71</v>
      </c>
      <c r="AN261" s="371">
        <v>65.5</v>
      </c>
      <c r="AO261" s="388">
        <v>473</v>
      </c>
      <c r="AP261" s="33">
        <v>-27108.42</v>
      </c>
      <c r="AQ261" s="332"/>
      <c r="AR261" s="33">
        <v>-13682.97</v>
      </c>
      <c r="AS261" s="340">
        <v>0.75</v>
      </c>
      <c r="AT261" s="437"/>
      <c r="AU261" s="438"/>
      <c r="AV261" s="441"/>
      <c r="AW261" s="441"/>
      <c r="AX261" s="441"/>
      <c r="AY261" s="441"/>
      <c r="AZ261" s="441"/>
      <c r="BA261" s="441"/>
      <c r="BB261" s="441"/>
      <c r="BC261" s="441"/>
      <c r="BE261" s="383"/>
      <c r="BF261" s="383"/>
      <c r="BG261" s="383"/>
      <c r="BH261" s="383"/>
      <c r="BI261" s="383"/>
      <c r="BJ261" s="383"/>
      <c r="BK261" s="383"/>
      <c r="BL261" s="383"/>
      <c r="BM261" s="383"/>
      <c r="BN261" s="383"/>
      <c r="BO261" s="383"/>
    </row>
    <row r="262" spans="1:67" x14ac:dyDescent="0.25">
      <c r="A262" s="335">
        <v>5853</v>
      </c>
      <c r="B262" s="425" t="s">
        <v>18</v>
      </c>
      <c r="C262" s="446">
        <v>1803146.48</v>
      </c>
      <c r="D262" s="33">
        <v>422839.12</v>
      </c>
      <c r="E262" s="448"/>
      <c r="F262" s="452">
        <v>0</v>
      </c>
      <c r="G262" s="452">
        <v>-1152.55</v>
      </c>
      <c r="H262" s="453">
        <v>4720.95</v>
      </c>
      <c r="I262" s="451">
        <v>220827.3</v>
      </c>
      <c r="J262" s="448">
        <v>-53216.51</v>
      </c>
      <c r="K262" s="453">
        <v>13881.15</v>
      </c>
      <c r="L262" s="448">
        <v>199806.3</v>
      </c>
      <c r="M262" s="422">
        <f t="shared" si="9"/>
        <v>2610852.2400000002</v>
      </c>
      <c r="N262" s="446">
        <v>31372.400000000001</v>
      </c>
      <c r="O262" s="446">
        <v>24813.1</v>
      </c>
      <c r="P262" s="446">
        <v>186617.1</v>
      </c>
      <c r="Q262" s="446">
        <v>22979.31</v>
      </c>
      <c r="R262" s="33">
        <v>131753.25</v>
      </c>
      <c r="S262" s="340"/>
      <c r="T262" s="446"/>
      <c r="U262" s="33">
        <v>5600</v>
      </c>
      <c r="V262" s="446"/>
      <c r="W262" s="33"/>
      <c r="X262" s="417">
        <v>12223.2</v>
      </c>
      <c r="Y262" s="328">
        <f t="shared" si="10"/>
        <v>3026210.6000000006</v>
      </c>
      <c r="Z262" s="33">
        <v>20544.25</v>
      </c>
      <c r="AA262" s="33"/>
      <c r="AB262" s="33">
        <v>178459.4</v>
      </c>
      <c r="AC262" s="33"/>
      <c r="AD262" s="33">
        <v>52595.15</v>
      </c>
      <c r="AE262" s="33"/>
      <c r="AF262" s="33"/>
      <c r="AG262" s="33"/>
      <c r="AH262" s="33"/>
      <c r="AI262" s="33"/>
      <c r="AJ262" s="33"/>
      <c r="AK262" s="33"/>
      <c r="AL262" s="33"/>
      <c r="AM262" s="328">
        <f t="shared" si="11"/>
        <v>251598.8</v>
      </c>
      <c r="AN262" s="371">
        <v>71</v>
      </c>
      <c r="AO262" s="388">
        <v>782</v>
      </c>
      <c r="AP262" s="33">
        <v>-57694.6</v>
      </c>
      <c r="AQ262" s="332"/>
      <c r="AR262" s="33">
        <v>-1845.85</v>
      </c>
      <c r="AS262" s="340">
        <v>1</v>
      </c>
      <c r="AT262" s="437"/>
      <c r="AU262" s="438"/>
      <c r="AV262" s="441"/>
      <c r="AW262" s="441"/>
      <c r="AX262" s="441"/>
      <c r="AY262" s="441"/>
      <c r="AZ262" s="441"/>
      <c r="BA262" s="441"/>
      <c r="BB262" s="441"/>
      <c r="BC262" s="441"/>
      <c r="BE262" s="383"/>
      <c r="BF262" s="383"/>
      <c r="BG262" s="383"/>
      <c r="BH262" s="383"/>
      <c r="BI262" s="383"/>
      <c r="BJ262" s="383"/>
      <c r="BK262" s="383"/>
      <c r="BL262" s="383"/>
      <c r="BM262" s="383"/>
      <c r="BN262" s="383"/>
      <c r="BO262" s="383"/>
    </row>
    <row r="263" spans="1:67" x14ac:dyDescent="0.25">
      <c r="A263" s="335">
        <v>5854</v>
      </c>
      <c r="B263" s="425" t="s">
        <v>19</v>
      </c>
      <c r="C263" s="446">
        <v>726471.09</v>
      </c>
      <c r="D263" s="33">
        <v>109495.42</v>
      </c>
      <c r="E263" s="448"/>
      <c r="F263" s="452">
        <v>0</v>
      </c>
      <c r="G263" s="452">
        <v>-21821.35</v>
      </c>
      <c r="H263" s="453">
        <v>858.8</v>
      </c>
      <c r="I263" s="451">
        <v>0</v>
      </c>
      <c r="J263" s="448">
        <v>26593.07</v>
      </c>
      <c r="K263" s="453">
        <v>590.29999999999995</v>
      </c>
      <c r="L263" s="448">
        <v>106192.75</v>
      </c>
      <c r="M263" s="422">
        <f t="shared" ref="M263:M315" si="12">SUM(C263:L263)</f>
        <v>948380.08000000007</v>
      </c>
      <c r="N263" s="446">
        <v>4043.85</v>
      </c>
      <c r="O263" s="446">
        <v>2120.1999999999998</v>
      </c>
      <c r="P263" s="446">
        <v>105661.15</v>
      </c>
      <c r="Q263" s="446">
        <v>5495.07</v>
      </c>
      <c r="R263" s="33">
        <v>85256.05</v>
      </c>
      <c r="S263" s="340"/>
      <c r="T263" s="446"/>
      <c r="U263" s="33">
        <v>825</v>
      </c>
      <c r="V263" s="446"/>
      <c r="W263" s="33"/>
      <c r="X263" s="417">
        <v>4436.5</v>
      </c>
      <c r="Y263" s="328">
        <f t="shared" si="10"/>
        <v>1156217.9000000001</v>
      </c>
      <c r="Z263" s="33">
        <v>19635.099999999999</v>
      </c>
      <c r="AA263" s="33"/>
      <c r="AB263" s="33">
        <v>36115.800000000003</v>
      </c>
      <c r="AC263" s="33"/>
      <c r="AD263" s="33">
        <v>26698.65</v>
      </c>
      <c r="AE263" s="33"/>
      <c r="AF263" s="33">
        <v>8640</v>
      </c>
      <c r="AG263" s="33"/>
      <c r="AH263" s="33"/>
      <c r="AI263" s="33">
        <v>8288.7999999999993</v>
      </c>
      <c r="AJ263" s="33"/>
      <c r="AK263" s="33"/>
      <c r="AL263" s="33"/>
      <c r="AM263" s="328">
        <f t="shared" si="11"/>
        <v>99378.35</v>
      </c>
      <c r="AN263" s="371">
        <v>80</v>
      </c>
      <c r="AO263" s="388">
        <v>390</v>
      </c>
      <c r="AP263" s="33">
        <v>-35094.21</v>
      </c>
      <c r="AQ263" s="332"/>
      <c r="AR263" s="33">
        <v>-390.45</v>
      </c>
      <c r="AS263" s="340">
        <v>1.5</v>
      </c>
      <c r="AT263" s="437"/>
      <c r="AU263" s="438"/>
      <c r="AV263" s="441"/>
      <c r="AW263" s="441"/>
      <c r="AX263" s="441"/>
      <c r="AY263" s="441"/>
      <c r="AZ263" s="441"/>
      <c r="BA263" s="441"/>
      <c r="BB263" s="441"/>
      <c r="BC263" s="441"/>
      <c r="BE263" s="383"/>
      <c r="BF263" s="383"/>
      <c r="BG263" s="383"/>
      <c r="BH263" s="383"/>
      <c r="BI263" s="383"/>
      <c r="BJ263" s="383"/>
      <c r="BK263" s="383"/>
      <c r="BL263" s="383"/>
      <c r="BM263" s="383"/>
      <c r="BN263" s="383"/>
      <c r="BO263" s="383"/>
    </row>
    <row r="264" spans="1:67" x14ac:dyDescent="0.25">
      <c r="A264" s="335">
        <v>5855</v>
      </c>
      <c r="B264" s="425" t="s">
        <v>20</v>
      </c>
      <c r="C264" s="446">
        <v>2203323.67</v>
      </c>
      <c r="D264" s="33">
        <v>781682.29</v>
      </c>
      <c r="E264" s="448"/>
      <c r="F264" s="452">
        <v>0</v>
      </c>
      <c r="G264" s="452">
        <v>18129.900000000001</v>
      </c>
      <c r="H264" s="453">
        <v>11361</v>
      </c>
      <c r="I264" s="451">
        <v>405655.69</v>
      </c>
      <c r="J264" s="448">
        <v>155639.24</v>
      </c>
      <c r="K264" s="453">
        <v>14669.5</v>
      </c>
      <c r="L264" s="448">
        <v>173057.85</v>
      </c>
      <c r="M264" s="422">
        <f t="shared" si="12"/>
        <v>3763519.14</v>
      </c>
      <c r="N264" s="446">
        <v>1577</v>
      </c>
      <c r="O264" s="446">
        <v>12774.4</v>
      </c>
      <c r="P264" s="446">
        <v>332615.55</v>
      </c>
      <c r="Q264" s="446">
        <v>1228.57</v>
      </c>
      <c r="R264" s="33">
        <v>232703.5</v>
      </c>
      <c r="S264" s="340"/>
      <c r="T264" s="446"/>
      <c r="U264" s="33">
        <v>2800</v>
      </c>
      <c r="V264" s="446"/>
      <c r="W264" s="33"/>
      <c r="X264" s="417">
        <v>8097.55</v>
      </c>
      <c r="Y264" s="328">
        <f t="shared" ref="Y264:Y315" si="13">SUM(M264:X264)</f>
        <v>4355315.71</v>
      </c>
      <c r="Z264" s="33">
        <v>168432.2</v>
      </c>
      <c r="AA264" s="33"/>
      <c r="AB264" s="33">
        <v>98719.5</v>
      </c>
      <c r="AC264" s="33"/>
      <c r="AD264" s="33">
        <v>33465.800000000003</v>
      </c>
      <c r="AE264" s="33"/>
      <c r="AF264" s="33"/>
      <c r="AG264" s="33"/>
      <c r="AH264" s="33">
        <v>13250.65</v>
      </c>
      <c r="AI264" s="33"/>
      <c r="AJ264" s="33"/>
      <c r="AK264" s="33"/>
      <c r="AL264" s="33"/>
      <c r="AM264" s="328">
        <f t="shared" ref="AM264:AM315" si="14">SUM(Z264:AL264)</f>
        <v>313868.15000000002</v>
      </c>
      <c r="AN264" s="371">
        <v>49</v>
      </c>
      <c r="AO264" s="388">
        <v>639</v>
      </c>
      <c r="AP264" s="33">
        <v>-14842.68</v>
      </c>
      <c r="AQ264" s="332"/>
      <c r="AR264" s="33">
        <v>-26944.76</v>
      </c>
      <c r="AS264" s="340">
        <v>0.5</v>
      </c>
      <c r="AT264" s="437"/>
      <c r="AU264" s="438"/>
      <c r="AV264" s="441"/>
      <c r="AW264" s="441"/>
      <c r="AX264" s="441"/>
      <c r="AY264" s="441"/>
      <c r="AZ264" s="441"/>
      <c r="BA264" s="441"/>
      <c r="BB264" s="441"/>
      <c r="BC264" s="441"/>
      <c r="BE264" s="383"/>
      <c r="BF264" s="383"/>
      <c r="BG264" s="383"/>
      <c r="BH264" s="383"/>
      <c r="BI264" s="383"/>
      <c r="BJ264" s="383"/>
      <c r="BK264" s="383"/>
      <c r="BL264" s="383"/>
      <c r="BM264" s="383"/>
      <c r="BN264" s="383"/>
      <c r="BO264" s="383"/>
    </row>
    <row r="265" spans="1:67" x14ac:dyDescent="0.25">
      <c r="A265" s="335">
        <v>5856</v>
      </c>
      <c r="B265" s="425" t="s">
        <v>21</v>
      </c>
      <c r="C265" s="33">
        <v>1907995.31</v>
      </c>
      <c r="D265" s="33">
        <v>152460.07999999999</v>
      </c>
      <c r="E265" s="448"/>
      <c r="F265" s="452">
        <v>0</v>
      </c>
      <c r="G265" s="452">
        <v>9095.7999999999993</v>
      </c>
      <c r="H265" s="453">
        <v>1534.5</v>
      </c>
      <c r="I265" s="451">
        <v>202415.25</v>
      </c>
      <c r="J265" s="448">
        <v>37303.040000000001</v>
      </c>
      <c r="K265" s="453">
        <v>1989.75</v>
      </c>
      <c r="L265" s="448">
        <v>238218.5</v>
      </c>
      <c r="M265" s="422">
        <f t="shared" si="12"/>
        <v>2551012.2300000004</v>
      </c>
      <c r="N265" s="446">
        <v>5455.65</v>
      </c>
      <c r="O265" s="446">
        <v>1176.2</v>
      </c>
      <c r="P265" s="446">
        <v>66264.25</v>
      </c>
      <c r="Q265" s="446">
        <v>5855.17</v>
      </c>
      <c r="R265" s="33">
        <v>57373.35</v>
      </c>
      <c r="S265" s="340"/>
      <c r="T265" s="446"/>
      <c r="U265" s="33">
        <v>3050</v>
      </c>
      <c r="V265" s="446"/>
      <c r="W265" s="33"/>
      <c r="X265" s="417">
        <v>826.5</v>
      </c>
      <c r="Y265" s="328">
        <f t="shared" si="13"/>
        <v>2691013.3500000006</v>
      </c>
      <c r="Z265" s="33">
        <v>8167.05</v>
      </c>
      <c r="AA265" s="33" t="s">
        <v>599</v>
      </c>
      <c r="AB265" s="33">
        <v>140748.20000000001</v>
      </c>
      <c r="AC265" s="33" t="s">
        <v>599</v>
      </c>
      <c r="AD265" s="33">
        <v>71401.95</v>
      </c>
      <c r="AE265" s="33">
        <v>8432.15</v>
      </c>
      <c r="AF265" s="33" t="s">
        <v>599</v>
      </c>
      <c r="AG265" s="33" t="s">
        <v>599</v>
      </c>
      <c r="AH265" s="33" t="s">
        <v>599</v>
      </c>
      <c r="AI265" s="33"/>
      <c r="AJ265" s="33"/>
      <c r="AK265" s="33"/>
      <c r="AL265" s="33"/>
      <c r="AM265" s="328">
        <f t="shared" si="14"/>
        <v>228749.35</v>
      </c>
      <c r="AN265" s="371">
        <v>68</v>
      </c>
      <c r="AO265" s="388">
        <v>722</v>
      </c>
      <c r="AP265" s="33">
        <v>-18130.95</v>
      </c>
      <c r="AQ265" s="332"/>
      <c r="AR265" s="33">
        <v>-2264.71</v>
      </c>
      <c r="AS265" s="340">
        <v>1.3</v>
      </c>
      <c r="AT265" s="437"/>
      <c r="AU265" s="438"/>
      <c r="AV265" s="441"/>
      <c r="AW265" s="441"/>
      <c r="AX265" s="441"/>
      <c r="AY265" s="441"/>
      <c r="AZ265" s="441"/>
      <c r="BA265" s="441"/>
      <c r="BB265" s="441"/>
      <c r="BC265" s="441"/>
      <c r="BE265" s="383"/>
      <c r="BF265" s="383"/>
      <c r="BG265" s="383"/>
      <c r="BH265" s="383"/>
      <c r="BI265" s="383"/>
      <c r="BJ265" s="383"/>
      <c r="BK265" s="383"/>
      <c r="BL265" s="383"/>
      <c r="BM265" s="383"/>
      <c r="BN265" s="383"/>
      <c r="BO265" s="383"/>
    </row>
    <row r="266" spans="1:67" x14ac:dyDescent="0.25">
      <c r="A266" s="335">
        <v>5857</v>
      </c>
      <c r="B266" s="425" t="s">
        <v>22</v>
      </c>
      <c r="C266" s="446">
        <v>4265829.24</v>
      </c>
      <c r="D266" s="33">
        <v>797966.37</v>
      </c>
      <c r="E266" s="448"/>
      <c r="F266" s="452">
        <v>0</v>
      </c>
      <c r="G266" s="452">
        <v>126483.8</v>
      </c>
      <c r="H266" s="453">
        <v>4788.1000000000004</v>
      </c>
      <c r="I266" s="451">
        <v>0</v>
      </c>
      <c r="J266" s="448">
        <v>69439.05</v>
      </c>
      <c r="K266" s="453">
        <v>316.95000000000101</v>
      </c>
      <c r="L266" s="448">
        <v>396139.95</v>
      </c>
      <c r="M266" s="422">
        <f t="shared" si="12"/>
        <v>5660963.46</v>
      </c>
      <c r="N266" s="446">
        <v>68107.399999999994</v>
      </c>
      <c r="O266" s="446">
        <v>53955</v>
      </c>
      <c r="P266" s="446">
        <v>141278.04999999999</v>
      </c>
      <c r="Q266" s="446">
        <v>458.97</v>
      </c>
      <c r="R266" s="33">
        <v>231550.9</v>
      </c>
      <c r="S266" s="340"/>
      <c r="T266" s="446">
        <v>275.85000000000002</v>
      </c>
      <c r="U266" s="33">
        <v>2810</v>
      </c>
      <c r="V266" s="446"/>
      <c r="W266" s="33"/>
      <c r="X266" s="417">
        <v>10208.75</v>
      </c>
      <c r="Y266" s="328">
        <f t="shared" si="13"/>
        <v>6169608.3799999999</v>
      </c>
      <c r="Z266" s="33">
        <v>1071.5999999999999</v>
      </c>
      <c r="AA266" s="33"/>
      <c r="AB266" s="33">
        <v>116420.9</v>
      </c>
      <c r="AC266" s="33"/>
      <c r="AD266" s="33">
        <v>104209.95</v>
      </c>
      <c r="AE266" s="33"/>
      <c r="AF266" s="33"/>
      <c r="AG266" s="33"/>
      <c r="AH266" s="33">
        <v>1974.7</v>
      </c>
      <c r="AI266" s="33">
        <v>30567.4</v>
      </c>
      <c r="AJ266" s="33"/>
      <c r="AK266" s="33"/>
      <c r="AL266" s="33"/>
      <c r="AM266" s="328">
        <f t="shared" si="14"/>
        <v>254244.55000000002</v>
      </c>
      <c r="AN266" s="371">
        <v>66</v>
      </c>
      <c r="AO266" s="388">
        <v>1370</v>
      </c>
      <c r="AP266" s="33">
        <v>-37534.22</v>
      </c>
      <c r="AQ266" s="332"/>
      <c r="AR266" s="33">
        <v>-1357.23</v>
      </c>
      <c r="AS266" s="340">
        <v>1</v>
      </c>
      <c r="AT266" s="437"/>
      <c r="AU266" s="438"/>
      <c r="AV266" s="441"/>
      <c r="AW266" s="441"/>
      <c r="AX266" s="441"/>
      <c r="AY266" s="441"/>
      <c r="AZ266" s="441"/>
      <c r="BA266" s="441"/>
      <c r="BB266" s="441"/>
      <c r="BC266" s="441"/>
      <c r="BE266" s="383"/>
      <c r="BF266" s="383"/>
      <c r="BG266" s="383"/>
      <c r="BH266" s="383"/>
      <c r="BI266" s="383"/>
      <c r="BJ266" s="383"/>
      <c r="BK266" s="383"/>
      <c r="BL266" s="383"/>
      <c r="BM266" s="383"/>
      <c r="BN266" s="383"/>
      <c r="BO266" s="383"/>
    </row>
    <row r="267" spans="1:67" x14ac:dyDescent="0.25">
      <c r="A267" s="335">
        <v>5858</v>
      </c>
      <c r="B267" s="425" t="s">
        <v>23</v>
      </c>
      <c r="C267" s="446">
        <v>1945188.87</v>
      </c>
      <c r="D267" s="33">
        <v>435802.59</v>
      </c>
      <c r="E267" s="448"/>
      <c r="F267" s="452">
        <v>0</v>
      </c>
      <c r="G267" s="452">
        <v>13067.85</v>
      </c>
      <c r="H267" s="453">
        <v>1079.5999999999999</v>
      </c>
      <c r="I267" s="451">
        <v>312088.55</v>
      </c>
      <c r="J267" s="448">
        <v>-13723.39</v>
      </c>
      <c r="K267" s="453">
        <v>1024.6500000000001</v>
      </c>
      <c r="L267" s="448">
        <v>228461.95</v>
      </c>
      <c r="M267" s="422">
        <f t="shared" si="12"/>
        <v>2922990.67</v>
      </c>
      <c r="N267" s="446">
        <v>2969.1</v>
      </c>
      <c r="O267" s="446">
        <v>0</v>
      </c>
      <c r="P267" s="446">
        <v>18480</v>
      </c>
      <c r="Q267" s="446">
        <v>0</v>
      </c>
      <c r="R267" s="33">
        <v>29659.25</v>
      </c>
      <c r="S267" s="340"/>
      <c r="T267" s="446"/>
      <c r="U267" s="33">
        <v>3690</v>
      </c>
      <c r="V267" s="446"/>
      <c r="W267" s="33"/>
      <c r="X267" s="417">
        <v>2547.85</v>
      </c>
      <c r="Y267" s="328">
        <f t="shared" si="13"/>
        <v>2980336.87</v>
      </c>
      <c r="Z267" s="33"/>
      <c r="AA267" s="33">
        <v>424</v>
      </c>
      <c r="AB267" s="33">
        <v>85459.8</v>
      </c>
      <c r="AC267" s="33"/>
      <c r="AD267" s="33">
        <v>35407.949999999997</v>
      </c>
      <c r="AE267" s="33"/>
      <c r="AF267" s="33"/>
      <c r="AG267" s="33"/>
      <c r="AH267" s="33">
        <v>118.8</v>
      </c>
      <c r="AI267" s="33">
        <v>9509.7999999999993</v>
      </c>
      <c r="AJ267" s="33"/>
      <c r="AK267" s="33"/>
      <c r="AL267" s="33"/>
      <c r="AM267" s="328">
        <f t="shared" si="14"/>
        <v>130920.35</v>
      </c>
      <c r="AN267" s="371">
        <v>60</v>
      </c>
      <c r="AO267" s="388">
        <v>621</v>
      </c>
      <c r="AP267" s="33">
        <v>-42838.27</v>
      </c>
      <c r="AQ267" s="332"/>
      <c r="AR267" s="33">
        <v>-4617.59</v>
      </c>
      <c r="AS267" s="340">
        <v>1.5</v>
      </c>
      <c r="AT267" s="437"/>
      <c r="AU267" s="438"/>
      <c r="AV267" s="441"/>
      <c r="AW267" s="441"/>
      <c r="AX267" s="441"/>
      <c r="AY267" s="441"/>
      <c r="AZ267" s="441"/>
      <c r="BA267" s="441"/>
      <c r="BB267" s="441"/>
      <c r="BC267" s="441"/>
      <c r="BE267" s="383"/>
      <c r="BF267" s="383"/>
      <c r="BG267" s="383"/>
      <c r="BH267" s="383"/>
      <c r="BI267" s="383"/>
      <c r="BJ267" s="383"/>
      <c r="BK267" s="383"/>
      <c r="BL267" s="383"/>
      <c r="BM267" s="383"/>
      <c r="BN267" s="383"/>
      <c r="BO267" s="383"/>
    </row>
    <row r="268" spans="1:67" x14ac:dyDescent="0.25">
      <c r="A268" s="335">
        <v>5859</v>
      </c>
      <c r="B268" s="425" t="s">
        <v>24</v>
      </c>
      <c r="C268" s="446">
        <v>6248084.79</v>
      </c>
      <c r="D268" s="33">
        <v>1583138.43</v>
      </c>
      <c r="E268" s="448"/>
      <c r="F268" s="452">
        <v>0</v>
      </c>
      <c r="G268" s="452">
        <v>52235.3</v>
      </c>
      <c r="H268" s="453">
        <v>11384.45</v>
      </c>
      <c r="I268" s="451">
        <v>400938.75</v>
      </c>
      <c r="J268" s="448">
        <v>34697.019999999997</v>
      </c>
      <c r="K268" s="453">
        <v>-3507.85</v>
      </c>
      <c r="L268" s="448">
        <v>642245.4</v>
      </c>
      <c r="M268" s="422">
        <f t="shared" si="12"/>
        <v>8969216.2899999991</v>
      </c>
      <c r="N268" s="446">
        <v>89553.8</v>
      </c>
      <c r="O268" s="446">
        <v>340692.4</v>
      </c>
      <c r="P268" s="446">
        <v>528407.65</v>
      </c>
      <c r="Q268" s="446">
        <v>14401.12</v>
      </c>
      <c r="R268" s="33">
        <v>433466.6</v>
      </c>
      <c r="S268" s="340"/>
      <c r="T268" s="446"/>
      <c r="U268" s="33">
        <v>15750</v>
      </c>
      <c r="V268" s="446"/>
      <c r="W268" s="33"/>
      <c r="X268" s="417">
        <v>11353.65</v>
      </c>
      <c r="Y268" s="328">
        <f t="shared" si="13"/>
        <v>10402841.51</v>
      </c>
      <c r="Z268" s="33">
        <v>45093.1</v>
      </c>
      <c r="AA268" s="33"/>
      <c r="AB268" s="33">
        <v>343786.1</v>
      </c>
      <c r="AC268" s="33"/>
      <c r="AD268" s="33">
        <v>174049.45</v>
      </c>
      <c r="AE268" s="33"/>
      <c r="AF268" s="33"/>
      <c r="AG268" s="33"/>
      <c r="AH268" s="33"/>
      <c r="AI268" s="33"/>
      <c r="AJ268" s="33"/>
      <c r="AK268" s="33"/>
      <c r="AL268" s="33"/>
      <c r="AM268" s="328">
        <f t="shared" si="14"/>
        <v>562928.64999999991</v>
      </c>
      <c r="AN268" s="371">
        <v>65</v>
      </c>
      <c r="AO268" s="388">
        <v>2677</v>
      </c>
      <c r="AP268" s="33">
        <v>-112670.63</v>
      </c>
      <c r="AQ268" s="332"/>
      <c r="AR268" s="33">
        <v>-16120.36</v>
      </c>
      <c r="AS268" s="340">
        <v>1</v>
      </c>
      <c r="AT268" s="437"/>
      <c r="AU268" s="438"/>
      <c r="AV268" s="441"/>
      <c r="AW268" s="441"/>
      <c r="AX268" s="441"/>
      <c r="AY268" s="441"/>
      <c r="AZ268" s="441"/>
      <c r="BA268" s="441"/>
      <c r="BB268" s="441"/>
      <c r="BC268" s="441"/>
      <c r="BE268" s="383"/>
      <c r="BF268" s="383"/>
      <c r="BG268" s="383"/>
      <c r="BH268" s="383"/>
      <c r="BI268" s="383"/>
      <c r="BJ268" s="383"/>
      <c r="BK268" s="383"/>
      <c r="BL268" s="383"/>
      <c r="BM268" s="383"/>
      <c r="BN268" s="383"/>
      <c r="BO268" s="383"/>
    </row>
    <row r="269" spans="1:67" x14ac:dyDescent="0.25">
      <c r="A269" s="335">
        <v>5860</v>
      </c>
      <c r="B269" s="425" t="s">
        <v>25</v>
      </c>
      <c r="C269" s="446">
        <v>4165759.77</v>
      </c>
      <c r="D269" s="33">
        <v>960197.33</v>
      </c>
      <c r="E269" s="448"/>
      <c r="F269" s="452">
        <v>0</v>
      </c>
      <c r="G269" s="452">
        <v>78701.2</v>
      </c>
      <c r="H269" s="453">
        <v>10716.15</v>
      </c>
      <c r="I269" s="451">
        <v>338946</v>
      </c>
      <c r="J269" s="448">
        <v>156201.74</v>
      </c>
      <c r="K269" s="453">
        <v>21132.799999999999</v>
      </c>
      <c r="L269" s="448">
        <v>655399.4</v>
      </c>
      <c r="M269" s="422">
        <f t="shared" si="12"/>
        <v>6387054.3900000006</v>
      </c>
      <c r="N269" s="446">
        <v>29086.45</v>
      </c>
      <c r="O269" s="446">
        <v>49472.3</v>
      </c>
      <c r="P269" s="446">
        <v>364170.75</v>
      </c>
      <c r="Q269" s="446">
        <v>640.59</v>
      </c>
      <c r="R269" s="33">
        <v>52651.75</v>
      </c>
      <c r="S269" s="340"/>
      <c r="T269" s="446"/>
      <c r="U269" s="33">
        <v>8440</v>
      </c>
      <c r="V269" s="446"/>
      <c r="W269" s="33"/>
      <c r="X269" s="417">
        <v>8120.65</v>
      </c>
      <c r="Y269" s="328">
        <f t="shared" si="13"/>
        <v>6899636.8800000008</v>
      </c>
      <c r="Z269" s="33">
        <v>50003.3</v>
      </c>
      <c r="AA269" s="33"/>
      <c r="AB269" s="33">
        <v>248344</v>
      </c>
      <c r="AC269" s="33"/>
      <c r="AD269" s="33">
        <v>119523.5</v>
      </c>
      <c r="AE269" s="33"/>
      <c r="AF269" s="33"/>
      <c r="AG269" s="33"/>
      <c r="AH269" s="33">
        <v>17102.5</v>
      </c>
      <c r="AI269" s="33"/>
      <c r="AJ269" s="33"/>
      <c r="AK269" s="33"/>
      <c r="AL269" s="33"/>
      <c r="AM269" s="328">
        <f t="shared" si="14"/>
        <v>434973.3</v>
      </c>
      <c r="AN269" s="371">
        <v>60</v>
      </c>
      <c r="AO269" s="388">
        <v>1497</v>
      </c>
      <c r="AP269" s="33">
        <v>-73842.09</v>
      </c>
      <c r="AQ269" s="332"/>
      <c r="AR269" s="33">
        <v>-15722.58</v>
      </c>
      <c r="AS269" s="340">
        <v>1.3</v>
      </c>
      <c r="AT269" s="437"/>
      <c r="AU269" s="438"/>
      <c r="AV269" s="441"/>
      <c r="AW269" s="441"/>
      <c r="AX269" s="441"/>
      <c r="AY269" s="441"/>
      <c r="AZ269" s="441"/>
      <c r="BA269" s="441"/>
      <c r="BB269" s="441"/>
      <c r="BC269" s="441"/>
      <c r="BE269" s="383"/>
      <c r="BF269" s="383"/>
      <c r="BG269" s="383"/>
      <c r="BH269" s="383"/>
      <c r="BI269" s="383"/>
      <c r="BJ269" s="383"/>
      <c r="BK269" s="383"/>
      <c r="BL269" s="383"/>
      <c r="BM269" s="383"/>
      <c r="BN269" s="383"/>
      <c r="BO269" s="383"/>
    </row>
    <row r="270" spans="1:67" x14ac:dyDescent="0.25">
      <c r="A270" s="335">
        <v>5861</v>
      </c>
      <c r="B270" s="425" t="s">
        <v>26</v>
      </c>
      <c r="C270" s="446">
        <v>13309442.83</v>
      </c>
      <c r="D270" s="33">
        <v>2545024.19</v>
      </c>
      <c r="E270" s="448"/>
      <c r="F270" s="452">
        <v>0</v>
      </c>
      <c r="G270" s="452">
        <v>22364197.199999999</v>
      </c>
      <c r="H270" s="453">
        <v>-420689.2</v>
      </c>
      <c r="I270" s="451">
        <v>814847.83</v>
      </c>
      <c r="J270" s="448">
        <v>1420528.04</v>
      </c>
      <c r="K270" s="453">
        <v>284336.55</v>
      </c>
      <c r="L270" s="448">
        <v>1789083.05</v>
      </c>
      <c r="M270" s="422">
        <f t="shared" si="12"/>
        <v>42106770.489999987</v>
      </c>
      <c r="N270" s="446">
        <v>598198.19999999995</v>
      </c>
      <c r="O270" s="446">
        <v>380747.1</v>
      </c>
      <c r="P270" s="446">
        <v>1909515.8</v>
      </c>
      <c r="Q270" s="446">
        <v>65459.81</v>
      </c>
      <c r="R270" s="33">
        <v>328718.3</v>
      </c>
      <c r="S270" s="340"/>
      <c r="T270" s="446"/>
      <c r="U270" s="33">
        <v>20625</v>
      </c>
      <c r="V270" s="446"/>
      <c r="W270" s="33"/>
      <c r="X270" s="417">
        <v>3472745.7</v>
      </c>
      <c r="Y270" s="328">
        <f t="shared" si="13"/>
        <v>48882780.399999991</v>
      </c>
      <c r="Z270" s="33">
        <v>105497.25</v>
      </c>
      <c r="AA270" s="33">
        <v>802955.85</v>
      </c>
      <c r="AB270" s="33">
        <v>1487289.7</v>
      </c>
      <c r="AC270" s="33"/>
      <c r="AD270" s="33">
        <v>464731</v>
      </c>
      <c r="AE270" s="33"/>
      <c r="AF270" s="33"/>
      <c r="AG270" s="33"/>
      <c r="AH270" s="33">
        <v>110526.2</v>
      </c>
      <c r="AI270" s="33">
        <v>311278.45</v>
      </c>
      <c r="AJ270" s="33"/>
      <c r="AK270" s="33"/>
      <c r="AL270" s="33"/>
      <c r="AM270" s="328">
        <f t="shared" si="14"/>
        <v>3282278.45</v>
      </c>
      <c r="AN270" s="371">
        <v>59.5</v>
      </c>
      <c r="AO270" s="388">
        <v>6245</v>
      </c>
      <c r="AP270" s="33">
        <v>-249778.26</v>
      </c>
      <c r="AQ270" s="332"/>
      <c r="AR270" s="33">
        <v>-29710.37</v>
      </c>
      <c r="AS270" s="340">
        <v>1</v>
      </c>
      <c r="AT270" s="437"/>
      <c r="AU270" s="438"/>
      <c r="AV270" s="441"/>
      <c r="AW270" s="441"/>
      <c r="AX270" s="441"/>
      <c r="AY270" s="441"/>
      <c r="AZ270" s="441"/>
      <c r="BA270" s="441"/>
      <c r="BB270" s="441"/>
      <c r="BC270" s="441"/>
      <c r="BE270" s="383"/>
      <c r="BF270" s="383"/>
      <c r="BG270" s="383"/>
      <c r="BH270" s="383"/>
      <c r="BI270" s="383"/>
      <c r="BJ270" s="383"/>
      <c r="BK270" s="383"/>
      <c r="BL270" s="383"/>
      <c r="BM270" s="383"/>
      <c r="BN270" s="383"/>
      <c r="BO270" s="383"/>
    </row>
    <row r="271" spans="1:67" x14ac:dyDescent="0.25">
      <c r="A271" s="335">
        <v>5862</v>
      </c>
      <c r="B271" s="425" t="s">
        <v>27</v>
      </c>
      <c r="C271" s="446">
        <v>740367.43</v>
      </c>
      <c r="D271" s="33">
        <v>87975.28</v>
      </c>
      <c r="E271" s="448"/>
      <c r="F271" s="452">
        <v>0</v>
      </c>
      <c r="G271" s="452">
        <v>5854.1</v>
      </c>
      <c r="H271" s="453">
        <v>128.94999999999999</v>
      </c>
      <c r="I271" s="451">
        <v>0</v>
      </c>
      <c r="J271" s="448">
        <v>14597.16</v>
      </c>
      <c r="K271" s="453">
        <v>0</v>
      </c>
      <c r="L271" s="448">
        <v>49637.7</v>
      </c>
      <c r="M271" s="422">
        <f t="shared" si="12"/>
        <v>898560.62</v>
      </c>
      <c r="N271" s="446">
        <v>4147.8</v>
      </c>
      <c r="O271" s="446">
        <v>0</v>
      </c>
      <c r="P271" s="446">
        <v>0</v>
      </c>
      <c r="Q271" s="446">
        <v>0</v>
      </c>
      <c r="R271" s="33">
        <v>3733.3</v>
      </c>
      <c r="S271" s="340"/>
      <c r="T271" s="446"/>
      <c r="U271" s="33">
        <v>1025</v>
      </c>
      <c r="V271" s="446"/>
      <c r="W271" s="33"/>
      <c r="X271" s="417">
        <v>1016</v>
      </c>
      <c r="Y271" s="328">
        <f t="shared" si="13"/>
        <v>908482.72000000009</v>
      </c>
      <c r="Z271" s="33"/>
      <c r="AA271" s="33"/>
      <c r="AB271" s="33">
        <v>47997.3</v>
      </c>
      <c r="AC271" s="33"/>
      <c r="AD271" s="33">
        <v>21872.45</v>
      </c>
      <c r="AE271" s="33"/>
      <c r="AF271" s="33"/>
      <c r="AG271" s="33"/>
      <c r="AH271" s="33"/>
      <c r="AI271" s="33"/>
      <c r="AJ271" s="33"/>
      <c r="AK271" s="33"/>
      <c r="AL271" s="33"/>
      <c r="AM271" s="328">
        <f t="shared" si="14"/>
        <v>69869.75</v>
      </c>
      <c r="AN271" s="371">
        <v>81</v>
      </c>
      <c r="AO271" s="388">
        <v>233</v>
      </c>
      <c r="AP271" s="33">
        <v>-12090.29</v>
      </c>
      <c r="AQ271" s="332"/>
      <c r="AR271" s="33">
        <v>-56.96</v>
      </c>
      <c r="AS271" s="340">
        <v>1</v>
      </c>
      <c r="AT271" s="437"/>
      <c r="AU271" s="438"/>
      <c r="AV271" s="441"/>
      <c r="AW271" s="441"/>
      <c r="AX271" s="441"/>
      <c r="AY271" s="441"/>
      <c r="AZ271" s="441"/>
      <c r="BA271" s="441"/>
      <c r="BB271" s="441"/>
      <c r="BC271" s="441"/>
      <c r="BE271" s="383"/>
      <c r="BF271" s="383"/>
      <c r="BG271" s="383"/>
      <c r="BH271" s="383"/>
      <c r="BI271" s="383"/>
      <c r="BJ271" s="383"/>
      <c r="BK271" s="383"/>
      <c r="BL271" s="383"/>
      <c r="BM271" s="383"/>
      <c r="BN271" s="383"/>
      <c r="BO271" s="383"/>
    </row>
    <row r="272" spans="1:67" x14ac:dyDescent="0.25">
      <c r="A272" s="335">
        <v>5863</v>
      </c>
      <c r="B272" s="425" t="s">
        <v>28</v>
      </c>
      <c r="C272" s="446">
        <v>876150.37</v>
      </c>
      <c r="D272" s="33">
        <v>230138.82</v>
      </c>
      <c r="E272" s="448"/>
      <c r="F272" s="452">
        <v>0</v>
      </c>
      <c r="G272" s="452">
        <v>10493.1</v>
      </c>
      <c r="H272" s="453">
        <v>5331.9</v>
      </c>
      <c r="I272" s="451">
        <v>42873.3</v>
      </c>
      <c r="J272" s="448">
        <v>24348.21</v>
      </c>
      <c r="K272" s="453">
        <v>2004.9</v>
      </c>
      <c r="L272" s="448">
        <v>81667</v>
      </c>
      <c r="M272" s="422">
        <f t="shared" si="12"/>
        <v>1273007.5999999999</v>
      </c>
      <c r="N272" s="446">
        <v>16833.150000000001</v>
      </c>
      <c r="O272" s="446">
        <v>0</v>
      </c>
      <c r="P272" s="446">
        <v>88043.7</v>
      </c>
      <c r="Q272" s="446">
        <v>0</v>
      </c>
      <c r="R272" s="33">
        <v>0</v>
      </c>
      <c r="S272" s="340">
        <v>375</v>
      </c>
      <c r="T272" s="446"/>
      <c r="U272" s="33">
        <v>1600</v>
      </c>
      <c r="V272" s="446"/>
      <c r="W272" s="33"/>
      <c r="X272" s="417">
        <v>4181.1000000000004</v>
      </c>
      <c r="Y272" s="328">
        <f t="shared" si="13"/>
        <v>1384040.5499999998</v>
      </c>
      <c r="Z272" s="33"/>
      <c r="AA272" s="33"/>
      <c r="AB272" s="33">
        <v>14456.4</v>
      </c>
      <c r="AC272" s="33"/>
      <c r="AD272" s="33">
        <v>20614.05</v>
      </c>
      <c r="AE272" s="33"/>
      <c r="AF272" s="33"/>
      <c r="AG272" s="33"/>
      <c r="AH272" s="33">
        <v>3259</v>
      </c>
      <c r="AI272" s="33">
        <v>11692.8</v>
      </c>
      <c r="AJ272" s="33"/>
      <c r="AK272" s="33"/>
      <c r="AL272" s="33"/>
      <c r="AM272" s="328">
        <f t="shared" si="14"/>
        <v>50022.25</v>
      </c>
      <c r="AN272" s="371">
        <v>67</v>
      </c>
      <c r="AO272" s="388">
        <v>355</v>
      </c>
      <c r="AP272" s="33">
        <v>-77110.460000000006</v>
      </c>
      <c r="AQ272" s="332"/>
      <c r="AR272" s="33">
        <v>-1754.25</v>
      </c>
      <c r="AS272" s="340">
        <v>1</v>
      </c>
      <c r="AT272" s="437"/>
      <c r="AU272" s="438"/>
      <c r="AV272" s="441"/>
      <c r="AW272" s="441"/>
      <c r="AX272" s="441"/>
      <c r="AY272" s="441"/>
      <c r="AZ272" s="441"/>
      <c r="BA272" s="441"/>
      <c r="BB272" s="441"/>
      <c r="BC272" s="441"/>
      <c r="BE272" s="383"/>
      <c r="BF272" s="383"/>
      <c r="BG272" s="383"/>
      <c r="BH272" s="383"/>
      <c r="BI272" s="383"/>
      <c r="BJ272" s="383"/>
      <c r="BK272" s="383"/>
      <c r="BL272" s="383"/>
      <c r="BM272" s="383"/>
      <c r="BN272" s="383"/>
      <c r="BO272" s="383"/>
    </row>
    <row r="273" spans="1:67" s="383" customFormat="1" x14ac:dyDescent="0.25">
      <c r="A273" s="335">
        <v>5871</v>
      </c>
      <c r="B273" s="425" t="s">
        <v>29</v>
      </c>
      <c r="C273" s="33">
        <v>2698241.17</v>
      </c>
      <c r="D273" s="33">
        <v>468107.83999999997</v>
      </c>
      <c r="E273" s="448"/>
      <c r="F273" s="452"/>
      <c r="G273" s="453">
        <v>122037.55000000002</v>
      </c>
      <c r="H273" s="453">
        <v>8525.85</v>
      </c>
      <c r="I273" s="451">
        <v>0</v>
      </c>
      <c r="J273" s="448">
        <v>40007.78</v>
      </c>
      <c r="K273" s="453">
        <v>3864.65</v>
      </c>
      <c r="L273" s="448">
        <v>259973.59999999998</v>
      </c>
      <c r="M273" s="422">
        <f t="shared" si="12"/>
        <v>3600758.4399999995</v>
      </c>
      <c r="N273" s="446">
        <v>654987.30000000005</v>
      </c>
      <c r="O273" s="446">
        <v>65504.1</v>
      </c>
      <c r="P273" s="446">
        <v>124027.95</v>
      </c>
      <c r="Q273" s="446">
        <v>445.17</v>
      </c>
      <c r="R273" s="33">
        <v>77452.399999999994</v>
      </c>
      <c r="S273" s="340"/>
      <c r="T273" s="446"/>
      <c r="U273" s="33">
        <v>10550</v>
      </c>
      <c r="V273" s="446"/>
      <c r="W273" s="33"/>
      <c r="X273" s="417">
        <v>44340.15</v>
      </c>
      <c r="Y273" s="328">
        <f t="shared" si="13"/>
        <v>4578065.51</v>
      </c>
      <c r="Z273" s="33">
        <v>5809.5500000000011</v>
      </c>
      <c r="AA273" s="33">
        <v>11149.9</v>
      </c>
      <c r="AB273" s="33">
        <v>301349.2</v>
      </c>
      <c r="AC273" s="33"/>
      <c r="AD273" s="33">
        <v>147056.70000000001</v>
      </c>
      <c r="AE273" s="33"/>
      <c r="AF273" s="33"/>
      <c r="AG273" s="33"/>
      <c r="AH273" s="33">
        <v>73356.679999999993</v>
      </c>
      <c r="AI273" s="33"/>
      <c r="AJ273" s="33"/>
      <c r="AK273" s="33"/>
      <c r="AL273" s="33"/>
      <c r="AM273" s="328">
        <f t="shared" si="14"/>
        <v>538722.03</v>
      </c>
      <c r="AN273" s="491">
        <v>77.599999999999994</v>
      </c>
      <c r="AO273" s="388">
        <v>1481</v>
      </c>
      <c r="AP273" s="33">
        <v>-16403.990000000002</v>
      </c>
      <c r="AQ273" s="332"/>
      <c r="AR273" s="33">
        <v>-321.19</v>
      </c>
      <c r="AS273" s="340">
        <v>1</v>
      </c>
      <c r="AT273" s="437"/>
      <c r="AU273" s="438"/>
      <c r="AV273" s="441"/>
      <c r="AW273" s="441"/>
      <c r="AX273" s="441"/>
      <c r="AY273" s="441"/>
      <c r="AZ273" s="441"/>
      <c r="BA273" s="441"/>
      <c r="BB273" s="441"/>
      <c r="BC273" s="441"/>
    </row>
    <row r="274" spans="1:67" x14ac:dyDescent="0.25">
      <c r="A274" s="335">
        <v>5872</v>
      </c>
      <c r="B274" s="425" t="s">
        <v>204</v>
      </c>
      <c r="C274" s="446">
        <v>7209821.0899999999</v>
      </c>
      <c r="D274" s="33">
        <v>1047644.68</v>
      </c>
      <c r="E274" s="448"/>
      <c r="F274" s="452"/>
      <c r="G274" s="452">
        <v>6835177.5</v>
      </c>
      <c r="H274" s="453">
        <v>395184.5</v>
      </c>
      <c r="I274" s="451">
        <v>0</v>
      </c>
      <c r="J274" s="448">
        <v>351851.14</v>
      </c>
      <c r="K274" s="453">
        <v>38880.699999999997</v>
      </c>
      <c r="L274" s="448">
        <v>728194.4</v>
      </c>
      <c r="M274" s="422">
        <f t="shared" si="12"/>
        <v>16606754.01</v>
      </c>
      <c r="N274" s="446">
        <v>7378758.0999999996</v>
      </c>
      <c r="O274" s="446">
        <v>325830.40000000002</v>
      </c>
      <c r="P274" s="446">
        <v>258409.65</v>
      </c>
      <c r="Q274" s="446">
        <v>10048.540000000001</v>
      </c>
      <c r="R274" s="33">
        <v>324606.09999999998</v>
      </c>
      <c r="S274" s="340"/>
      <c r="T274" s="446">
        <v>3290</v>
      </c>
      <c r="U274" s="33">
        <v>31200</v>
      </c>
      <c r="V274" s="446"/>
      <c r="W274" s="33"/>
      <c r="X274" s="417">
        <v>1964717.75</v>
      </c>
      <c r="Y274" s="328">
        <f t="shared" si="13"/>
        <v>26903614.549999997</v>
      </c>
      <c r="Z274" s="33">
        <v>94217.5</v>
      </c>
      <c r="AA274" s="33">
        <v>47108.75</v>
      </c>
      <c r="AB274" s="33">
        <v>948252.15</v>
      </c>
      <c r="AC274" s="33"/>
      <c r="AD274" s="33">
        <v>417752.75</v>
      </c>
      <c r="AE274" s="33">
        <v>62811.67</v>
      </c>
      <c r="AF274" s="33">
        <v>31405.83</v>
      </c>
      <c r="AG274" s="33"/>
      <c r="AH274" s="33">
        <v>111070.27</v>
      </c>
      <c r="AI274" s="33"/>
      <c r="AJ274" s="33"/>
      <c r="AK274" s="33"/>
      <c r="AL274" s="33"/>
      <c r="AM274" s="328">
        <f t="shared" si="14"/>
        <v>1712618.92</v>
      </c>
      <c r="AN274" s="371">
        <v>68.39</v>
      </c>
      <c r="AO274" s="388">
        <v>4657</v>
      </c>
      <c r="AP274" s="33">
        <v>-170148.98</v>
      </c>
      <c r="AQ274" s="332"/>
      <c r="AR274" s="33">
        <v>-5655.62</v>
      </c>
      <c r="AS274" s="340">
        <v>1</v>
      </c>
      <c r="AT274" s="437"/>
      <c r="AU274" s="438"/>
      <c r="AV274" s="441"/>
      <c r="AW274" s="441"/>
      <c r="AX274" s="441"/>
      <c r="AY274" s="441"/>
      <c r="AZ274" s="441"/>
      <c r="BA274" s="441"/>
      <c r="BB274" s="441"/>
      <c r="BC274" s="441"/>
      <c r="BE274" s="383"/>
      <c r="BF274" s="383"/>
      <c r="BG274" s="383"/>
      <c r="BH274" s="383"/>
      <c r="BI274" s="383"/>
      <c r="BJ274" s="383"/>
      <c r="BK274" s="383"/>
      <c r="BL274" s="383"/>
      <c r="BM274" s="383"/>
      <c r="BN274" s="383"/>
      <c r="BO274" s="383"/>
    </row>
    <row r="275" spans="1:67" x14ac:dyDescent="0.25">
      <c r="A275" s="335">
        <v>5873</v>
      </c>
      <c r="B275" s="425" t="s">
        <v>205</v>
      </c>
      <c r="C275" s="446">
        <v>1464482.71</v>
      </c>
      <c r="D275" s="33">
        <v>239025.07</v>
      </c>
      <c r="E275" s="448"/>
      <c r="F275" s="452">
        <v>0</v>
      </c>
      <c r="G275" s="452">
        <v>99111.2</v>
      </c>
      <c r="H275" s="453">
        <v>11043.9</v>
      </c>
      <c r="I275" s="451">
        <v>0</v>
      </c>
      <c r="J275" s="448">
        <v>37307.85</v>
      </c>
      <c r="K275" s="453">
        <v>0</v>
      </c>
      <c r="L275" s="448">
        <v>84816.5</v>
      </c>
      <c r="M275" s="422">
        <f t="shared" si="12"/>
        <v>1935787.23</v>
      </c>
      <c r="N275" s="446">
        <v>811975.45</v>
      </c>
      <c r="O275" s="446">
        <v>0</v>
      </c>
      <c r="P275" s="446">
        <v>39988.65</v>
      </c>
      <c r="Q275" s="446">
        <v>12230.35</v>
      </c>
      <c r="R275" s="33">
        <v>41358.9</v>
      </c>
      <c r="S275" s="340">
        <v>1154.75</v>
      </c>
      <c r="T275" s="446"/>
      <c r="U275" s="33">
        <v>6950</v>
      </c>
      <c r="V275" s="446"/>
      <c r="W275" s="33"/>
      <c r="X275" s="417">
        <v>45655.9</v>
      </c>
      <c r="Y275" s="328">
        <f t="shared" si="13"/>
        <v>2895101.2299999995</v>
      </c>
      <c r="Z275" s="33">
        <v>7800</v>
      </c>
      <c r="AA275" s="33"/>
      <c r="AB275" s="33">
        <v>221054.85</v>
      </c>
      <c r="AC275" s="33"/>
      <c r="AD275" s="33">
        <v>87830.8</v>
      </c>
      <c r="AE275" s="33">
        <v>38020</v>
      </c>
      <c r="AF275" s="33"/>
      <c r="AG275" s="33"/>
      <c r="AH275" s="33">
        <v>24069.3</v>
      </c>
      <c r="AI275" s="33"/>
      <c r="AJ275" s="33"/>
      <c r="AK275" s="33"/>
      <c r="AL275" s="33"/>
      <c r="AM275" s="328">
        <f t="shared" si="14"/>
        <v>378774.95</v>
      </c>
      <c r="AN275" s="371">
        <v>70</v>
      </c>
      <c r="AO275" s="388">
        <v>900</v>
      </c>
      <c r="AP275" s="33">
        <v>-22500.99</v>
      </c>
      <c r="AQ275" s="332"/>
      <c r="AR275" s="33">
        <v>-111.33</v>
      </c>
      <c r="AS275" s="340">
        <v>0.6</v>
      </c>
      <c r="AT275" s="437"/>
      <c r="AU275" s="438"/>
      <c r="AV275" s="441"/>
      <c r="AW275" s="441"/>
      <c r="AX275" s="441"/>
      <c r="AY275" s="441"/>
      <c r="AZ275" s="441"/>
      <c r="BA275" s="441"/>
      <c r="BB275" s="441"/>
      <c r="BC275" s="441"/>
      <c r="BE275" s="383"/>
      <c r="BF275" s="383"/>
      <c r="BG275" s="383"/>
      <c r="BH275" s="383"/>
      <c r="BI275" s="383"/>
      <c r="BJ275" s="383"/>
      <c r="BK275" s="383"/>
      <c r="BL275" s="383"/>
      <c r="BM275" s="383"/>
      <c r="BN275" s="383"/>
      <c r="BO275" s="383"/>
    </row>
    <row r="276" spans="1:67" x14ac:dyDescent="0.25">
      <c r="A276" s="335">
        <v>5881</v>
      </c>
      <c r="B276" s="425" t="s">
        <v>206</v>
      </c>
      <c r="C276" s="446">
        <v>18749753.210000001</v>
      </c>
      <c r="D276" s="33">
        <v>3369295.39</v>
      </c>
      <c r="E276" s="448"/>
      <c r="F276" s="452">
        <v>0</v>
      </c>
      <c r="G276" s="452">
        <v>114418.65</v>
      </c>
      <c r="H276" s="453">
        <v>17478</v>
      </c>
      <c r="I276" s="451">
        <v>924683.62</v>
      </c>
      <c r="J276" s="448">
        <v>56787.64</v>
      </c>
      <c r="K276" s="453">
        <v>48743.65</v>
      </c>
      <c r="L276" s="448">
        <v>1674622</v>
      </c>
      <c r="M276" s="422">
        <f t="shared" si="12"/>
        <v>24955782.16</v>
      </c>
      <c r="N276" s="446">
        <v>152382.95000000001</v>
      </c>
      <c r="O276" s="446">
        <v>498862.9</v>
      </c>
      <c r="P276" s="446">
        <v>1103773.3</v>
      </c>
      <c r="Q276" s="446">
        <v>64085.760000000002</v>
      </c>
      <c r="R276" s="33">
        <v>988588.4</v>
      </c>
      <c r="S276" s="340"/>
      <c r="T276" s="446"/>
      <c r="U276" s="33">
        <v>41700</v>
      </c>
      <c r="V276" s="446"/>
      <c r="W276" s="33"/>
      <c r="X276" s="417">
        <v>73225.5</v>
      </c>
      <c r="Y276" s="328">
        <f t="shared" si="13"/>
        <v>27878400.969999999</v>
      </c>
      <c r="Z276" s="33">
        <v>386878</v>
      </c>
      <c r="AA276" s="33"/>
      <c r="AB276" s="33">
        <v>455389</v>
      </c>
      <c r="AC276" s="33"/>
      <c r="AD276" s="33">
        <v>699182.9</v>
      </c>
      <c r="AE276" s="33">
        <v>320409</v>
      </c>
      <c r="AF276" s="33"/>
      <c r="AG276" s="33"/>
      <c r="AH276" s="33"/>
      <c r="AI276" s="33"/>
      <c r="AJ276" s="33"/>
      <c r="AK276" s="33"/>
      <c r="AL276" s="33"/>
      <c r="AM276" s="328">
        <f t="shared" si="14"/>
        <v>1861858.9</v>
      </c>
      <c r="AN276" s="371">
        <v>70</v>
      </c>
      <c r="AO276" s="388">
        <v>6151</v>
      </c>
      <c r="AP276" s="33">
        <v>-123266.91</v>
      </c>
      <c r="AQ276" s="332"/>
      <c r="AR276" s="33">
        <v>-56915.75</v>
      </c>
      <c r="AS276" s="340">
        <v>1</v>
      </c>
      <c r="AT276" s="437"/>
      <c r="AU276" s="438"/>
      <c r="AV276" s="462"/>
      <c r="AW276" s="441"/>
      <c r="AX276" s="441"/>
      <c r="AY276" s="441"/>
      <c r="AZ276" s="441"/>
      <c r="BA276" s="441"/>
      <c r="BB276" s="441"/>
      <c r="BC276" s="441"/>
      <c r="BE276" s="383"/>
      <c r="BF276" s="383"/>
      <c r="BG276" s="383"/>
      <c r="BH276" s="383"/>
      <c r="BI276" s="383"/>
      <c r="BJ276" s="383"/>
      <c r="BK276" s="383"/>
      <c r="BL276" s="383"/>
      <c r="BM276" s="383"/>
      <c r="BN276" s="383"/>
      <c r="BO276" s="383"/>
    </row>
    <row r="277" spans="1:67" x14ac:dyDescent="0.25">
      <c r="A277" s="335">
        <v>5882</v>
      </c>
      <c r="B277" s="425" t="s">
        <v>207</v>
      </c>
      <c r="C277" s="446">
        <v>8561970.7400000002</v>
      </c>
      <c r="D277" s="33">
        <v>1954754.95</v>
      </c>
      <c r="E277" s="448"/>
      <c r="F277" s="452">
        <v>0</v>
      </c>
      <c r="G277" s="452">
        <v>179101.6</v>
      </c>
      <c r="H277" s="453">
        <v>17062.75</v>
      </c>
      <c r="I277" s="451">
        <v>614230.69999999995</v>
      </c>
      <c r="J277" s="448">
        <v>216635.78</v>
      </c>
      <c r="K277" s="453">
        <v>97377.85</v>
      </c>
      <c r="L277" s="448">
        <v>974587.82</v>
      </c>
      <c r="M277" s="422">
        <f t="shared" si="12"/>
        <v>12615722.189999998</v>
      </c>
      <c r="N277" s="446">
        <v>12885.05</v>
      </c>
      <c r="O277" s="446">
        <v>1376729.5</v>
      </c>
      <c r="P277" s="446">
        <v>528615.75</v>
      </c>
      <c r="Q277" s="446">
        <v>39342.26</v>
      </c>
      <c r="R277" s="33">
        <v>425357.8</v>
      </c>
      <c r="S277" s="340"/>
      <c r="T277" s="446"/>
      <c r="U277" s="33">
        <v>16480</v>
      </c>
      <c r="V277" s="446"/>
      <c r="W277" s="33"/>
      <c r="X277" s="417">
        <v>26337.55</v>
      </c>
      <c r="Y277" s="328">
        <f t="shared" si="13"/>
        <v>15041470.1</v>
      </c>
      <c r="Z277" s="33">
        <v>195386.55</v>
      </c>
      <c r="AA277" s="33"/>
      <c r="AB277" s="33">
        <v>341533.27</v>
      </c>
      <c r="AC277" s="33"/>
      <c r="AD277" s="33">
        <v>290815.13</v>
      </c>
      <c r="AE277" s="33"/>
      <c r="AF277" s="33"/>
      <c r="AG277" s="33"/>
      <c r="AH277" s="33"/>
      <c r="AI277" s="33"/>
      <c r="AJ277" s="33"/>
      <c r="AK277" s="33"/>
      <c r="AL277" s="33"/>
      <c r="AM277" s="328">
        <f t="shared" si="14"/>
        <v>827734.95000000007</v>
      </c>
      <c r="AN277" s="371">
        <v>68</v>
      </c>
      <c r="AO277" s="388">
        <v>3032</v>
      </c>
      <c r="AP277" s="33">
        <v>-142700.22</v>
      </c>
      <c r="AQ277" s="332"/>
      <c r="AR277" s="33">
        <v>-21074.02</v>
      </c>
      <c r="AS277" s="340">
        <v>1</v>
      </c>
      <c r="AT277" s="437"/>
      <c r="AU277" s="438"/>
      <c r="AV277" s="441"/>
      <c r="AW277" s="441"/>
      <c r="AX277" s="441"/>
      <c r="AY277" s="441"/>
      <c r="AZ277" s="441"/>
      <c r="BA277" s="441"/>
      <c r="BB277" s="441"/>
      <c r="BC277" s="441"/>
      <c r="BE277" s="383"/>
      <c r="BF277" s="383"/>
      <c r="BG277" s="383"/>
      <c r="BH277" s="383"/>
      <c r="BI277" s="383"/>
      <c r="BJ277" s="383"/>
      <c r="BK277" s="383"/>
      <c r="BL277" s="383"/>
      <c r="BM277" s="383"/>
      <c r="BN277" s="383"/>
      <c r="BO277" s="383"/>
    </row>
    <row r="278" spans="1:67" x14ac:dyDescent="0.25">
      <c r="A278" s="335">
        <v>5883</v>
      </c>
      <c r="B278" s="425" t="s">
        <v>208</v>
      </c>
      <c r="C278" s="446">
        <v>8145592.4500000002</v>
      </c>
      <c r="D278" s="33">
        <v>1920029.59</v>
      </c>
      <c r="E278" s="448"/>
      <c r="F278" s="452">
        <v>0</v>
      </c>
      <c r="G278" s="452">
        <v>162239.45000000001</v>
      </c>
      <c r="H278" s="453">
        <v>25942.5</v>
      </c>
      <c r="I278" s="451">
        <v>254076.2</v>
      </c>
      <c r="J278" s="448">
        <v>180520.74</v>
      </c>
      <c r="K278" s="453">
        <v>5591.05</v>
      </c>
      <c r="L278" s="448">
        <v>670114.35</v>
      </c>
      <c r="M278" s="422">
        <f t="shared" si="12"/>
        <v>11364106.33</v>
      </c>
      <c r="N278" s="446">
        <v>2957.75</v>
      </c>
      <c r="O278" s="446">
        <v>85276.800000000003</v>
      </c>
      <c r="P278" s="446">
        <v>281920.05</v>
      </c>
      <c r="Q278" s="446">
        <v>21638.560000000001</v>
      </c>
      <c r="R278" s="33">
        <v>313200.34999999998</v>
      </c>
      <c r="S278" s="340"/>
      <c r="T278" s="446"/>
      <c r="U278" s="33">
        <v>6150</v>
      </c>
      <c r="V278" s="446"/>
      <c r="W278" s="33"/>
      <c r="X278" s="417">
        <v>31282.2</v>
      </c>
      <c r="Y278" s="328">
        <f t="shared" si="13"/>
        <v>12106532.040000001</v>
      </c>
      <c r="Z278" s="33"/>
      <c r="AA278" s="33"/>
      <c r="AB278" s="33">
        <v>155122.96</v>
      </c>
      <c r="AC278" s="33"/>
      <c r="AD278" s="33">
        <v>318133.32</v>
      </c>
      <c r="AE278" s="33"/>
      <c r="AF278" s="33"/>
      <c r="AG278" s="33"/>
      <c r="AH278" s="33"/>
      <c r="AI278" s="33"/>
      <c r="AJ278" s="33"/>
      <c r="AK278" s="33"/>
      <c r="AL278" s="33"/>
      <c r="AM278" s="328">
        <f t="shared" si="14"/>
        <v>473256.28</v>
      </c>
      <c r="AN278" s="371">
        <v>69</v>
      </c>
      <c r="AO278" s="388">
        <v>2287</v>
      </c>
      <c r="AP278" s="33">
        <v>-45401.71</v>
      </c>
      <c r="AQ278" s="332"/>
      <c r="AR278" s="33">
        <v>-17264.27</v>
      </c>
      <c r="AS278" s="340">
        <v>1</v>
      </c>
      <c r="AT278" s="437"/>
      <c r="AU278" s="438"/>
      <c r="AV278" s="441"/>
      <c r="AW278" s="441"/>
      <c r="AX278" s="441"/>
      <c r="AY278" s="441"/>
      <c r="AZ278" s="441"/>
      <c r="BA278" s="441"/>
      <c r="BB278" s="441"/>
      <c r="BC278" s="441"/>
      <c r="BE278" s="383"/>
      <c r="BF278" s="383"/>
      <c r="BG278" s="383"/>
      <c r="BH278" s="383"/>
      <c r="BI278" s="383"/>
      <c r="BJ278" s="383"/>
      <c r="BK278" s="383"/>
      <c r="BL278" s="383"/>
      <c r="BM278" s="383"/>
      <c r="BN278" s="383"/>
      <c r="BO278" s="383"/>
    </row>
    <row r="279" spans="1:67" x14ac:dyDescent="0.25">
      <c r="A279" s="335">
        <v>5884</v>
      </c>
      <c r="B279" s="425" t="s">
        <v>49</v>
      </c>
      <c r="C279" s="446">
        <v>5588982.1200000001</v>
      </c>
      <c r="D279" s="33">
        <v>859534.87</v>
      </c>
      <c r="E279" s="448"/>
      <c r="F279" s="452">
        <v>0</v>
      </c>
      <c r="G279" s="452">
        <v>522702.85</v>
      </c>
      <c r="H279" s="453">
        <v>75888</v>
      </c>
      <c r="I279" s="451">
        <v>27182.15</v>
      </c>
      <c r="J279" s="448">
        <v>206700.69</v>
      </c>
      <c r="K279" s="453">
        <v>184493.7</v>
      </c>
      <c r="L279" s="448">
        <v>953079.7</v>
      </c>
      <c r="M279" s="422">
        <f t="shared" si="12"/>
        <v>8418564.0800000001</v>
      </c>
      <c r="N279" s="446">
        <v>468496.5</v>
      </c>
      <c r="O279" s="446">
        <v>0</v>
      </c>
      <c r="P279" s="446">
        <v>327007.09999999998</v>
      </c>
      <c r="Q279" s="446">
        <v>281071.89</v>
      </c>
      <c r="R279" s="33">
        <v>147434</v>
      </c>
      <c r="S279" s="340"/>
      <c r="T279" s="446"/>
      <c r="U279" s="33">
        <v>18100</v>
      </c>
      <c r="V279" s="446"/>
      <c r="W279" s="33"/>
      <c r="X279" s="417">
        <v>208163.4</v>
      </c>
      <c r="Y279" s="328">
        <f t="shared" si="13"/>
        <v>9868836.9700000007</v>
      </c>
      <c r="Z279" s="33"/>
      <c r="AA279" s="33"/>
      <c r="AB279" s="33">
        <v>342294.98</v>
      </c>
      <c r="AC279" s="33">
        <v>581399.52</v>
      </c>
      <c r="AD279" s="33">
        <v>252661.94</v>
      </c>
      <c r="AE279" s="33"/>
      <c r="AF279" s="33"/>
      <c r="AG279" s="33"/>
      <c r="AH279" s="33">
        <v>14788.5</v>
      </c>
      <c r="AI279" s="33">
        <v>274808.34999999998</v>
      </c>
      <c r="AJ279" s="33"/>
      <c r="AK279" s="33"/>
      <c r="AL279" s="33"/>
      <c r="AM279" s="328">
        <f t="shared" si="14"/>
        <v>1465953.29</v>
      </c>
      <c r="AN279" s="371">
        <v>66</v>
      </c>
      <c r="AO279" s="388">
        <v>3363</v>
      </c>
      <c r="AP279" s="33">
        <v>-357596.62</v>
      </c>
      <c r="AQ279" s="332"/>
      <c r="AR279" s="33">
        <v>-2345.4699999999998</v>
      </c>
      <c r="AS279" s="340">
        <v>1.2</v>
      </c>
      <c r="AT279" s="437"/>
      <c r="AU279" s="438"/>
      <c r="AV279" s="441"/>
      <c r="AW279" s="441"/>
      <c r="AX279" s="441"/>
      <c r="AY279" s="441"/>
      <c r="AZ279" s="441"/>
      <c r="BA279" s="441"/>
      <c r="BB279" s="441"/>
      <c r="BC279" s="441"/>
      <c r="BE279" s="383"/>
      <c r="BF279" s="383"/>
      <c r="BG279" s="383"/>
      <c r="BH279" s="383"/>
      <c r="BI279" s="383"/>
      <c r="BJ279" s="383"/>
      <c r="BK279" s="383"/>
      <c r="BL279" s="383"/>
      <c r="BM279" s="383"/>
      <c r="BN279" s="383"/>
      <c r="BO279" s="383"/>
    </row>
    <row r="280" spans="1:67" x14ac:dyDescent="0.25">
      <c r="A280" s="335">
        <v>5885</v>
      </c>
      <c r="B280" s="425" t="s">
        <v>50</v>
      </c>
      <c r="C280" s="446">
        <v>4545266.9400000004</v>
      </c>
      <c r="D280" s="33">
        <v>715738.85</v>
      </c>
      <c r="E280" s="448"/>
      <c r="F280" s="452">
        <v>0</v>
      </c>
      <c r="G280" s="452">
        <v>-159801.15</v>
      </c>
      <c r="H280" s="453">
        <v>5301.55</v>
      </c>
      <c r="I280" s="451">
        <v>88300.65</v>
      </c>
      <c r="J280" s="448">
        <v>46573.95</v>
      </c>
      <c r="K280" s="453">
        <v>15374.25</v>
      </c>
      <c r="L280" s="448">
        <v>475431.45</v>
      </c>
      <c r="M280" s="422">
        <f t="shared" si="12"/>
        <v>5732186.4900000002</v>
      </c>
      <c r="N280" s="446">
        <v>1555.2</v>
      </c>
      <c r="O280" s="446">
        <v>65561.7</v>
      </c>
      <c r="P280" s="446">
        <v>344329.9</v>
      </c>
      <c r="Q280" s="446">
        <v>3858.2</v>
      </c>
      <c r="R280" s="33">
        <v>176221.3</v>
      </c>
      <c r="S280" s="340"/>
      <c r="T280" s="446"/>
      <c r="U280" s="33">
        <v>9200</v>
      </c>
      <c r="V280" s="446"/>
      <c r="W280" s="33"/>
      <c r="X280" s="417">
        <v>33712.1</v>
      </c>
      <c r="Y280" s="328">
        <f t="shared" si="13"/>
        <v>6366624.8900000006</v>
      </c>
      <c r="Z280" s="33">
        <v>29730</v>
      </c>
      <c r="AA280" s="33"/>
      <c r="AB280" s="33">
        <v>29929.5</v>
      </c>
      <c r="AC280" s="33"/>
      <c r="AD280" s="33">
        <v>152450.5</v>
      </c>
      <c r="AE280" s="33"/>
      <c r="AF280" s="33"/>
      <c r="AG280" s="33"/>
      <c r="AH280" s="33"/>
      <c r="AI280" s="33"/>
      <c r="AJ280" s="33"/>
      <c r="AK280" s="33"/>
      <c r="AL280" s="33"/>
      <c r="AM280" s="328">
        <f t="shared" si="14"/>
        <v>212110</v>
      </c>
      <c r="AN280" s="371">
        <v>71</v>
      </c>
      <c r="AO280" s="388">
        <v>1544</v>
      </c>
      <c r="AP280" s="33">
        <v>-67105.17</v>
      </c>
      <c r="AQ280" s="332"/>
      <c r="AR280" s="33">
        <v>-5840.13</v>
      </c>
      <c r="AS280" s="340">
        <v>1.2</v>
      </c>
      <c r="AT280" s="437"/>
      <c r="AU280" s="438"/>
      <c r="AV280" s="441"/>
      <c r="AW280" s="441"/>
      <c r="AX280" s="441"/>
      <c r="AY280" s="441"/>
      <c r="AZ280" s="441"/>
      <c r="BA280" s="441"/>
      <c r="BB280" s="441"/>
      <c r="BC280" s="441"/>
      <c r="BE280" s="383"/>
      <c r="BF280" s="383"/>
      <c r="BG280" s="383"/>
      <c r="BH280" s="383"/>
      <c r="BI280" s="383"/>
      <c r="BJ280" s="383"/>
      <c r="BK280" s="383"/>
      <c r="BL280" s="383"/>
      <c r="BM280" s="383"/>
      <c r="BN280" s="383"/>
      <c r="BO280" s="383"/>
    </row>
    <row r="281" spans="1:67" x14ac:dyDescent="0.25">
      <c r="A281" s="335">
        <v>5886</v>
      </c>
      <c r="B281" s="425" t="s">
        <v>51</v>
      </c>
      <c r="C281" s="446">
        <v>44538354.869999997</v>
      </c>
      <c r="D281" s="33">
        <v>10802295.57</v>
      </c>
      <c r="E281" s="448"/>
      <c r="F281" s="452">
        <v>0</v>
      </c>
      <c r="G281" s="452">
        <v>3461722.55</v>
      </c>
      <c r="H281" s="453">
        <v>630249.44999999995</v>
      </c>
      <c r="I281" s="451">
        <v>4543184.4800000004</v>
      </c>
      <c r="J281" s="448">
        <v>2745817.61</v>
      </c>
      <c r="K281" s="453">
        <v>364982.25</v>
      </c>
      <c r="L281" s="448">
        <v>10391782.52</v>
      </c>
      <c r="M281" s="422">
        <f t="shared" si="12"/>
        <v>77478389.299999997</v>
      </c>
      <c r="N281" s="446">
        <v>768045.85</v>
      </c>
      <c r="O281" s="446">
        <v>8483433.5500000007</v>
      </c>
      <c r="P281" s="446">
        <v>4846537.45</v>
      </c>
      <c r="Q281" s="446">
        <v>546343.71</v>
      </c>
      <c r="R281" s="33">
        <v>2431435.2000000002</v>
      </c>
      <c r="S281" s="340"/>
      <c r="T281" s="446"/>
      <c r="U281" s="33">
        <v>87400</v>
      </c>
      <c r="V281" s="446"/>
      <c r="W281" s="33"/>
      <c r="X281" s="417">
        <v>1064266.95</v>
      </c>
      <c r="Y281" s="328">
        <f t="shared" si="13"/>
        <v>95705852.00999999</v>
      </c>
      <c r="Z281" s="33"/>
      <c r="AA281" s="33"/>
      <c r="AB281" s="33">
        <v>2787028.41</v>
      </c>
      <c r="AC281" s="33"/>
      <c r="AD281" s="33">
        <v>3714890</v>
      </c>
      <c r="AE281" s="33"/>
      <c r="AF281" s="33"/>
      <c r="AG281" s="33"/>
      <c r="AH281" s="33"/>
      <c r="AI281" s="33"/>
      <c r="AJ281" s="33"/>
      <c r="AK281" s="33"/>
      <c r="AL281" s="33"/>
      <c r="AM281" s="328">
        <f t="shared" si="14"/>
        <v>6501918.4100000001</v>
      </c>
      <c r="AN281" s="371">
        <v>65</v>
      </c>
      <c r="AO281" s="388">
        <v>26065</v>
      </c>
      <c r="AP281" s="33">
        <v>-1300291.2</v>
      </c>
      <c r="AQ281" s="332"/>
      <c r="AR281" s="33">
        <v>-90908.160000000003</v>
      </c>
      <c r="AS281" s="340">
        <v>1.5</v>
      </c>
      <c r="AT281" s="437"/>
      <c r="AU281" s="438"/>
      <c r="AV281" s="441"/>
      <c r="AW281" s="441"/>
      <c r="AX281" s="441"/>
      <c r="AY281" s="441"/>
      <c r="AZ281" s="441"/>
      <c r="BA281" s="441"/>
      <c r="BB281" s="441"/>
      <c r="BC281" s="441"/>
      <c r="BE281" s="383"/>
      <c r="BF281" s="383"/>
      <c r="BG281" s="383"/>
      <c r="BH281" s="383"/>
      <c r="BI281" s="383"/>
      <c r="BJ281" s="383"/>
      <c r="BK281" s="383"/>
      <c r="BL281" s="383"/>
      <c r="BM281" s="383"/>
      <c r="BN281" s="383"/>
      <c r="BO281" s="383"/>
    </row>
    <row r="282" spans="1:67" x14ac:dyDescent="0.25">
      <c r="A282" s="335">
        <v>5888</v>
      </c>
      <c r="B282" s="425" t="s">
        <v>515</v>
      </c>
      <c r="C282" s="446">
        <v>17269001.18</v>
      </c>
      <c r="D282" s="33">
        <v>4213542.03</v>
      </c>
      <c r="E282" s="448"/>
      <c r="F282" s="452">
        <v>0</v>
      </c>
      <c r="G282" s="452">
        <v>380176.7</v>
      </c>
      <c r="H282" s="453">
        <v>46628.3</v>
      </c>
      <c r="I282" s="451">
        <v>180433.96</v>
      </c>
      <c r="J282" s="448">
        <v>133260.03</v>
      </c>
      <c r="K282" s="453">
        <v>75574.45</v>
      </c>
      <c r="L282" s="448">
        <v>1825098.95</v>
      </c>
      <c r="M282" s="422">
        <f t="shared" si="12"/>
        <v>24123715.600000001</v>
      </c>
      <c r="N282" s="446">
        <v>157043.5</v>
      </c>
      <c r="O282" s="446">
        <v>190441.4</v>
      </c>
      <c r="P282" s="446">
        <v>708311.1</v>
      </c>
      <c r="Q282" s="446">
        <v>111273.52</v>
      </c>
      <c r="R282" s="33">
        <v>873024.15</v>
      </c>
      <c r="S282" s="340"/>
      <c r="T282" s="446"/>
      <c r="U282" s="33">
        <v>35950</v>
      </c>
      <c r="V282" s="446"/>
      <c r="W282" s="33"/>
      <c r="X282" s="417">
        <v>119784.25</v>
      </c>
      <c r="Y282" s="328">
        <f t="shared" si="13"/>
        <v>26319543.52</v>
      </c>
      <c r="Z282" s="33">
        <v>281042</v>
      </c>
      <c r="AA282" s="33" t="s">
        <v>599</v>
      </c>
      <c r="AB282" s="33">
        <v>755527.92</v>
      </c>
      <c r="AC282" s="33">
        <v>1110651.3400000001</v>
      </c>
      <c r="AD282" s="33">
        <v>380054.95</v>
      </c>
      <c r="AE282" s="33">
        <v>338940</v>
      </c>
      <c r="AF282" s="33"/>
      <c r="AG282" s="33" t="s">
        <v>599</v>
      </c>
      <c r="AH282" s="33">
        <v>140563</v>
      </c>
      <c r="AI282" s="33"/>
      <c r="AJ282" s="33"/>
      <c r="AK282" s="33"/>
      <c r="AL282" s="33"/>
      <c r="AM282" s="328">
        <f t="shared" si="14"/>
        <v>3006779.2100000004</v>
      </c>
      <c r="AN282" s="371">
        <v>70</v>
      </c>
      <c r="AO282" s="388">
        <v>5243</v>
      </c>
      <c r="AP282" s="33">
        <v>-229086.71</v>
      </c>
      <c r="AQ282" s="332"/>
      <c r="AR282" s="33">
        <v>-144068.59</v>
      </c>
      <c r="AS282" s="340">
        <v>1.2</v>
      </c>
      <c r="AT282" s="437"/>
      <c r="AU282" s="438"/>
      <c r="AV282" s="441"/>
      <c r="AW282" s="441"/>
      <c r="AX282" s="441"/>
      <c r="AY282" s="441"/>
      <c r="AZ282" s="441"/>
      <c r="BA282" s="441"/>
      <c r="BB282" s="441"/>
      <c r="BC282" s="441"/>
      <c r="BE282" s="383"/>
      <c r="BF282" s="383"/>
      <c r="BG282" s="383"/>
      <c r="BH282" s="383"/>
      <c r="BI282" s="383"/>
      <c r="BJ282" s="383"/>
      <c r="BK282" s="383"/>
      <c r="BL282" s="383"/>
      <c r="BM282" s="383"/>
      <c r="BN282" s="383"/>
      <c r="BO282" s="383"/>
    </row>
    <row r="283" spans="1:67" x14ac:dyDescent="0.25">
      <c r="A283" s="335">
        <v>5889</v>
      </c>
      <c r="B283" s="458" t="s">
        <v>52</v>
      </c>
      <c r="C283" s="33">
        <v>26209647.27</v>
      </c>
      <c r="D283" s="33">
        <v>5206391.5</v>
      </c>
      <c r="E283" s="448"/>
      <c r="F283" s="452">
        <v>0</v>
      </c>
      <c r="G283" s="452">
        <v>3383045.65</v>
      </c>
      <c r="H283" s="453">
        <v>4639623.1500000004</v>
      </c>
      <c r="I283" s="451">
        <v>723935.3</v>
      </c>
      <c r="J283" s="448">
        <v>812855.5</v>
      </c>
      <c r="K283" s="453">
        <v>248040.5</v>
      </c>
      <c r="L283" s="448">
        <v>2872816.5</v>
      </c>
      <c r="M283" s="422">
        <f t="shared" si="12"/>
        <v>44096355.369999997</v>
      </c>
      <c r="N283" s="446">
        <v>177282.6</v>
      </c>
      <c r="O283" s="446">
        <v>975365.3</v>
      </c>
      <c r="P283" s="446">
        <v>2044132.4</v>
      </c>
      <c r="Q283" s="446">
        <v>60625.55</v>
      </c>
      <c r="R283" s="33">
        <v>783600.4</v>
      </c>
      <c r="S283" s="340"/>
      <c r="T283" s="446"/>
      <c r="U283" s="33">
        <v>61350</v>
      </c>
      <c r="V283" s="446"/>
      <c r="W283" s="33">
        <v>316774.49</v>
      </c>
      <c r="X283" s="417">
        <v>1160821.1499999999</v>
      </c>
      <c r="Y283" s="328">
        <f t="shared" si="13"/>
        <v>49676307.25999999</v>
      </c>
      <c r="Z283" s="33"/>
      <c r="AA283" s="33"/>
      <c r="AB283" s="33">
        <v>877976.45</v>
      </c>
      <c r="AC283" s="33">
        <v>1780034.94</v>
      </c>
      <c r="AD283" s="33">
        <v>1557530.14</v>
      </c>
      <c r="AE283" s="33">
        <v>127129</v>
      </c>
      <c r="AF283" s="33"/>
      <c r="AG283" s="33"/>
      <c r="AH283" s="33"/>
      <c r="AI283" s="33">
        <v>225094.05</v>
      </c>
      <c r="AJ283" s="33"/>
      <c r="AK283" s="33"/>
      <c r="AL283" s="33"/>
      <c r="AM283" s="328">
        <f t="shared" si="14"/>
        <v>4567764.5799999991</v>
      </c>
      <c r="AN283" s="371">
        <v>64</v>
      </c>
      <c r="AO283" s="388">
        <v>11906</v>
      </c>
      <c r="AP283" s="33">
        <v>-339170.18</v>
      </c>
      <c r="AQ283" s="332"/>
      <c r="AR283" s="33">
        <v>-137797.70000000001</v>
      </c>
      <c r="AS283" s="340">
        <v>1.2</v>
      </c>
      <c r="AT283" s="437"/>
      <c r="AU283" s="438"/>
      <c r="AV283" s="441"/>
      <c r="AW283" s="441"/>
      <c r="AX283" s="441"/>
      <c r="AY283" s="462"/>
      <c r="AZ283" s="441"/>
      <c r="BA283" s="441"/>
      <c r="BB283" s="441"/>
      <c r="BC283" s="441"/>
      <c r="BE283" s="383"/>
      <c r="BF283" s="383"/>
      <c r="BG283" s="383"/>
      <c r="BH283" s="383"/>
      <c r="BI283" s="383"/>
      <c r="BJ283" s="383"/>
      <c r="BK283" s="383"/>
      <c r="BL283" s="383"/>
      <c r="BM283" s="383"/>
      <c r="BN283" s="383"/>
      <c r="BO283" s="383"/>
    </row>
    <row r="284" spans="1:67" x14ac:dyDescent="0.25">
      <c r="A284" s="335">
        <v>5890</v>
      </c>
      <c r="B284" s="425" t="s">
        <v>53</v>
      </c>
      <c r="C284" s="446">
        <v>39083097.740000002</v>
      </c>
      <c r="D284" s="33">
        <v>4736924.51</v>
      </c>
      <c r="E284" s="448"/>
      <c r="F284" s="452">
        <v>0</v>
      </c>
      <c r="G284" s="452">
        <v>6903721.2999999998</v>
      </c>
      <c r="H284" s="453">
        <v>11832530.949999999</v>
      </c>
      <c r="I284" s="451">
        <v>631417.13</v>
      </c>
      <c r="J284" s="448">
        <v>4089687.33</v>
      </c>
      <c r="K284" s="453">
        <v>594642.5</v>
      </c>
      <c r="L284" s="448">
        <v>5530429.71</v>
      </c>
      <c r="M284" s="422">
        <f t="shared" si="12"/>
        <v>73402451.170000002</v>
      </c>
      <c r="N284" s="446">
        <v>907414.25</v>
      </c>
      <c r="O284" s="446">
        <v>958753.5</v>
      </c>
      <c r="P284" s="446">
        <v>1296278.75</v>
      </c>
      <c r="Q284" s="446">
        <v>282313.75</v>
      </c>
      <c r="R284" s="33">
        <v>643155.65</v>
      </c>
      <c r="S284" s="340"/>
      <c r="T284" s="446"/>
      <c r="U284" s="33">
        <v>65400</v>
      </c>
      <c r="V284" s="446"/>
      <c r="W284" s="33"/>
      <c r="X284" s="417">
        <v>3306671.55</v>
      </c>
      <c r="Y284" s="328">
        <f t="shared" si="13"/>
        <v>80862438.620000005</v>
      </c>
      <c r="Z284" s="33" t="s">
        <v>599</v>
      </c>
      <c r="AA284" s="33" t="s">
        <v>599</v>
      </c>
      <c r="AB284" s="33">
        <v>927066.37</v>
      </c>
      <c r="AC284" s="33" t="s">
        <v>599</v>
      </c>
      <c r="AD284" s="33">
        <v>1511590.83</v>
      </c>
      <c r="AE284" s="33" t="s">
        <v>599</v>
      </c>
      <c r="AF284" s="33" t="s">
        <v>599</v>
      </c>
      <c r="AG284" s="33" t="s">
        <v>599</v>
      </c>
      <c r="AH284" s="33" t="s">
        <v>599</v>
      </c>
      <c r="AI284" s="33">
        <v>658348.05000000005</v>
      </c>
      <c r="AJ284" s="33"/>
      <c r="AK284" s="33"/>
      <c r="AL284" s="33">
        <v>188170.85</v>
      </c>
      <c r="AM284" s="328">
        <f t="shared" si="14"/>
        <v>3285176.1</v>
      </c>
      <c r="AN284" s="371">
        <v>76</v>
      </c>
      <c r="AO284" s="388">
        <v>19871</v>
      </c>
      <c r="AP284" s="33">
        <v>-732817.29</v>
      </c>
      <c r="AQ284" s="332"/>
      <c r="AR284" s="33">
        <v>-175330.18</v>
      </c>
      <c r="AS284" s="340">
        <v>1.5</v>
      </c>
      <c r="AT284" s="437"/>
      <c r="AU284" s="438"/>
      <c r="AV284" s="441"/>
      <c r="AW284" s="441"/>
      <c r="AX284" s="441"/>
      <c r="AY284" s="441"/>
      <c r="AZ284" s="441"/>
      <c r="BA284" s="441"/>
      <c r="BB284" s="441"/>
      <c r="BC284" s="441"/>
      <c r="BE284" s="383"/>
      <c r="BF284" s="383"/>
      <c r="BG284" s="383"/>
      <c r="BH284" s="383"/>
      <c r="BI284" s="383"/>
      <c r="BJ284" s="383"/>
      <c r="BK284" s="383"/>
      <c r="BL284" s="383"/>
      <c r="BM284" s="383"/>
      <c r="BN284" s="383"/>
      <c r="BO284" s="383"/>
    </row>
    <row r="285" spans="1:67" x14ac:dyDescent="0.25">
      <c r="A285" s="335">
        <v>5891</v>
      </c>
      <c r="B285" s="425" t="s">
        <v>54</v>
      </c>
      <c r="C285" s="446">
        <v>1836718.92</v>
      </c>
      <c r="D285" s="33">
        <v>432737.99</v>
      </c>
      <c r="E285" s="448"/>
      <c r="F285" s="452">
        <v>0</v>
      </c>
      <c r="G285" s="452">
        <v>14656.3</v>
      </c>
      <c r="H285" s="453">
        <v>8016.05</v>
      </c>
      <c r="I285" s="451">
        <v>13028.4</v>
      </c>
      <c r="J285" s="448">
        <v>86338.48</v>
      </c>
      <c r="K285" s="453">
        <v>11126.4</v>
      </c>
      <c r="L285" s="448">
        <v>437002.95</v>
      </c>
      <c r="M285" s="422">
        <f t="shared" si="12"/>
        <v>2839625.4899999998</v>
      </c>
      <c r="N285" s="446">
        <v>0</v>
      </c>
      <c r="O285" s="446">
        <v>1452</v>
      </c>
      <c r="P285" s="446">
        <v>133424.54999999999</v>
      </c>
      <c r="Q285" s="446">
        <v>11770.33</v>
      </c>
      <c r="R285" s="33">
        <v>86423.25</v>
      </c>
      <c r="S285" s="340"/>
      <c r="T285" s="446"/>
      <c r="U285" s="33">
        <v>4650</v>
      </c>
      <c r="V285" s="446">
        <v>394530.6</v>
      </c>
      <c r="W285" s="33"/>
      <c r="X285" s="417">
        <v>14444.2</v>
      </c>
      <c r="Y285" s="328">
        <f t="shared" si="13"/>
        <v>3486320.42</v>
      </c>
      <c r="Z285" s="33">
        <v>16866.150000000001</v>
      </c>
      <c r="AA285" s="33"/>
      <c r="AB285" s="33">
        <v>52222.2</v>
      </c>
      <c r="AC285" s="33"/>
      <c r="AD285" s="33">
        <v>90805.89</v>
      </c>
      <c r="AE285" s="33"/>
      <c r="AF285" s="33"/>
      <c r="AG285" s="33"/>
      <c r="AH285" s="33"/>
      <c r="AI285" s="33">
        <v>37892.1</v>
      </c>
      <c r="AJ285" s="33"/>
      <c r="AK285" s="33"/>
      <c r="AL285" s="33">
        <v>10854.9</v>
      </c>
      <c r="AM285" s="328">
        <f t="shared" si="14"/>
        <v>208641.24</v>
      </c>
      <c r="AN285" s="371">
        <v>71</v>
      </c>
      <c r="AO285" s="388">
        <v>922</v>
      </c>
      <c r="AP285" s="33">
        <v>-77771.34</v>
      </c>
      <c r="AQ285" s="332"/>
      <c r="AR285" s="33">
        <v>-1345.07</v>
      </c>
      <c r="AS285" s="340">
        <v>1.5</v>
      </c>
      <c r="AT285" s="437"/>
      <c r="AU285" s="438"/>
      <c r="AV285" s="441"/>
      <c r="AW285" s="441"/>
      <c r="AX285" s="441"/>
      <c r="AY285" s="441"/>
      <c r="AZ285" s="441"/>
      <c r="BA285" s="441"/>
      <c r="BB285" s="441"/>
      <c r="BC285" s="441"/>
      <c r="BE285" s="383"/>
      <c r="BF285" s="383"/>
      <c r="BG285" s="383"/>
      <c r="BH285" s="383"/>
      <c r="BI285" s="383"/>
      <c r="BJ285" s="383"/>
      <c r="BK285" s="383"/>
      <c r="BL285" s="383"/>
      <c r="BM285" s="383"/>
      <c r="BN285" s="383"/>
      <c r="BO285" s="383"/>
    </row>
    <row r="286" spans="1:67" x14ac:dyDescent="0.25">
      <c r="A286" s="335">
        <v>5902</v>
      </c>
      <c r="B286" s="425" t="s">
        <v>55</v>
      </c>
      <c r="C286" s="446">
        <v>706908.29</v>
      </c>
      <c r="D286" s="33">
        <v>55170.3</v>
      </c>
      <c r="E286" s="448"/>
      <c r="F286" s="452">
        <v>0</v>
      </c>
      <c r="G286" s="452">
        <v>1514.95</v>
      </c>
      <c r="H286" s="453">
        <v>433.3</v>
      </c>
      <c r="I286" s="451">
        <v>0</v>
      </c>
      <c r="J286" s="448">
        <v>-1452.45</v>
      </c>
      <c r="K286" s="453">
        <v>0</v>
      </c>
      <c r="L286" s="448">
        <v>56033.4</v>
      </c>
      <c r="M286" s="422">
        <f t="shared" si="12"/>
        <v>818607.79000000015</v>
      </c>
      <c r="N286" s="446">
        <v>0</v>
      </c>
      <c r="O286" s="446">
        <v>425095.9</v>
      </c>
      <c r="P286" s="446">
        <v>23389.599999999999</v>
      </c>
      <c r="Q286" s="446">
        <v>0</v>
      </c>
      <c r="R286" s="33">
        <v>6587.4</v>
      </c>
      <c r="S286" s="340"/>
      <c r="T286" s="446">
        <v>450</v>
      </c>
      <c r="U286" s="33">
        <v>2790</v>
      </c>
      <c r="V286" s="446"/>
      <c r="W286" s="33"/>
      <c r="X286" s="417">
        <v>496.3</v>
      </c>
      <c r="Y286" s="328">
        <f t="shared" si="13"/>
        <v>1277416.9900000002</v>
      </c>
      <c r="Z286" s="33">
        <v>11852</v>
      </c>
      <c r="AA286" s="33"/>
      <c r="AB286" s="33">
        <v>68643.75</v>
      </c>
      <c r="AC286" s="33"/>
      <c r="AD286" s="33">
        <v>21652.45</v>
      </c>
      <c r="AE286" s="33">
        <v>15152.1</v>
      </c>
      <c r="AF286" s="33"/>
      <c r="AG286" s="33"/>
      <c r="AH286" s="33"/>
      <c r="AI286" s="33"/>
      <c r="AJ286" s="33"/>
      <c r="AK286" s="33"/>
      <c r="AL286" s="33"/>
      <c r="AM286" s="328">
        <f t="shared" si="14"/>
        <v>117300.3</v>
      </c>
      <c r="AN286" s="371">
        <v>76</v>
      </c>
      <c r="AO286" s="388">
        <v>374</v>
      </c>
      <c r="AP286" s="33">
        <v>0.36</v>
      </c>
      <c r="AQ286" s="332"/>
      <c r="AR286" s="33">
        <v>0</v>
      </c>
      <c r="AS286" s="340">
        <v>1</v>
      </c>
      <c r="AT286" s="437"/>
      <c r="AU286" s="438"/>
      <c r="AV286" s="441"/>
      <c r="AW286" s="441"/>
      <c r="AX286" s="441"/>
      <c r="AY286" s="441"/>
      <c r="AZ286" s="441"/>
      <c r="BA286" s="441"/>
      <c r="BB286" s="441"/>
      <c r="BC286" s="441"/>
      <c r="BE286" s="383"/>
      <c r="BF286" s="383"/>
      <c r="BG286" s="383"/>
      <c r="BH286" s="383"/>
      <c r="BI286" s="383"/>
      <c r="BJ286" s="383"/>
      <c r="BK286" s="383"/>
      <c r="BL286" s="383"/>
      <c r="BM286" s="383"/>
      <c r="BN286" s="383"/>
      <c r="BO286" s="383"/>
    </row>
    <row r="287" spans="1:67" x14ac:dyDescent="0.25">
      <c r="A287" s="335">
        <v>5903</v>
      </c>
      <c r="B287" s="425" t="s">
        <v>56</v>
      </c>
      <c r="C287" s="446">
        <v>389261.16</v>
      </c>
      <c r="D287" s="33">
        <v>47139.15</v>
      </c>
      <c r="E287" s="448"/>
      <c r="F287" s="452">
        <v>0</v>
      </c>
      <c r="G287" s="452">
        <v>2848.5</v>
      </c>
      <c r="H287" s="453">
        <v>262.85000000000002</v>
      </c>
      <c r="I287" s="451">
        <v>0</v>
      </c>
      <c r="J287" s="448">
        <v>3829.25</v>
      </c>
      <c r="K287" s="453">
        <v>0</v>
      </c>
      <c r="L287" s="448">
        <v>25632.45</v>
      </c>
      <c r="M287" s="422">
        <f t="shared" si="12"/>
        <v>468973.36</v>
      </c>
      <c r="N287" s="446">
        <v>22624.95</v>
      </c>
      <c r="O287" s="446">
        <v>0</v>
      </c>
      <c r="P287" s="446">
        <v>1417</v>
      </c>
      <c r="Q287" s="446">
        <v>0</v>
      </c>
      <c r="R287" s="33">
        <v>0</v>
      </c>
      <c r="S287" s="340"/>
      <c r="T287" s="446"/>
      <c r="U287" s="33">
        <v>1040</v>
      </c>
      <c r="V287" s="446"/>
      <c r="W287" s="33"/>
      <c r="X287" s="417">
        <v>1149.75</v>
      </c>
      <c r="Y287" s="328">
        <f t="shared" si="13"/>
        <v>495205.06</v>
      </c>
      <c r="Z287" s="33"/>
      <c r="AA287" s="33"/>
      <c r="AB287" s="33">
        <v>16220</v>
      </c>
      <c r="AC287" s="33"/>
      <c r="AD287" s="33">
        <v>11042</v>
      </c>
      <c r="AE287" s="33"/>
      <c r="AF287" s="33"/>
      <c r="AG287" s="33"/>
      <c r="AH287" s="33"/>
      <c r="AI287" s="33"/>
      <c r="AJ287" s="33"/>
      <c r="AK287" s="33"/>
      <c r="AL287" s="33"/>
      <c r="AM287" s="328">
        <f t="shared" si="14"/>
        <v>27262</v>
      </c>
      <c r="AN287" s="371">
        <v>74</v>
      </c>
      <c r="AO287" s="388">
        <v>228</v>
      </c>
      <c r="AP287" s="33">
        <v>-1382.45</v>
      </c>
      <c r="AQ287" s="332"/>
      <c r="AR287" s="33">
        <v>-0.85</v>
      </c>
      <c r="AS287" s="340">
        <v>0.7</v>
      </c>
      <c r="AT287" s="437"/>
      <c r="AU287" s="438"/>
      <c r="AV287" s="441"/>
      <c r="AW287" s="441"/>
      <c r="AX287" s="441"/>
      <c r="AY287" s="441"/>
      <c r="AZ287" s="441"/>
      <c r="BA287" s="441"/>
      <c r="BB287" s="441"/>
      <c r="BC287" s="441"/>
      <c r="BE287" s="383"/>
      <c r="BF287" s="383"/>
      <c r="BG287" s="383"/>
      <c r="BH287" s="383"/>
      <c r="BI287" s="383"/>
      <c r="BJ287" s="383"/>
      <c r="BK287" s="383"/>
      <c r="BL287" s="383"/>
      <c r="BM287" s="383"/>
      <c r="BN287" s="383"/>
      <c r="BO287" s="383"/>
    </row>
    <row r="288" spans="1:67" x14ac:dyDescent="0.25">
      <c r="A288" s="335">
        <v>5904</v>
      </c>
      <c r="B288" s="425" t="s">
        <v>57</v>
      </c>
      <c r="C288" s="446">
        <v>1256527.8</v>
      </c>
      <c r="D288" s="33">
        <v>84280.04</v>
      </c>
      <c r="E288" s="448"/>
      <c r="F288" s="452">
        <v>0</v>
      </c>
      <c r="G288" s="452">
        <v>11714.65</v>
      </c>
      <c r="H288" s="453">
        <v>553.25</v>
      </c>
      <c r="I288" s="451">
        <v>0</v>
      </c>
      <c r="J288" s="448">
        <v>24452.66</v>
      </c>
      <c r="K288" s="453">
        <v>3705.65</v>
      </c>
      <c r="L288" s="448">
        <v>95309.3</v>
      </c>
      <c r="M288" s="422">
        <f t="shared" si="12"/>
        <v>1476543.3499999999</v>
      </c>
      <c r="N288" s="446">
        <v>36905.599999999999</v>
      </c>
      <c r="O288" s="446">
        <v>0</v>
      </c>
      <c r="P288" s="446">
        <v>24991.65</v>
      </c>
      <c r="Q288" s="446">
        <v>5706.26</v>
      </c>
      <c r="R288" s="33">
        <v>5738.35</v>
      </c>
      <c r="S288" s="340"/>
      <c r="T288" s="446">
        <v>372.25</v>
      </c>
      <c r="U288" s="33">
        <v>3550</v>
      </c>
      <c r="V288" s="446"/>
      <c r="W288" s="33"/>
      <c r="X288" s="417">
        <v>2132.4499999999998</v>
      </c>
      <c r="Y288" s="328">
        <f t="shared" si="13"/>
        <v>1555939.91</v>
      </c>
      <c r="Z288" s="33">
        <v>1170</v>
      </c>
      <c r="AA288" s="33"/>
      <c r="AB288" s="33">
        <v>114460.6</v>
      </c>
      <c r="AC288" s="33"/>
      <c r="AD288" s="33">
        <v>50524.55</v>
      </c>
      <c r="AE288" s="33">
        <v>2340</v>
      </c>
      <c r="AF288" s="33"/>
      <c r="AG288" s="33"/>
      <c r="AH288" s="33">
        <v>432</v>
      </c>
      <c r="AI288" s="33">
        <v>19884</v>
      </c>
      <c r="AJ288" s="33"/>
      <c r="AK288" s="33"/>
      <c r="AL288" s="33"/>
      <c r="AM288" s="328">
        <f t="shared" si="14"/>
        <v>188811.15000000002</v>
      </c>
      <c r="AN288" s="371">
        <v>66</v>
      </c>
      <c r="AO288" s="388">
        <v>540</v>
      </c>
      <c r="AP288" s="33">
        <v>-33805.08</v>
      </c>
      <c r="AQ288" s="332"/>
      <c r="AR288" s="33">
        <v>-67.900000000000006</v>
      </c>
      <c r="AS288" s="340">
        <v>1</v>
      </c>
      <c r="AT288" s="437"/>
      <c r="AU288" s="438"/>
      <c r="AV288" s="441"/>
      <c r="AW288" s="441"/>
      <c r="AX288" s="441"/>
      <c r="AY288" s="441"/>
      <c r="AZ288" s="441"/>
      <c r="BA288" s="441"/>
      <c r="BB288" s="441"/>
      <c r="BC288" s="441"/>
      <c r="BE288" s="383"/>
      <c r="BF288" s="383"/>
      <c r="BG288" s="383"/>
      <c r="BH288" s="383"/>
      <c r="BI288" s="383"/>
      <c r="BJ288" s="383"/>
      <c r="BK288" s="383"/>
      <c r="BL288" s="383"/>
      <c r="BM288" s="383"/>
      <c r="BN288" s="383"/>
      <c r="BO288" s="383"/>
    </row>
    <row r="289" spans="1:67" x14ac:dyDescent="0.25">
      <c r="A289" s="335">
        <v>5905</v>
      </c>
      <c r="B289" s="425" t="s">
        <v>58</v>
      </c>
      <c r="C289" s="446">
        <v>1340040.9099999999</v>
      </c>
      <c r="D289" s="33">
        <v>149583.18</v>
      </c>
      <c r="E289" s="448"/>
      <c r="F289" s="452">
        <v>0</v>
      </c>
      <c r="G289" s="452">
        <v>51474.6</v>
      </c>
      <c r="H289" s="453">
        <v>7312.35</v>
      </c>
      <c r="I289" s="451">
        <v>0</v>
      </c>
      <c r="J289" s="448">
        <v>25249.86</v>
      </c>
      <c r="K289" s="453">
        <v>2037.45</v>
      </c>
      <c r="L289" s="448">
        <v>99805.85</v>
      </c>
      <c r="M289" s="422">
        <f t="shared" si="12"/>
        <v>1675504.2000000002</v>
      </c>
      <c r="N289" s="446">
        <v>109768.55</v>
      </c>
      <c r="O289" s="446">
        <v>182127</v>
      </c>
      <c r="P289" s="446">
        <v>96580</v>
      </c>
      <c r="Q289" s="446">
        <v>665.43</v>
      </c>
      <c r="R289" s="33">
        <v>8637.4</v>
      </c>
      <c r="S289" s="340"/>
      <c r="T289" s="446"/>
      <c r="U289" s="33">
        <v>0</v>
      </c>
      <c r="V289" s="446"/>
      <c r="W289" s="33"/>
      <c r="X289" s="417">
        <v>31654.799999999999</v>
      </c>
      <c r="Y289" s="328">
        <f t="shared" si="13"/>
        <v>2104937.38</v>
      </c>
      <c r="Z289" s="33"/>
      <c r="AA289" s="33"/>
      <c r="AB289" s="33">
        <v>119846</v>
      </c>
      <c r="AC289" s="33"/>
      <c r="AD289" s="33">
        <v>26382</v>
      </c>
      <c r="AE289" s="33">
        <v>41397</v>
      </c>
      <c r="AF289" s="33"/>
      <c r="AG289" s="33"/>
      <c r="AH289" s="33"/>
      <c r="AI289" s="33"/>
      <c r="AJ289" s="33"/>
      <c r="AK289" s="33"/>
      <c r="AL289" s="33"/>
      <c r="AM289" s="328">
        <f t="shared" si="14"/>
        <v>187625</v>
      </c>
      <c r="AN289" s="371">
        <v>71</v>
      </c>
      <c r="AO289" s="388">
        <v>689</v>
      </c>
      <c r="AP289" s="33">
        <v>-27788.55</v>
      </c>
      <c r="AQ289" s="332"/>
      <c r="AR289" s="33">
        <v>-80.62</v>
      </c>
      <c r="AS289" s="340">
        <v>1</v>
      </c>
      <c r="AT289" s="437"/>
      <c r="AU289" s="438"/>
      <c r="AV289" s="441"/>
      <c r="AW289" s="441"/>
      <c r="AX289" s="441"/>
      <c r="AY289" s="441"/>
      <c r="AZ289" s="441"/>
      <c r="BA289" s="441"/>
      <c r="BB289" s="441"/>
      <c r="BC289" s="441"/>
      <c r="BE289" s="383"/>
      <c r="BF289" s="383"/>
      <c r="BG289" s="383"/>
      <c r="BH289" s="383"/>
      <c r="BI289" s="383"/>
      <c r="BJ289" s="383"/>
      <c r="BK289" s="383"/>
      <c r="BL289" s="383"/>
      <c r="BM289" s="383"/>
      <c r="BN289" s="383"/>
      <c r="BO289" s="383"/>
    </row>
    <row r="290" spans="1:67" x14ac:dyDescent="0.25">
      <c r="A290" s="335">
        <v>5907</v>
      </c>
      <c r="B290" s="425" t="s">
        <v>59</v>
      </c>
      <c r="C290" s="446">
        <v>613169.61</v>
      </c>
      <c r="D290" s="33">
        <v>69689.06</v>
      </c>
      <c r="E290" s="448"/>
      <c r="F290" s="452">
        <v>1840</v>
      </c>
      <c r="G290" s="452">
        <v>827.85</v>
      </c>
      <c r="H290" s="453">
        <v>1074.2</v>
      </c>
      <c r="I290" s="451">
        <v>0</v>
      </c>
      <c r="J290" s="448">
        <v>6828.82</v>
      </c>
      <c r="K290" s="453">
        <v>520.70000000000005</v>
      </c>
      <c r="L290" s="448">
        <v>47320.5</v>
      </c>
      <c r="M290" s="422">
        <f t="shared" si="12"/>
        <v>741270.73999999976</v>
      </c>
      <c r="N290" s="446">
        <v>9367.6</v>
      </c>
      <c r="O290" s="446">
        <v>0</v>
      </c>
      <c r="P290" s="446">
        <v>2113.0500000000002</v>
      </c>
      <c r="Q290" s="446">
        <v>0</v>
      </c>
      <c r="R290" s="33">
        <v>3283.2</v>
      </c>
      <c r="S290" s="340"/>
      <c r="T290" s="446">
        <v>1053.5</v>
      </c>
      <c r="U290" s="33">
        <v>1890</v>
      </c>
      <c r="V290" s="446"/>
      <c r="W290" s="33"/>
      <c r="X290" s="417">
        <v>393.8</v>
      </c>
      <c r="Y290" s="328">
        <f t="shared" si="13"/>
        <v>759371.88999999978</v>
      </c>
      <c r="Z290" s="33">
        <v>28500</v>
      </c>
      <c r="AA290" s="33"/>
      <c r="AB290" s="33">
        <v>7397.5</v>
      </c>
      <c r="AC290" s="33"/>
      <c r="AD290" s="33">
        <v>11358.8</v>
      </c>
      <c r="AE290" s="33">
        <v>7497.51</v>
      </c>
      <c r="AF290" s="33">
        <v>6000</v>
      </c>
      <c r="AG290" s="33"/>
      <c r="AH290" s="33"/>
      <c r="AI290" s="33"/>
      <c r="AJ290" s="33"/>
      <c r="AK290" s="33"/>
      <c r="AL290" s="33"/>
      <c r="AM290" s="328">
        <f t="shared" si="14"/>
        <v>60753.810000000005</v>
      </c>
      <c r="AN290" s="371">
        <v>78</v>
      </c>
      <c r="AO290" s="388">
        <v>311</v>
      </c>
      <c r="AP290" s="33">
        <v>-2103.9</v>
      </c>
      <c r="AQ290" s="332"/>
      <c r="AR290" s="33">
        <v>0</v>
      </c>
      <c r="AS290" s="340">
        <v>1</v>
      </c>
      <c r="AT290" s="437"/>
      <c r="AU290" s="438"/>
      <c r="AV290" s="441"/>
      <c r="AW290" s="441"/>
      <c r="AX290" s="441"/>
      <c r="AY290" s="441"/>
      <c r="AZ290" s="441"/>
      <c r="BA290" s="441"/>
      <c r="BB290" s="441"/>
      <c r="BC290" s="441"/>
      <c r="BE290" s="383"/>
      <c r="BF290" s="383"/>
      <c r="BG290" s="383"/>
      <c r="BH290" s="383"/>
      <c r="BI290" s="383"/>
      <c r="BJ290" s="383"/>
      <c r="BK290" s="383"/>
      <c r="BL290" s="383"/>
      <c r="BM290" s="383"/>
      <c r="BN290" s="383"/>
      <c r="BO290" s="383"/>
    </row>
    <row r="291" spans="1:67" x14ac:dyDescent="0.25">
      <c r="A291" s="335">
        <v>5908</v>
      </c>
      <c r="B291" s="425" t="s">
        <v>60</v>
      </c>
      <c r="C291" s="446">
        <v>206020.6</v>
      </c>
      <c r="D291" s="33">
        <v>39837.11</v>
      </c>
      <c r="E291" s="448"/>
      <c r="F291" s="452">
        <v>0</v>
      </c>
      <c r="G291" s="452">
        <v>2482.75</v>
      </c>
      <c r="H291" s="453">
        <v>-10.9</v>
      </c>
      <c r="I291" s="451">
        <v>0</v>
      </c>
      <c r="J291" s="448">
        <v>11423.69</v>
      </c>
      <c r="K291" s="453">
        <v>49.5</v>
      </c>
      <c r="L291" s="448">
        <v>18145.099999999999</v>
      </c>
      <c r="M291" s="422">
        <f t="shared" si="12"/>
        <v>277947.85000000003</v>
      </c>
      <c r="N291" s="446">
        <v>0</v>
      </c>
      <c r="O291" s="446">
        <v>0</v>
      </c>
      <c r="P291" s="446">
        <v>148.85</v>
      </c>
      <c r="Q291" s="446">
        <v>0</v>
      </c>
      <c r="R291" s="33">
        <v>4523.2</v>
      </c>
      <c r="S291" s="340"/>
      <c r="T291" s="446"/>
      <c r="U291" s="33">
        <v>1386</v>
      </c>
      <c r="V291" s="446"/>
      <c r="W291" s="33"/>
      <c r="X291" s="417">
        <v>308.10000000000002</v>
      </c>
      <c r="Y291" s="328">
        <f t="shared" si="13"/>
        <v>284314</v>
      </c>
      <c r="Z291" s="33"/>
      <c r="AA291" s="33"/>
      <c r="AB291" s="33">
        <v>39725</v>
      </c>
      <c r="AC291" s="33"/>
      <c r="AD291" s="33">
        <v>6092.5</v>
      </c>
      <c r="AE291" s="33"/>
      <c r="AF291" s="33"/>
      <c r="AG291" s="33"/>
      <c r="AH291" s="33"/>
      <c r="AI291" s="33"/>
      <c r="AJ291" s="33"/>
      <c r="AK291" s="33"/>
      <c r="AL291" s="33"/>
      <c r="AM291" s="328">
        <f t="shared" si="14"/>
        <v>45817.5</v>
      </c>
      <c r="AN291" s="371">
        <v>79</v>
      </c>
      <c r="AO291" s="388">
        <v>153</v>
      </c>
      <c r="AP291" s="33">
        <v>-11572.59</v>
      </c>
      <c r="AQ291" s="332"/>
      <c r="AR291" s="33">
        <v>-26.31</v>
      </c>
      <c r="AS291" s="340">
        <v>1</v>
      </c>
      <c r="AT291" s="437"/>
      <c r="AU291" s="438"/>
      <c r="AV291" s="441"/>
      <c r="AW291" s="441"/>
      <c r="AX291" s="441"/>
      <c r="AY291" s="441"/>
      <c r="AZ291" s="441"/>
      <c r="BA291" s="441"/>
      <c r="BB291" s="441"/>
      <c r="BC291" s="441"/>
      <c r="BE291" s="383"/>
      <c r="BF291" s="383"/>
      <c r="BG291" s="383"/>
      <c r="BH291" s="383"/>
      <c r="BI291" s="383"/>
      <c r="BJ291" s="383"/>
      <c r="BK291" s="383"/>
      <c r="BL291" s="383"/>
      <c r="BM291" s="383"/>
      <c r="BN291" s="383"/>
      <c r="BO291" s="383"/>
    </row>
    <row r="292" spans="1:67" x14ac:dyDescent="0.25">
      <c r="A292" s="335">
        <v>5909</v>
      </c>
      <c r="B292" s="425" t="s">
        <v>61</v>
      </c>
      <c r="C292" s="446">
        <v>1743465.48</v>
      </c>
      <c r="D292" s="33">
        <v>307317.15999999997</v>
      </c>
      <c r="E292" s="448"/>
      <c r="F292" s="452">
        <v>0</v>
      </c>
      <c r="G292" s="452">
        <v>20876.900000000001</v>
      </c>
      <c r="H292" s="453">
        <v>11543.3</v>
      </c>
      <c r="I292" s="451">
        <v>0</v>
      </c>
      <c r="J292" s="448">
        <v>20206.29</v>
      </c>
      <c r="K292" s="453">
        <v>405.95</v>
      </c>
      <c r="L292" s="448">
        <v>161649</v>
      </c>
      <c r="M292" s="422">
        <f t="shared" si="12"/>
        <v>2265464.08</v>
      </c>
      <c r="N292" s="446">
        <v>7425.25</v>
      </c>
      <c r="O292" s="446">
        <v>118143.8</v>
      </c>
      <c r="P292" s="446">
        <v>68158.2</v>
      </c>
      <c r="Q292" s="446">
        <v>0</v>
      </c>
      <c r="R292" s="33">
        <v>32391.15</v>
      </c>
      <c r="S292" s="340"/>
      <c r="T292" s="446">
        <v>571.1</v>
      </c>
      <c r="U292" s="33">
        <v>870</v>
      </c>
      <c r="V292" s="446">
        <v>2000</v>
      </c>
      <c r="W292" s="33"/>
      <c r="X292" s="417">
        <v>4720.5</v>
      </c>
      <c r="Y292" s="328">
        <f t="shared" si="13"/>
        <v>2499744.08</v>
      </c>
      <c r="Z292" s="33">
        <v>603.53</v>
      </c>
      <c r="AA292" s="33"/>
      <c r="AB292" s="33">
        <v>61294.27</v>
      </c>
      <c r="AC292" s="33"/>
      <c r="AD292" s="33">
        <v>43577.15</v>
      </c>
      <c r="AE292" s="33"/>
      <c r="AF292" s="33"/>
      <c r="AG292" s="33"/>
      <c r="AH292" s="33">
        <v>67542.55</v>
      </c>
      <c r="AI292" s="33"/>
      <c r="AJ292" s="33"/>
      <c r="AK292" s="33"/>
      <c r="AL292" s="33"/>
      <c r="AM292" s="328">
        <f t="shared" si="14"/>
        <v>173017.5</v>
      </c>
      <c r="AN292" s="371">
        <v>70</v>
      </c>
      <c r="AO292" s="388">
        <v>725</v>
      </c>
      <c r="AP292" s="33">
        <v>-607.57000000000005</v>
      </c>
      <c r="AQ292" s="332">
        <v>-5080.1499999999996</v>
      </c>
      <c r="AR292" s="33">
        <v>-42.92</v>
      </c>
      <c r="AS292" s="340">
        <v>1</v>
      </c>
      <c r="AT292" s="437"/>
      <c r="AU292" s="438"/>
      <c r="AV292" s="441"/>
      <c r="AW292" s="441"/>
      <c r="AX292" s="441"/>
      <c r="AY292" s="441"/>
      <c r="AZ292" s="441"/>
      <c r="BA292" s="441"/>
      <c r="BB292" s="441"/>
      <c r="BC292" s="441"/>
      <c r="BE292" s="383"/>
      <c r="BF292" s="383"/>
      <c r="BG292" s="383"/>
      <c r="BH292" s="383"/>
      <c r="BI292" s="383"/>
      <c r="BJ292" s="383"/>
      <c r="BK292" s="383"/>
      <c r="BL292" s="383"/>
      <c r="BM292" s="383"/>
      <c r="BN292" s="383"/>
      <c r="BO292" s="383"/>
    </row>
    <row r="293" spans="1:67" x14ac:dyDescent="0.25">
      <c r="A293" s="335">
        <v>5910</v>
      </c>
      <c r="B293" s="425" t="s">
        <v>62</v>
      </c>
      <c r="C293" s="446">
        <v>695083.48</v>
      </c>
      <c r="D293" s="33">
        <v>68155.42</v>
      </c>
      <c r="E293" s="448"/>
      <c r="F293" s="452">
        <v>2250</v>
      </c>
      <c r="G293" s="452">
        <v>7842.1</v>
      </c>
      <c r="H293" s="453">
        <v>141.75</v>
      </c>
      <c r="I293" s="451">
        <v>0</v>
      </c>
      <c r="J293" s="448">
        <v>9430.1200000000008</v>
      </c>
      <c r="K293" s="453">
        <v>0</v>
      </c>
      <c r="L293" s="448">
        <v>51399.6</v>
      </c>
      <c r="M293" s="422">
        <f t="shared" si="12"/>
        <v>834302.47</v>
      </c>
      <c r="N293" s="446">
        <v>0</v>
      </c>
      <c r="O293" s="446">
        <v>0</v>
      </c>
      <c r="P293" s="446">
        <v>37754.75</v>
      </c>
      <c r="Q293" s="446">
        <v>407.23</v>
      </c>
      <c r="R293" s="33">
        <v>115901.2</v>
      </c>
      <c r="S293" s="340"/>
      <c r="T293" s="446">
        <v>360</v>
      </c>
      <c r="U293" s="33">
        <v>4016.7</v>
      </c>
      <c r="V293" s="446"/>
      <c r="W293" s="33"/>
      <c r="X293" s="417">
        <v>1229.5</v>
      </c>
      <c r="Y293" s="328">
        <f t="shared" si="13"/>
        <v>993971.84999999986</v>
      </c>
      <c r="Z293" s="33"/>
      <c r="AA293" s="33"/>
      <c r="AB293" s="33">
        <v>27152</v>
      </c>
      <c r="AC293" s="33"/>
      <c r="AD293" s="33">
        <v>18591.8</v>
      </c>
      <c r="AE293" s="33"/>
      <c r="AF293" s="33"/>
      <c r="AG293" s="33"/>
      <c r="AH293" s="33"/>
      <c r="AI293" s="33"/>
      <c r="AJ293" s="33"/>
      <c r="AK293" s="33"/>
      <c r="AL293" s="33"/>
      <c r="AM293" s="328">
        <f t="shared" si="14"/>
        <v>45743.8</v>
      </c>
      <c r="AN293" s="371">
        <v>79</v>
      </c>
      <c r="AO293" s="388">
        <v>394</v>
      </c>
      <c r="AP293" s="33">
        <v>-30093.55</v>
      </c>
      <c r="AQ293" s="332"/>
      <c r="AR293" s="33">
        <v>0</v>
      </c>
      <c r="AS293" s="340">
        <v>1</v>
      </c>
      <c r="AT293" s="437"/>
      <c r="AU293" s="438"/>
      <c r="AV293" s="441"/>
      <c r="AW293" s="441"/>
      <c r="AX293" s="441"/>
      <c r="AY293" s="441"/>
      <c r="AZ293" s="441"/>
      <c r="BA293" s="441"/>
      <c r="BB293" s="441"/>
      <c r="BC293" s="441"/>
      <c r="BE293" s="383"/>
      <c r="BF293" s="383"/>
      <c r="BG293" s="383"/>
      <c r="BH293" s="383"/>
      <c r="BI293" s="383"/>
      <c r="BJ293" s="383"/>
      <c r="BK293" s="383"/>
      <c r="BL293" s="383"/>
      <c r="BM293" s="383"/>
      <c r="BN293" s="383"/>
      <c r="BO293" s="383"/>
    </row>
    <row r="294" spans="1:67" x14ac:dyDescent="0.25">
      <c r="A294" s="335">
        <v>5911</v>
      </c>
      <c r="B294" s="425" t="s">
        <v>63</v>
      </c>
      <c r="C294" s="446">
        <v>521367.49</v>
      </c>
      <c r="D294" s="33">
        <v>64080.66</v>
      </c>
      <c r="E294" s="448"/>
      <c r="F294" s="452">
        <v>1430</v>
      </c>
      <c r="G294" s="452">
        <v>1411.9</v>
      </c>
      <c r="H294" s="453">
        <v>787.55</v>
      </c>
      <c r="I294" s="451">
        <v>0</v>
      </c>
      <c r="J294" s="448">
        <v>-2142.9299999999998</v>
      </c>
      <c r="K294" s="453">
        <v>828.65</v>
      </c>
      <c r="L294" s="448">
        <v>32115.5</v>
      </c>
      <c r="M294" s="422">
        <f t="shared" si="12"/>
        <v>619878.82000000007</v>
      </c>
      <c r="N294" s="446">
        <v>1459.15</v>
      </c>
      <c r="O294" s="446">
        <v>156.1</v>
      </c>
      <c r="P294" s="446">
        <v>0</v>
      </c>
      <c r="Q294" s="446">
        <v>1.1599999999999999</v>
      </c>
      <c r="R294" s="33">
        <v>-16334.75</v>
      </c>
      <c r="S294" s="340"/>
      <c r="T294" s="446"/>
      <c r="U294" s="33">
        <v>800</v>
      </c>
      <c r="V294" s="446"/>
      <c r="W294" s="33"/>
      <c r="X294" s="417">
        <v>421.95</v>
      </c>
      <c r="Y294" s="328">
        <f t="shared" si="13"/>
        <v>606382.43000000005</v>
      </c>
      <c r="Z294" s="33">
        <v>21064.5</v>
      </c>
      <c r="AA294" s="33"/>
      <c r="AB294" s="33">
        <v>32048</v>
      </c>
      <c r="AC294" s="33"/>
      <c r="AD294" s="33">
        <v>12017.85</v>
      </c>
      <c r="AE294" s="33">
        <v>13500</v>
      </c>
      <c r="AF294" s="33"/>
      <c r="AG294" s="33"/>
      <c r="AH294" s="33"/>
      <c r="AI294" s="33"/>
      <c r="AJ294" s="33"/>
      <c r="AK294" s="33"/>
      <c r="AL294" s="33"/>
      <c r="AM294" s="328">
        <f t="shared" si="14"/>
        <v>78630.350000000006</v>
      </c>
      <c r="AN294" s="371">
        <v>79</v>
      </c>
      <c r="AO294" s="388">
        <v>239</v>
      </c>
      <c r="AP294" s="33">
        <v>-375.86</v>
      </c>
      <c r="AQ294" s="332"/>
      <c r="AR294" s="33">
        <v>-804.23</v>
      </c>
      <c r="AS294" s="340">
        <v>1</v>
      </c>
      <c r="AT294" s="437"/>
      <c r="AU294" s="438"/>
      <c r="AV294" s="441"/>
      <c r="AW294" s="441"/>
      <c r="AX294" s="441"/>
      <c r="AY294" s="441"/>
      <c r="AZ294" s="441"/>
      <c r="BA294" s="441"/>
      <c r="BB294" s="441"/>
      <c r="BC294" s="441"/>
      <c r="BE294" s="383"/>
      <c r="BF294" s="383"/>
      <c r="BG294" s="383"/>
      <c r="BH294" s="383"/>
      <c r="BI294" s="383"/>
      <c r="BJ294" s="383"/>
      <c r="BK294" s="383"/>
      <c r="BL294" s="383"/>
      <c r="BM294" s="383"/>
      <c r="BN294" s="383"/>
      <c r="BO294" s="383"/>
    </row>
    <row r="295" spans="1:67" x14ac:dyDescent="0.25">
      <c r="A295" s="335">
        <v>5912</v>
      </c>
      <c r="B295" s="425" t="s">
        <v>64</v>
      </c>
      <c r="C295" s="446">
        <v>255439.51</v>
      </c>
      <c r="D295" s="33">
        <v>42268.08</v>
      </c>
      <c r="E295" s="448"/>
      <c r="F295" s="452">
        <v>0</v>
      </c>
      <c r="G295" s="452">
        <v>55.25</v>
      </c>
      <c r="H295" s="453">
        <v>217.2</v>
      </c>
      <c r="I295" s="451">
        <v>0</v>
      </c>
      <c r="J295" s="448">
        <v>4037.7</v>
      </c>
      <c r="K295" s="453">
        <v>0</v>
      </c>
      <c r="L295" s="448">
        <v>20443.5</v>
      </c>
      <c r="M295" s="422">
        <f t="shared" si="12"/>
        <v>322461.24000000005</v>
      </c>
      <c r="N295" s="446">
        <v>0</v>
      </c>
      <c r="O295" s="446">
        <v>0</v>
      </c>
      <c r="P295" s="446">
        <v>0</v>
      </c>
      <c r="Q295" s="446">
        <v>0</v>
      </c>
      <c r="R295" s="33">
        <v>0</v>
      </c>
      <c r="S295" s="340"/>
      <c r="T295" s="446"/>
      <c r="U295" s="33">
        <v>1900</v>
      </c>
      <c r="V295" s="446"/>
      <c r="W295" s="33"/>
      <c r="X295" s="417">
        <v>208.55</v>
      </c>
      <c r="Y295" s="328">
        <f t="shared" si="13"/>
        <v>324569.79000000004</v>
      </c>
      <c r="Z295" s="33">
        <v>9000</v>
      </c>
      <c r="AA295" s="33"/>
      <c r="AB295" s="33">
        <v>18513.5</v>
      </c>
      <c r="AC295" s="33"/>
      <c r="AD295" s="33">
        <v>8875</v>
      </c>
      <c r="AE295" s="33">
        <v>5348</v>
      </c>
      <c r="AF295" s="33"/>
      <c r="AG295" s="33"/>
      <c r="AH295" s="33"/>
      <c r="AI295" s="33"/>
      <c r="AJ295" s="33"/>
      <c r="AK295" s="33"/>
      <c r="AL295" s="33"/>
      <c r="AM295" s="328">
        <f t="shared" si="14"/>
        <v>41736.5</v>
      </c>
      <c r="AN295" s="371">
        <v>81</v>
      </c>
      <c r="AO295" s="388">
        <v>156</v>
      </c>
      <c r="AP295" s="33">
        <v>-1465.79</v>
      </c>
      <c r="AQ295" s="332"/>
      <c r="AR295" s="33">
        <v>0</v>
      </c>
      <c r="AS295" s="340">
        <v>1</v>
      </c>
      <c r="AT295" s="437"/>
      <c r="AU295" s="438"/>
      <c r="AV295" s="441"/>
      <c r="AW295" s="441"/>
      <c r="AX295" s="441"/>
      <c r="AY295" s="441"/>
      <c r="AZ295" s="441"/>
      <c r="BA295" s="441"/>
      <c r="BB295" s="441"/>
      <c r="BC295" s="441"/>
      <c r="BE295" s="383"/>
      <c r="BF295" s="383"/>
      <c r="BG295" s="383"/>
      <c r="BH295" s="383"/>
      <c r="BI295" s="383"/>
      <c r="BJ295" s="383"/>
      <c r="BK295" s="383"/>
      <c r="BL295" s="383"/>
      <c r="BM295" s="383"/>
      <c r="BN295" s="383"/>
      <c r="BO295" s="383"/>
    </row>
    <row r="296" spans="1:67" x14ac:dyDescent="0.25">
      <c r="A296" s="335">
        <v>5913</v>
      </c>
      <c r="B296" s="425" t="s">
        <v>65</v>
      </c>
      <c r="C296" s="446">
        <v>1320885.8799999999</v>
      </c>
      <c r="D296" s="33">
        <v>117645.07</v>
      </c>
      <c r="E296" s="448"/>
      <c r="F296" s="452">
        <v>0</v>
      </c>
      <c r="G296" s="452">
        <v>8974.65</v>
      </c>
      <c r="H296" s="453">
        <v>416.55</v>
      </c>
      <c r="I296" s="451">
        <v>0</v>
      </c>
      <c r="J296" s="448">
        <v>16839.669999999998</v>
      </c>
      <c r="K296" s="453">
        <v>-192.35</v>
      </c>
      <c r="L296" s="448">
        <v>116046.95</v>
      </c>
      <c r="M296" s="422">
        <f t="shared" si="12"/>
        <v>1580616.4199999997</v>
      </c>
      <c r="N296" s="446">
        <v>24516.1</v>
      </c>
      <c r="O296" s="446">
        <v>3118.5</v>
      </c>
      <c r="P296" s="446">
        <v>63673.45</v>
      </c>
      <c r="Q296" s="446">
        <v>733.13</v>
      </c>
      <c r="R296" s="33">
        <v>84557.1</v>
      </c>
      <c r="S296" s="340"/>
      <c r="T296" s="446">
        <v>643.70000000000005</v>
      </c>
      <c r="U296" s="33">
        <v>5693.1</v>
      </c>
      <c r="V296" s="446"/>
      <c r="W296" s="33"/>
      <c r="X296" s="417">
        <v>4351.45</v>
      </c>
      <c r="Y296" s="328">
        <f t="shared" si="13"/>
        <v>1767902.9499999997</v>
      </c>
      <c r="Z296" s="33"/>
      <c r="AA296" s="33">
        <v>1110</v>
      </c>
      <c r="AB296" s="33">
        <v>73230.5</v>
      </c>
      <c r="AC296" s="33"/>
      <c r="AD296" s="33">
        <v>36551</v>
      </c>
      <c r="AE296" s="33">
        <v>33774.5</v>
      </c>
      <c r="AF296" s="33"/>
      <c r="AG296" s="33"/>
      <c r="AH296" s="33"/>
      <c r="AI296" s="33">
        <v>20448.05</v>
      </c>
      <c r="AJ296" s="33"/>
      <c r="AK296" s="33"/>
      <c r="AL296" s="33"/>
      <c r="AM296" s="328">
        <f t="shared" si="14"/>
        <v>165114.04999999999</v>
      </c>
      <c r="AN296" s="371">
        <v>73</v>
      </c>
      <c r="AO296" s="388">
        <v>823</v>
      </c>
      <c r="AP296" s="33">
        <v>-8026.96</v>
      </c>
      <c r="AQ296" s="332"/>
      <c r="AR296" s="33">
        <v>-644.23</v>
      </c>
      <c r="AS296" s="340">
        <v>1</v>
      </c>
      <c r="AT296" s="437"/>
      <c r="AU296" s="438"/>
      <c r="AV296" s="441"/>
      <c r="AW296" s="441"/>
      <c r="AX296" s="441"/>
      <c r="AY296" s="441"/>
      <c r="AZ296" s="441"/>
      <c r="BA296" s="441"/>
      <c r="BB296" s="441"/>
      <c r="BC296" s="441"/>
      <c r="BE296" s="383"/>
      <c r="BF296" s="383"/>
      <c r="BG296" s="383"/>
      <c r="BH296" s="383"/>
      <c r="BI296" s="383"/>
      <c r="BJ296" s="383"/>
      <c r="BK296" s="383"/>
      <c r="BL296" s="383"/>
      <c r="BM296" s="383"/>
      <c r="BN296" s="383"/>
      <c r="BO296" s="383"/>
    </row>
    <row r="297" spans="1:67" x14ac:dyDescent="0.25">
      <c r="A297" s="335">
        <v>5914</v>
      </c>
      <c r="B297" s="425" t="s">
        <v>66</v>
      </c>
      <c r="C297" s="446">
        <v>634100.51</v>
      </c>
      <c r="D297" s="33">
        <v>48491.19</v>
      </c>
      <c r="E297" s="448"/>
      <c r="F297" s="452">
        <v>2120</v>
      </c>
      <c r="G297" s="452">
        <v>10746.25</v>
      </c>
      <c r="H297" s="453">
        <v>7640.35</v>
      </c>
      <c r="I297" s="451">
        <v>0</v>
      </c>
      <c r="J297" s="448">
        <v>10620.09</v>
      </c>
      <c r="K297" s="453">
        <v>2894.6</v>
      </c>
      <c r="L297" s="448">
        <v>53812.65</v>
      </c>
      <c r="M297" s="422">
        <f t="shared" si="12"/>
        <v>770425.6399999999</v>
      </c>
      <c r="N297" s="446">
        <v>561.9</v>
      </c>
      <c r="O297" s="446">
        <v>0</v>
      </c>
      <c r="P297" s="446">
        <v>17616.8</v>
      </c>
      <c r="Q297" s="446">
        <v>0</v>
      </c>
      <c r="R297" s="33">
        <v>4520.8500000000004</v>
      </c>
      <c r="S297" s="340"/>
      <c r="T297" s="446">
        <v>897.25</v>
      </c>
      <c r="U297" s="33">
        <v>1260</v>
      </c>
      <c r="V297" s="446"/>
      <c r="W297" s="33"/>
      <c r="X297" s="417">
        <v>2014.1</v>
      </c>
      <c r="Y297" s="328">
        <f t="shared" si="13"/>
        <v>797296.53999999992</v>
      </c>
      <c r="Z297" s="33">
        <v>26472</v>
      </c>
      <c r="AA297" s="33"/>
      <c r="AB297" s="33">
        <v>64536</v>
      </c>
      <c r="AC297" s="33"/>
      <c r="AD297" s="33">
        <v>30362.75</v>
      </c>
      <c r="AE297" s="33"/>
      <c r="AF297" s="33"/>
      <c r="AG297" s="33"/>
      <c r="AH297" s="33"/>
      <c r="AI297" s="33"/>
      <c r="AJ297" s="33"/>
      <c r="AK297" s="33"/>
      <c r="AL297" s="33"/>
      <c r="AM297" s="328">
        <f t="shared" si="14"/>
        <v>121370.75</v>
      </c>
      <c r="AN297" s="371">
        <v>75</v>
      </c>
      <c r="AO297" s="388">
        <v>357</v>
      </c>
      <c r="AP297" s="33">
        <v>-13781.15</v>
      </c>
      <c r="AQ297" s="332"/>
      <c r="AR297" s="33">
        <v>0</v>
      </c>
      <c r="AS297" s="340">
        <v>1</v>
      </c>
      <c r="AT297" s="437"/>
      <c r="AU297" s="438"/>
      <c r="AV297" s="441"/>
      <c r="AW297" s="441"/>
      <c r="AX297" s="441"/>
      <c r="AY297" s="441"/>
      <c r="AZ297" s="441"/>
      <c r="BA297" s="441"/>
      <c r="BB297" s="441"/>
      <c r="BC297" s="441"/>
      <c r="BE297" s="383"/>
      <c r="BF297" s="383"/>
      <c r="BG297" s="383"/>
      <c r="BH297" s="383"/>
      <c r="BI297" s="383"/>
      <c r="BJ297" s="383"/>
      <c r="BK297" s="383"/>
      <c r="BL297" s="383"/>
      <c r="BM297" s="383"/>
      <c r="BN297" s="383"/>
      <c r="BO297" s="383"/>
    </row>
    <row r="298" spans="1:67" x14ac:dyDescent="0.25">
      <c r="A298" s="335">
        <v>5919</v>
      </c>
      <c r="B298" s="425" t="s">
        <v>394</v>
      </c>
      <c r="C298" s="446">
        <v>946428.04</v>
      </c>
      <c r="D298" s="33">
        <v>148988.65</v>
      </c>
      <c r="E298" s="448"/>
      <c r="F298" s="452">
        <v>3620</v>
      </c>
      <c r="G298" s="452">
        <v>23470.5</v>
      </c>
      <c r="H298" s="453">
        <v>1398.2</v>
      </c>
      <c r="I298" s="451">
        <v>0</v>
      </c>
      <c r="J298" s="448">
        <v>14666.37</v>
      </c>
      <c r="K298" s="453">
        <v>9935.2000000000007</v>
      </c>
      <c r="L298" s="448">
        <v>134589.1</v>
      </c>
      <c r="M298" s="422">
        <f t="shared" si="12"/>
        <v>1283096.06</v>
      </c>
      <c r="N298" s="446">
        <v>4963.05</v>
      </c>
      <c r="O298" s="446">
        <v>0</v>
      </c>
      <c r="P298" s="446">
        <v>49362.7</v>
      </c>
      <c r="Q298" s="446">
        <v>11563.69</v>
      </c>
      <c r="R298" s="33">
        <v>8979.65</v>
      </c>
      <c r="S298" s="340"/>
      <c r="T298" s="446"/>
      <c r="U298" s="33">
        <v>3300</v>
      </c>
      <c r="V298" s="446"/>
      <c r="W298" s="33"/>
      <c r="X298" s="417">
        <v>6870.45</v>
      </c>
      <c r="Y298" s="328">
        <f t="shared" si="13"/>
        <v>1368135.5999999999</v>
      </c>
      <c r="Z298" s="33">
        <v>69925.5</v>
      </c>
      <c r="AA298" s="33" t="s">
        <v>599</v>
      </c>
      <c r="AB298" s="33">
        <v>156666.20000000001</v>
      </c>
      <c r="AC298" s="33" t="s">
        <v>599</v>
      </c>
      <c r="AD298" s="33">
        <v>48918.25</v>
      </c>
      <c r="AE298" s="33">
        <v>14619.45</v>
      </c>
      <c r="AF298" s="33" t="s">
        <v>599</v>
      </c>
      <c r="AG298" s="33" t="s">
        <v>599</v>
      </c>
      <c r="AH298" s="33" t="s">
        <v>599</v>
      </c>
      <c r="AI298" s="33"/>
      <c r="AJ298" s="33"/>
      <c r="AK298" s="33"/>
      <c r="AL298" s="33"/>
      <c r="AM298" s="328">
        <f t="shared" si="14"/>
        <v>290129.40000000002</v>
      </c>
      <c r="AN298" s="371">
        <v>72</v>
      </c>
      <c r="AO298" s="388">
        <v>601</v>
      </c>
      <c r="AP298" s="33">
        <v>-20763.830000000002</v>
      </c>
      <c r="AQ298" s="332"/>
      <c r="AR298" s="33">
        <v>-102.96</v>
      </c>
      <c r="AS298" s="340">
        <v>1.2</v>
      </c>
      <c r="AT298" s="437"/>
      <c r="AU298" s="438"/>
      <c r="AV298" s="441"/>
      <c r="AW298" s="441"/>
      <c r="AX298" s="441"/>
      <c r="AY298" s="441"/>
      <c r="AZ298" s="441"/>
      <c r="BA298" s="441"/>
      <c r="BB298" s="441"/>
      <c r="BC298" s="441"/>
      <c r="BE298" s="383"/>
      <c r="BF298" s="383"/>
      <c r="BG298" s="383"/>
      <c r="BH298" s="383"/>
      <c r="BI298" s="383"/>
      <c r="BJ298" s="383"/>
      <c r="BK298" s="383"/>
      <c r="BL298" s="383"/>
      <c r="BM298" s="383"/>
      <c r="BN298" s="383"/>
      <c r="BO298" s="383"/>
    </row>
    <row r="299" spans="1:67" x14ac:dyDescent="0.25">
      <c r="A299" s="335">
        <v>5921</v>
      </c>
      <c r="B299" s="425" t="s">
        <v>395</v>
      </c>
      <c r="C299" s="446">
        <v>334596.24</v>
      </c>
      <c r="D299" s="33">
        <v>43075.89</v>
      </c>
      <c r="E299" s="448"/>
      <c r="F299" s="452">
        <v>0</v>
      </c>
      <c r="G299" s="452">
        <v>20777.55</v>
      </c>
      <c r="H299" s="453">
        <v>1454.7</v>
      </c>
      <c r="I299" s="451">
        <v>0</v>
      </c>
      <c r="J299" s="448">
        <v>20897.88</v>
      </c>
      <c r="K299" s="453">
        <v>0</v>
      </c>
      <c r="L299" s="448">
        <v>31965.25</v>
      </c>
      <c r="M299" s="422">
        <f t="shared" si="12"/>
        <v>452767.51</v>
      </c>
      <c r="N299" s="446">
        <v>0</v>
      </c>
      <c r="O299" s="446">
        <v>74.7</v>
      </c>
      <c r="P299" s="446">
        <v>15563.9</v>
      </c>
      <c r="Q299" s="446">
        <v>2228.85</v>
      </c>
      <c r="R299" s="33">
        <v>27571.7</v>
      </c>
      <c r="S299" s="340"/>
      <c r="T299" s="446">
        <v>175</v>
      </c>
      <c r="U299" s="33">
        <v>1710</v>
      </c>
      <c r="V299" s="446">
        <v>260</v>
      </c>
      <c r="W299" s="33"/>
      <c r="X299" s="417">
        <v>4285.55</v>
      </c>
      <c r="Y299" s="328">
        <f t="shared" si="13"/>
        <v>504637.21</v>
      </c>
      <c r="Z299" s="33"/>
      <c r="AA299" s="33"/>
      <c r="AB299" s="33">
        <v>43275</v>
      </c>
      <c r="AC299" s="33"/>
      <c r="AD299" s="33">
        <v>8959.7000000000007</v>
      </c>
      <c r="AE299" s="33"/>
      <c r="AF299" s="33"/>
      <c r="AG299" s="33"/>
      <c r="AH299" s="33"/>
      <c r="AI299" s="33"/>
      <c r="AJ299" s="33"/>
      <c r="AK299" s="33"/>
      <c r="AL299" s="33"/>
      <c r="AM299" s="328">
        <f t="shared" si="14"/>
        <v>52234.7</v>
      </c>
      <c r="AN299" s="371">
        <v>81</v>
      </c>
      <c r="AO299" s="388">
        <v>240</v>
      </c>
      <c r="AP299" s="33">
        <v>-366.93</v>
      </c>
      <c r="AQ299" s="332"/>
      <c r="AR299" s="33">
        <v>-0.19</v>
      </c>
      <c r="AS299" s="340">
        <v>1</v>
      </c>
      <c r="AT299" s="437"/>
      <c r="AU299" s="438"/>
      <c r="AV299" s="441"/>
      <c r="AW299" s="441"/>
      <c r="AX299" s="441"/>
      <c r="AY299" s="441"/>
      <c r="AZ299" s="441"/>
      <c r="BA299" s="441"/>
      <c r="BB299" s="441"/>
      <c r="BC299" s="441"/>
      <c r="BE299" s="383"/>
      <c r="BF299" s="383"/>
      <c r="BG299" s="383"/>
      <c r="BH299" s="383"/>
      <c r="BI299" s="383"/>
      <c r="BJ299" s="383"/>
      <c r="BK299" s="383"/>
      <c r="BL299" s="383"/>
      <c r="BM299" s="383"/>
      <c r="BN299" s="383"/>
      <c r="BO299" s="383"/>
    </row>
    <row r="300" spans="1:67" x14ac:dyDescent="0.25">
      <c r="A300" s="335">
        <v>5922</v>
      </c>
      <c r="B300" s="425" t="s">
        <v>273</v>
      </c>
      <c r="C300" s="446">
        <v>1397660.45</v>
      </c>
      <c r="D300" s="33">
        <v>215667.86</v>
      </c>
      <c r="E300" s="448"/>
      <c r="F300" s="452">
        <v>0</v>
      </c>
      <c r="G300" s="452">
        <v>252635.45</v>
      </c>
      <c r="H300" s="453">
        <v>17219.849999999999</v>
      </c>
      <c r="I300" s="451">
        <v>0</v>
      </c>
      <c r="J300" s="448">
        <v>53659.53</v>
      </c>
      <c r="K300" s="453">
        <v>65060.55</v>
      </c>
      <c r="L300" s="448">
        <v>259902.45</v>
      </c>
      <c r="M300" s="422">
        <f t="shared" si="12"/>
        <v>2261806.14</v>
      </c>
      <c r="N300" s="446">
        <v>195665</v>
      </c>
      <c r="O300" s="446">
        <v>11035.2</v>
      </c>
      <c r="P300" s="446">
        <v>151526.65</v>
      </c>
      <c r="Q300" s="446">
        <v>0</v>
      </c>
      <c r="R300" s="33">
        <v>45928.65</v>
      </c>
      <c r="S300" s="340">
        <v>4325</v>
      </c>
      <c r="T300" s="446">
        <v>83784.55</v>
      </c>
      <c r="U300" s="33">
        <v>1680</v>
      </c>
      <c r="V300" s="446"/>
      <c r="W300" s="33"/>
      <c r="X300" s="417">
        <v>140905.65</v>
      </c>
      <c r="Y300" s="328">
        <f t="shared" si="13"/>
        <v>2896656.84</v>
      </c>
      <c r="Z300" s="33">
        <v>8735.4</v>
      </c>
      <c r="AA300" s="33"/>
      <c r="AB300" s="33">
        <v>184922.1</v>
      </c>
      <c r="AC300" s="33"/>
      <c r="AD300" s="33">
        <v>130852</v>
      </c>
      <c r="AE300" s="33">
        <v>5235.5</v>
      </c>
      <c r="AF300" s="33"/>
      <c r="AG300" s="33"/>
      <c r="AH300" s="33">
        <v>54.35</v>
      </c>
      <c r="AI300" s="33">
        <v>93360.95</v>
      </c>
      <c r="AJ300" s="33"/>
      <c r="AK300" s="33"/>
      <c r="AL300" s="33"/>
      <c r="AM300" s="328">
        <f t="shared" si="14"/>
        <v>423160.3</v>
      </c>
      <c r="AN300" s="371">
        <v>65</v>
      </c>
      <c r="AO300" s="388">
        <v>747</v>
      </c>
      <c r="AP300" s="33">
        <v>-22200.68</v>
      </c>
      <c r="AQ300" s="332"/>
      <c r="AR300" s="33">
        <v>-227.57</v>
      </c>
      <c r="AS300" s="340">
        <v>0.8</v>
      </c>
      <c r="AT300" s="437"/>
      <c r="AU300" s="438"/>
      <c r="AV300" s="441"/>
      <c r="AW300" s="441"/>
      <c r="AX300" s="441"/>
      <c r="AY300" s="441"/>
      <c r="AZ300" s="441"/>
      <c r="BA300" s="441"/>
      <c r="BB300" s="441"/>
      <c r="BC300" s="441"/>
      <c r="BE300" s="383"/>
      <c r="BF300" s="383"/>
      <c r="BG300" s="383"/>
      <c r="BH300" s="383"/>
      <c r="BI300" s="383"/>
      <c r="BJ300" s="383"/>
      <c r="BK300" s="383"/>
      <c r="BL300" s="383"/>
      <c r="BM300" s="383"/>
      <c r="BN300" s="383"/>
      <c r="BO300" s="383"/>
    </row>
    <row r="301" spans="1:67" x14ac:dyDescent="0.25">
      <c r="A301" s="335">
        <v>5923</v>
      </c>
      <c r="B301" s="425" t="s">
        <v>274</v>
      </c>
      <c r="C301" s="446">
        <v>351769.88</v>
      </c>
      <c r="D301" s="33">
        <v>36391.94</v>
      </c>
      <c r="E301" s="448"/>
      <c r="F301" s="452">
        <v>0</v>
      </c>
      <c r="G301" s="452">
        <v>2712.25</v>
      </c>
      <c r="H301" s="453">
        <v>1100.75</v>
      </c>
      <c r="I301" s="451">
        <v>0</v>
      </c>
      <c r="J301" s="448">
        <v>24338.29</v>
      </c>
      <c r="K301" s="453">
        <v>0</v>
      </c>
      <c r="L301" s="448">
        <v>25830</v>
      </c>
      <c r="M301" s="422">
        <f t="shared" si="12"/>
        <v>442143.11</v>
      </c>
      <c r="N301" s="446">
        <v>19625.8</v>
      </c>
      <c r="O301" s="446">
        <v>0</v>
      </c>
      <c r="P301" s="446">
        <v>7774.8</v>
      </c>
      <c r="Q301" s="446">
        <v>0</v>
      </c>
      <c r="R301" s="33">
        <v>9012</v>
      </c>
      <c r="S301" s="340"/>
      <c r="T301" s="446"/>
      <c r="U301" s="33">
        <v>2624</v>
      </c>
      <c r="V301" s="446"/>
      <c r="W301" s="33"/>
      <c r="X301" s="417">
        <v>1281</v>
      </c>
      <c r="Y301" s="328">
        <f t="shared" si="13"/>
        <v>482460.70999999996</v>
      </c>
      <c r="Z301" s="33"/>
      <c r="AA301" s="33"/>
      <c r="AB301" s="33">
        <v>51217</v>
      </c>
      <c r="AC301" s="33"/>
      <c r="AD301" s="33">
        <v>16924.349999999999</v>
      </c>
      <c r="AE301" s="33"/>
      <c r="AF301" s="33"/>
      <c r="AG301" s="33"/>
      <c r="AH301" s="33"/>
      <c r="AI301" s="33"/>
      <c r="AJ301" s="33"/>
      <c r="AK301" s="33"/>
      <c r="AL301" s="33"/>
      <c r="AM301" s="328">
        <f t="shared" si="14"/>
        <v>68141.350000000006</v>
      </c>
      <c r="AN301" s="371">
        <v>81</v>
      </c>
      <c r="AO301" s="388">
        <v>202</v>
      </c>
      <c r="AP301" s="33">
        <v>-6064.4</v>
      </c>
      <c r="AQ301" s="332"/>
      <c r="AR301" s="33">
        <v>0</v>
      </c>
      <c r="AS301" s="340">
        <v>1</v>
      </c>
      <c r="AT301" s="437"/>
      <c r="AU301" s="438"/>
      <c r="AV301" s="441"/>
      <c r="AW301" s="441"/>
      <c r="AX301" s="441"/>
      <c r="AY301" s="441"/>
      <c r="AZ301" s="441"/>
      <c r="BA301" s="441"/>
      <c r="BB301" s="441"/>
      <c r="BC301" s="441"/>
      <c r="BE301" s="383"/>
      <c r="BF301" s="383"/>
      <c r="BG301" s="383"/>
      <c r="BH301" s="383"/>
      <c r="BI301" s="383"/>
      <c r="BJ301" s="383"/>
      <c r="BK301" s="383"/>
      <c r="BL301" s="383"/>
      <c r="BM301" s="383"/>
      <c r="BN301" s="383"/>
      <c r="BO301" s="383"/>
    </row>
    <row r="302" spans="1:67" x14ac:dyDescent="0.25">
      <c r="A302" s="335">
        <v>5924</v>
      </c>
      <c r="B302" s="425" t="s">
        <v>275</v>
      </c>
      <c r="C302" s="446">
        <v>708148.35</v>
      </c>
      <c r="D302" s="33">
        <v>84202.4</v>
      </c>
      <c r="E302" s="448"/>
      <c r="F302" s="452">
        <v>0</v>
      </c>
      <c r="G302" s="452">
        <v>19338.25</v>
      </c>
      <c r="H302" s="453">
        <v>731.3</v>
      </c>
      <c r="I302" s="451">
        <v>0</v>
      </c>
      <c r="J302" s="448">
        <v>10428.48</v>
      </c>
      <c r="K302" s="453">
        <v>0</v>
      </c>
      <c r="L302" s="448">
        <v>53155.75</v>
      </c>
      <c r="M302" s="422">
        <f t="shared" si="12"/>
        <v>876004.53</v>
      </c>
      <c r="N302" s="446">
        <v>10554.8</v>
      </c>
      <c r="O302" s="446">
        <v>46797.9</v>
      </c>
      <c r="P302" s="446">
        <v>24429.15</v>
      </c>
      <c r="Q302" s="446">
        <v>35.67</v>
      </c>
      <c r="R302" s="33">
        <v>18006.400000000001</v>
      </c>
      <c r="S302" s="340">
        <v>1380</v>
      </c>
      <c r="T302" s="446"/>
      <c r="U302" s="33">
        <v>3095.3</v>
      </c>
      <c r="V302" s="446"/>
      <c r="W302" s="33"/>
      <c r="X302" s="417">
        <v>5946</v>
      </c>
      <c r="Y302" s="328">
        <f t="shared" si="13"/>
        <v>986249.75000000023</v>
      </c>
      <c r="Z302" s="33">
        <v>64630.9</v>
      </c>
      <c r="AA302" s="33"/>
      <c r="AB302" s="33">
        <v>31190.2</v>
      </c>
      <c r="AC302" s="33"/>
      <c r="AD302" s="33">
        <v>14184.65</v>
      </c>
      <c r="AE302" s="33">
        <v>41052.800000000003</v>
      </c>
      <c r="AF302" s="33" t="s">
        <v>599</v>
      </c>
      <c r="AG302" s="33" t="s">
        <v>599</v>
      </c>
      <c r="AH302" s="33">
        <v>894.8</v>
      </c>
      <c r="AI302" s="33"/>
      <c r="AJ302" s="33"/>
      <c r="AK302" s="33"/>
      <c r="AL302" s="33"/>
      <c r="AM302" s="328">
        <f t="shared" si="14"/>
        <v>151953.34999999998</v>
      </c>
      <c r="AN302" s="371">
        <v>74</v>
      </c>
      <c r="AO302" s="388">
        <v>332</v>
      </c>
      <c r="AP302" s="33">
        <v>-509.78</v>
      </c>
      <c r="AQ302" s="332"/>
      <c r="AR302" s="33">
        <v>-36.28</v>
      </c>
      <c r="AS302" s="340">
        <v>1</v>
      </c>
      <c r="AT302" s="437"/>
      <c r="AU302" s="438"/>
      <c r="AV302" s="441"/>
      <c r="AW302" s="441"/>
      <c r="AX302" s="441"/>
      <c r="AY302" s="441"/>
      <c r="AZ302" s="441"/>
      <c r="BA302" s="441"/>
      <c r="BB302" s="441"/>
      <c r="BC302" s="441"/>
      <c r="BE302" s="383"/>
      <c r="BF302" s="383"/>
      <c r="BG302" s="383"/>
      <c r="BH302" s="383"/>
      <c r="BI302" s="383"/>
      <c r="BJ302" s="383"/>
      <c r="BK302" s="383"/>
      <c r="BL302" s="383"/>
      <c r="BM302" s="383"/>
      <c r="BN302" s="383"/>
      <c r="BO302" s="383"/>
    </row>
    <row r="303" spans="1:67" x14ac:dyDescent="0.25">
      <c r="A303" s="335">
        <v>5925</v>
      </c>
      <c r="B303" s="425" t="s">
        <v>399</v>
      </c>
      <c r="C303" s="446">
        <v>344400.15</v>
      </c>
      <c r="D303" s="33">
        <v>45712.13</v>
      </c>
      <c r="E303" s="448"/>
      <c r="F303" s="452">
        <v>1190</v>
      </c>
      <c r="G303" s="452">
        <v>1851.7</v>
      </c>
      <c r="H303" s="453">
        <v>256.55</v>
      </c>
      <c r="I303" s="451">
        <v>0</v>
      </c>
      <c r="J303" s="448">
        <v>7626.19</v>
      </c>
      <c r="K303" s="453">
        <v>0</v>
      </c>
      <c r="L303" s="448">
        <v>30671.1</v>
      </c>
      <c r="M303" s="422">
        <f t="shared" si="12"/>
        <v>431707.82</v>
      </c>
      <c r="N303" s="446">
        <v>9065.0499999999993</v>
      </c>
      <c r="O303" s="446">
        <v>20179.5</v>
      </c>
      <c r="P303" s="446">
        <v>52571.75</v>
      </c>
      <c r="Q303" s="446">
        <v>0</v>
      </c>
      <c r="R303" s="33">
        <v>112526.85</v>
      </c>
      <c r="S303" s="340"/>
      <c r="T303" s="446">
        <v>160</v>
      </c>
      <c r="U303" s="33">
        <v>2080</v>
      </c>
      <c r="V303" s="446"/>
      <c r="W303" s="33"/>
      <c r="X303" s="417">
        <v>716.65</v>
      </c>
      <c r="Y303" s="328">
        <f t="shared" si="13"/>
        <v>629007.62</v>
      </c>
      <c r="Z303" s="33"/>
      <c r="AA303" s="33"/>
      <c r="AB303" s="33">
        <v>38419.599999999999</v>
      </c>
      <c r="AC303" s="33"/>
      <c r="AD303" s="33">
        <v>13869.6</v>
      </c>
      <c r="AE303" s="33">
        <v>993.4</v>
      </c>
      <c r="AF303" s="33"/>
      <c r="AG303" s="33"/>
      <c r="AH303" s="33"/>
      <c r="AI303" s="33"/>
      <c r="AJ303" s="33"/>
      <c r="AK303" s="33"/>
      <c r="AL303" s="33"/>
      <c r="AM303" s="328">
        <f t="shared" si="14"/>
        <v>53282.6</v>
      </c>
      <c r="AN303" s="371">
        <v>79</v>
      </c>
      <c r="AO303" s="388">
        <v>208</v>
      </c>
      <c r="AP303" s="33">
        <v>-9901.7900000000009</v>
      </c>
      <c r="AQ303" s="332"/>
      <c r="AR303" s="33">
        <v>0</v>
      </c>
      <c r="AS303" s="340">
        <v>1</v>
      </c>
      <c r="AT303" s="437"/>
      <c r="AU303" s="438"/>
      <c r="AV303" s="441"/>
      <c r="AW303" s="441"/>
      <c r="AX303" s="441"/>
      <c r="AY303" s="441"/>
      <c r="AZ303" s="441"/>
      <c r="BA303" s="441"/>
      <c r="BB303" s="441"/>
      <c r="BC303" s="441"/>
      <c r="BE303" s="383"/>
      <c r="BF303" s="383"/>
      <c r="BG303" s="383"/>
      <c r="BH303" s="383"/>
      <c r="BI303" s="383"/>
      <c r="BJ303" s="383"/>
      <c r="BK303" s="383"/>
      <c r="BL303" s="383"/>
      <c r="BM303" s="383"/>
      <c r="BN303" s="383"/>
      <c r="BO303" s="383"/>
    </row>
    <row r="304" spans="1:67" x14ac:dyDescent="0.25">
      <c r="A304" s="335">
        <v>5926</v>
      </c>
      <c r="B304" s="425" t="s">
        <v>400</v>
      </c>
      <c r="C304" s="446">
        <v>1446200.52</v>
      </c>
      <c r="D304" s="33">
        <v>342475.98</v>
      </c>
      <c r="E304" s="448"/>
      <c r="F304" s="452">
        <v>0</v>
      </c>
      <c r="G304" s="452">
        <v>23941.200000000001</v>
      </c>
      <c r="H304" s="453">
        <v>1531.25</v>
      </c>
      <c r="I304" s="451">
        <v>0</v>
      </c>
      <c r="J304" s="448">
        <v>15937.63</v>
      </c>
      <c r="K304" s="453">
        <v>0</v>
      </c>
      <c r="L304" s="448">
        <v>121418</v>
      </c>
      <c r="M304" s="422">
        <f t="shared" si="12"/>
        <v>1951504.5799999998</v>
      </c>
      <c r="N304" s="446">
        <v>2452.3000000000002</v>
      </c>
      <c r="O304" s="446">
        <v>58866.1</v>
      </c>
      <c r="P304" s="446">
        <v>15070</v>
      </c>
      <c r="Q304" s="446">
        <v>1953.87</v>
      </c>
      <c r="R304" s="33">
        <v>19061.400000000001</v>
      </c>
      <c r="S304" s="340"/>
      <c r="T304" s="446">
        <v>1400</v>
      </c>
      <c r="U304" s="33">
        <v>4200</v>
      </c>
      <c r="V304" s="446"/>
      <c r="W304" s="33"/>
      <c r="X304" s="417">
        <v>9073</v>
      </c>
      <c r="Y304" s="328">
        <f t="shared" si="13"/>
        <v>2063581.25</v>
      </c>
      <c r="Z304" s="33">
        <v>55208</v>
      </c>
      <c r="AA304" s="33"/>
      <c r="AB304" s="33">
        <v>52427.75</v>
      </c>
      <c r="AC304" s="33"/>
      <c r="AD304" s="33">
        <v>45275.1</v>
      </c>
      <c r="AE304" s="33">
        <v>55108</v>
      </c>
      <c r="AF304" s="33">
        <v>5675.95</v>
      </c>
      <c r="AG304" s="33"/>
      <c r="AH304" s="33">
        <v>865.2</v>
      </c>
      <c r="AI304" s="33"/>
      <c r="AJ304" s="33"/>
      <c r="AK304" s="33"/>
      <c r="AL304" s="33"/>
      <c r="AM304" s="328">
        <f t="shared" si="14"/>
        <v>214560.00000000003</v>
      </c>
      <c r="AN304" s="371">
        <v>71</v>
      </c>
      <c r="AO304" s="388">
        <v>793</v>
      </c>
      <c r="AP304" s="33">
        <v>-5221.0200000000004</v>
      </c>
      <c r="AQ304" s="332"/>
      <c r="AR304" s="33">
        <v>-269.63</v>
      </c>
      <c r="AS304" s="340">
        <v>1</v>
      </c>
      <c r="AT304" s="437"/>
      <c r="AU304" s="438"/>
      <c r="AV304" s="441"/>
      <c r="AW304" s="441"/>
      <c r="AX304" s="441"/>
      <c r="AY304" s="441"/>
      <c r="AZ304" s="441"/>
      <c r="BA304" s="441"/>
      <c r="BB304" s="441"/>
      <c r="BC304" s="441"/>
      <c r="BE304" s="383"/>
      <c r="BF304" s="383"/>
      <c r="BG304" s="383"/>
      <c r="BH304" s="383"/>
      <c r="BI304" s="383"/>
      <c r="BJ304" s="383"/>
      <c r="BK304" s="383"/>
      <c r="BL304" s="383"/>
      <c r="BM304" s="383"/>
      <c r="BN304" s="383"/>
      <c r="BO304" s="383"/>
    </row>
    <row r="305" spans="1:67" x14ac:dyDescent="0.25">
      <c r="A305" s="335">
        <v>5928</v>
      </c>
      <c r="B305" s="425" t="s">
        <v>401</v>
      </c>
      <c r="C305" s="446">
        <v>358889.18</v>
      </c>
      <c r="D305" s="33">
        <v>49978.23</v>
      </c>
      <c r="E305" s="448"/>
      <c r="F305" s="452">
        <v>0</v>
      </c>
      <c r="G305" s="452">
        <v>2846.7</v>
      </c>
      <c r="H305" s="453">
        <v>67.05</v>
      </c>
      <c r="I305" s="451">
        <v>0</v>
      </c>
      <c r="J305" s="448">
        <v>8610.8799999999992</v>
      </c>
      <c r="K305" s="453">
        <v>0</v>
      </c>
      <c r="L305" s="448">
        <v>22963</v>
      </c>
      <c r="M305" s="422">
        <f t="shared" si="12"/>
        <v>443355.04</v>
      </c>
      <c r="N305" s="446">
        <v>3733</v>
      </c>
      <c r="O305" s="446">
        <v>23831.3</v>
      </c>
      <c r="P305" s="446">
        <v>10735.2</v>
      </c>
      <c r="Q305" s="446">
        <v>3860.41</v>
      </c>
      <c r="R305" s="33">
        <v>20592.400000000001</v>
      </c>
      <c r="S305" s="340"/>
      <c r="T305" s="446"/>
      <c r="U305" s="33">
        <v>1140</v>
      </c>
      <c r="V305" s="446"/>
      <c r="W305" s="33"/>
      <c r="X305" s="417">
        <v>295.5</v>
      </c>
      <c r="Y305" s="328">
        <f t="shared" si="13"/>
        <v>507542.85</v>
      </c>
      <c r="Z305" s="33">
        <v>11000</v>
      </c>
      <c r="AA305" s="33"/>
      <c r="AB305" s="33">
        <v>32601.65</v>
      </c>
      <c r="AC305" s="33"/>
      <c r="AD305" s="33">
        <v>8717.65</v>
      </c>
      <c r="AE305" s="33">
        <v>4000</v>
      </c>
      <c r="AF305" s="33"/>
      <c r="AG305" s="33"/>
      <c r="AH305" s="33"/>
      <c r="AI305" s="33"/>
      <c r="AJ305" s="33"/>
      <c r="AK305" s="33"/>
      <c r="AL305" s="33"/>
      <c r="AM305" s="328">
        <f t="shared" si="14"/>
        <v>56319.3</v>
      </c>
      <c r="AN305" s="371">
        <v>73</v>
      </c>
      <c r="AO305" s="388">
        <v>185</v>
      </c>
      <c r="AP305" s="33">
        <v>-9350.0400000000009</v>
      </c>
      <c r="AQ305" s="332"/>
      <c r="AR305" s="33">
        <v>-13.5</v>
      </c>
      <c r="AS305" s="340">
        <v>1</v>
      </c>
      <c r="AT305" s="437"/>
      <c r="AU305" s="438"/>
      <c r="AV305" s="441"/>
      <c r="AW305" s="441"/>
      <c r="AX305" s="441"/>
      <c r="AY305" s="462"/>
      <c r="AZ305" s="441"/>
      <c r="BA305" s="441"/>
      <c r="BB305" s="441"/>
      <c r="BC305" s="441"/>
      <c r="BE305" s="383"/>
      <c r="BF305" s="383"/>
      <c r="BG305" s="383"/>
      <c r="BH305" s="383"/>
      <c r="BI305" s="383"/>
      <c r="BJ305" s="383"/>
      <c r="BK305" s="383"/>
      <c r="BL305" s="383"/>
      <c r="BM305" s="383"/>
      <c r="BN305" s="383"/>
      <c r="BO305" s="383"/>
    </row>
    <row r="306" spans="1:67" x14ac:dyDescent="0.25">
      <c r="A306" s="335">
        <v>5929</v>
      </c>
      <c r="B306" s="425" t="s">
        <v>402</v>
      </c>
      <c r="C306" s="446">
        <v>900971.15</v>
      </c>
      <c r="D306" s="33">
        <v>137965.65</v>
      </c>
      <c r="E306" s="448"/>
      <c r="F306" s="452">
        <v>0</v>
      </c>
      <c r="G306" s="452">
        <v>7776.55</v>
      </c>
      <c r="H306" s="453">
        <v>731.95</v>
      </c>
      <c r="I306" s="451">
        <v>41100.15</v>
      </c>
      <c r="J306" s="448">
        <v>25049.05</v>
      </c>
      <c r="K306" s="453">
        <v>0</v>
      </c>
      <c r="L306" s="448">
        <v>86211.1</v>
      </c>
      <c r="M306" s="422">
        <f t="shared" si="12"/>
        <v>1199805.6000000001</v>
      </c>
      <c r="N306" s="446">
        <v>7224.65</v>
      </c>
      <c r="O306" s="446">
        <v>98806.2</v>
      </c>
      <c r="P306" s="446">
        <v>53798.15</v>
      </c>
      <c r="Q306" s="446">
        <v>0</v>
      </c>
      <c r="R306" s="33">
        <v>54952.3</v>
      </c>
      <c r="S306" s="340"/>
      <c r="T306" s="446">
        <v>539.1</v>
      </c>
      <c r="U306" s="33">
        <v>1920</v>
      </c>
      <c r="V306" s="446"/>
      <c r="W306" s="33"/>
      <c r="X306" s="417">
        <v>4099.2</v>
      </c>
      <c r="Y306" s="328">
        <f t="shared" si="13"/>
        <v>1421145.2</v>
      </c>
      <c r="Z306" s="33">
        <v>1147.5999999999999</v>
      </c>
      <c r="AA306" s="33"/>
      <c r="AB306" s="33">
        <v>207101.6</v>
      </c>
      <c r="AC306" s="33"/>
      <c r="AD306" s="33">
        <v>42987</v>
      </c>
      <c r="AE306" s="33"/>
      <c r="AF306" s="33"/>
      <c r="AG306" s="33"/>
      <c r="AH306" s="33"/>
      <c r="AI306" s="33">
        <v>11720.5</v>
      </c>
      <c r="AJ306" s="33"/>
      <c r="AK306" s="33"/>
      <c r="AL306" s="33"/>
      <c r="AM306" s="328">
        <f t="shared" si="14"/>
        <v>262956.7</v>
      </c>
      <c r="AN306" s="371">
        <v>70</v>
      </c>
      <c r="AO306" s="388">
        <v>645</v>
      </c>
      <c r="AP306" s="33">
        <v>-17335.900000000001</v>
      </c>
      <c r="AQ306" s="332"/>
      <c r="AR306" s="33">
        <v>-29.46</v>
      </c>
      <c r="AS306" s="340">
        <v>0.8</v>
      </c>
      <c r="AT306" s="437"/>
      <c r="AU306" s="438"/>
      <c r="AV306" s="441"/>
      <c r="AW306" s="441"/>
      <c r="AX306" s="441"/>
      <c r="AY306" s="441"/>
      <c r="AZ306" s="441"/>
      <c r="BA306" s="441"/>
      <c r="BB306" s="441"/>
      <c r="BC306" s="441"/>
      <c r="BE306" s="383"/>
      <c r="BF306" s="383"/>
      <c r="BG306" s="383"/>
      <c r="BH306" s="383"/>
      <c r="BI306" s="383"/>
      <c r="BJ306" s="383"/>
      <c r="BK306" s="383"/>
      <c r="BL306" s="383"/>
      <c r="BM306" s="383"/>
      <c r="BN306" s="383"/>
      <c r="BO306" s="383"/>
    </row>
    <row r="307" spans="1:67" x14ac:dyDescent="0.25">
      <c r="A307" s="335">
        <v>5930</v>
      </c>
      <c r="B307" s="425" t="s">
        <v>403</v>
      </c>
      <c r="C307" s="446">
        <v>349866.29</v>
      </c>
      <c r="D307" s="33">
        <v>35655.919999999998</v>
      </c>
      <c r="E307" s="448"/>
      <c r="F307" s="452">
        <v>1230</v>
      </c>
      <c r="G307" s="452">
        <v>4137</v>
      </c>
      <c r="H307" s="453">
        <v>-11.85</v>
      </c>
      <c r="I307" s="451">
        <v>0</v>
      </c>
      <c r="J307" s="448">
        <v>4284.0600000000004</v>
      </c>
      <c r="K307" s="453">
        <v>228.6</v>
      </c>
      <c r="L307" s="448">
        <v>29584.55</v>
      </c>
      <c r="M307" s="422">
        <f t="shared" si="12"/>
        <v>424974.56999999995</v>
      </c>
      <c r="N307" s="446">
        <v>0</v>
      </c>
      <c r="O307" s="446">
        <v>0</v>
      </c>
      <c r="P307" s="446">
        <v>150.05000000000001</v>
      </c>
      <c r="Q307" s="446">
        <v>63.01</v>
      </c>
      <c r="R307" s="33">
        <v>2551.35</v>
      </c>
      <c r="S307" s="340"/>
      <c r="T307" s="446">
        <v>50</v>
      </c>
      <c r="U307" s="33">
        <v>600</v>
      </c>
      <c r="V307" s="446"/>
      <c r="W307" s="33"/>
      <c r="X307" s="417">
        <v>75.150000000000006</v>
      </c>
      <c r="Y307" s="328">
        <f t="shared" si="13"/>
        <v>428464.12999999995</v>
      </c>
      <c r="Z307" s="33">
        <v>-1250</v>
      </c>
      <c r="AA307" s="33"/>
      <c r="AB307" s="33">
        <v>21456.2</v>
      </c>
      <c r="AC307" s="33"/>
      <c r="AD307" s="33">
        <v>8620.7999999999993</v>
      </c>
      <c r="AE307" s="33">
        <v>2779.55</v>
      </c>
      <c r="AF307" s="33"/>
      <c r="AG307" s="33"/>
      <c r="AH307" s="33"/>
      <c r="AI307" s="33"/>
      <c r="AJ307" s="33"/>
      <c r="AK307" s="33"/>
      <c r="AL307" s="33"/>
      <c r="AM307" s="328">
        <f t="shared" si="14"/>
        <v>31606.55</v>
      </c>
      <c r="AN307" s="371">
        <v>72</v>
      </c>
      <c r="AO307" s="388">
        <v>215</v>
      </c>
      <c r="AP307" s="33">
        <v>-3719.27</v>
      </c>
      <c r="AQ307" s="332"/>
      <c r="AR307" s="33">
        <v>0</v>
      </c>
      <c r="AS307" s="340">
        <v>1</v>
      </c>
      <c r="AT307" s="437"/>
      <c r="AU307" s="438"/>
      <c r="AV307" s="441"/>
      <c r="AW307" s="441"/>
      <c r="AX307" s="441"/>
      <c r="AY307" s="441"/>
      <c r="AZ307" s="441"/>
      <c r="BA307" s="441"/>
      <c r="BB307" s="441"/>
      <c r="BC307" s="441"/>
      <c r="BE307" s="383"/>
      <c r="BF307" s="383"/>
      <c r="BG307" s="383"/>
      <c r="BH307" s="383"/>
      <c r="BI307" s="383"/>
      <c r="BJ307" s="383"/>
      <c r="BK307" s="383"/>
      <c r="BL307" s="383"/>
      <c r="BM307" s="383"/>
      <c r="BN307" s="383"/>
      <c r="BO307" s="383"/>
    </row>
    <row r="308" spans="1:67" x14ac:dyDescent="0.25">
      <c r="A308" s="335">
        <v>5931</v>
      </c>
      <c r="B308" s="425" t="s">
        <v>404</v>
      </c>
      <c r="C308" s="446">
        <v>778666.45</v>
      </c>
      <c r="D308" s="33">
        <v>71152.81</v>
      </c>
      <c r="E308" s="448"/>
      <c r="F308" s="452">
        <v>0</v>
      </c>
      <c r="G308" s="452">
        <v>-860.95</v>
      </c>
      <c r="H308" s="453">
        <v>937.4</v>
      </c>
      <c r="I308" s="451">
        <v>0</v>
      </c>
      <c r="J308" s="448">
        <v>11985.32</v>
      </c>
      <c r="K308" s="453">
        <v>660</v>
      </c>
      <c r="L308" s="448">
        <v>75306.600000000006</v>
      </c>
      <c r="M308" s="422">
        <f t="shared" si="12"/>
        <v>937847.63</v>
      </c>
      <c r="N308" s="446">
        <v>5790.35</v>
      </c>
      <c r="O308" s="446">
        <v>3913.4</v>
      </c>
      <c r="P308" s="446">
        <v>19893.75</v>
      </c>
      <c r="Q308" s="446">
        <v>0</v>
      </c>
      <c r="R308" s="33">
        <v>18531.150000000001</v>
      </c>
      <c r="S308" s="340"/>
      <c r="T308" s="446">
        <v>347.25</v>
      </c>
      <c r="U308" s="33">
        <v>3500</v>
      </c>
      <c r="V308" s="446"/>
      <c r="W308" s="33"/>
      <c r="X308" s="417">
        <v>2207.65</v>
      </c>
      <c r="Y308" s="328">
        <f t="shared" si="13"/>
        <v>992031.18</v>
      </c>
      <c r="Z308" s="33">
        <v>16000</v>
      </c>
      <c r="AA308" s="33"/>
      <c r="AB308" s="33">
        <v>73461.149999999994</v>
      </c>
      <c r="AC308" s="33"/>
      <c r="AD308" s="33">
        <v>39178.75</v>
      </c>
      <c r="AE308" s="33">
        <v>27273</v>
      </c>
      <c r="AF308" s="33"/>
      <c r="AG308" s="33"/>
      <c r="AH308" s="33">
        <v>300</v>
      </c>
      <c r="AI308" s="33">
        <v>12566.55</v>
      </c>
      <c r="AJ308" s="33"/>
      <c r="AK308" s="33"/>
      <c r="AL308" s="33"/>
      <c r="AM308" s="328">
        <f t="shared" si="14"/>
        <v>168779.44999999998</v>
      </c>
      <c r="AN308" s="371">
        <v>75</v>
      </c>
      <c r="AO308" s="388">
        <v>492</v>
      </c>
      <c r="AP308" s="33">
        <v>-24884.48</v>
      </c>
      <c r="AQ308" s="332"/>
      <c r="AR308" s="33">
        <v>-12.12</v>
      </c>
      <c r="AS308" s="340">
        <v>1</v>
      </c>
      <c r="AT308" s="437"/>
      <c r="AU308" s="438"/>
      <c r="AV308" s="441"/>
      <c r="AW308" s="441"/>
      <c r="AX308" s="441"/>
      <c r="AY308" s="441"/>
      <c r="AZ308" s="441"/>
      <c r="BA308" s="441"/>
      <c r="BB308" s="441"/>
      <c r="BC308" s="441"/>
      <c r="BE308" s="383"/>
      <c r="BF308" s="383"/>
      <c r="BG308" s="383"/>
      <c r="BH308" s="383"/>
      <c r="BI308" s="383"/>
      <c r="BJ308" s="383"/>
      <c r="BK308" s="383"/>
      <c r="BL308" s="383"/>
      <c r="BM308" s="383"/>
      <c r="BN308" s="383"/>
      <c r="BO308" s="383"/>
    </row>
    <row r="309" spans="1:67" x14ac:dyDescent="0.25">
      <c r="A309" s="335">
        <v>5932</v>
      </c>
      <c r="B309" s="425" t="s">
        <v>276</v>
      </c>
      <c r="C309" s="446">
        <v>546872.31000000006</v>
      </c>
      <c r="D309" s="33">
        <v>75002.25</v>
      </c>
      <c r="E309" s="448"/>
      <c r="F309" s="452">
        <v>1340</v>
      </c>
      <c r="G309" s="452">
        <v>-51.95</v>
      </c>
      <c r="H309" s="453">
        <v>732.3</v>
      </c>
      <c r="I309" s="451">
        <v>36203.449999999997</v>
      </c>
      <c r="J309" s="448">
        <v>-4053.08</v>
      </c>
      <c r="K309" s="453">
        <v>148</v>
      </c>
      <c r="L309" s="448">
        <v>31084.5</v>
      </c>
      <c r="M309" s="422">
        <f t="shared" si="12"/>
        <v>687277.78000000014</v>
      </c>
      <c r="N309" s="446">
        <v>0</v>
      </c>
      <c r="O309" s="446">
        <v>1616.3</v>
      </c>
      <c r="P309" s="446">
        <v>12771</v>
      </c>
      <c r="Q309" s="446">
        <v>0</v>
      </c>
      <c r="R309" s="33">
        <v>32136.45</v>
      </c>
      <c r="S309" s="340"/>
      <c r="T309" s="446">
        <v>450</v>
      </c>
      <c r="U309" s="33">
        <v>1950</v>
      </c>
      <c r="V309" s="446"/>
      <c r="W309" s="33"/>
      <c r="X309" s="417">
        <v>210.55</v>
      </c>
      <c r="Y309" s="328">
        <f t="shared" si="13"/>
        <v>736412.08000000019</v>
      </c>
      <c r="Z309" s="33">
        <v>11875</v>
      </c>
      <c r="AA309" s="33" t="s">
        <v>599</v>
      </c>
      <c r="AB309" s="33">
        <v>14366.7</v>
      </c>
      <c r="AC309" s="33" t="s">
        <v>599</v>
      </c>
      <c r="AD309" s="33">
        <v>10925</v>
      </c>
      <c r="AE309" s="33">
        <v>10522.3</v>
      </c>
      <c r="AF309" s="33" t="s">
        <v>599</v>
      </c>
      <c r="AG309" s="33" t="s">
        <v>599</v>
      </c>
      <c r="AH309" s="33" t="s">
        <v>599</v>
      </c>
      <c r="AI309" s="33"/>
      <c r="AJ309" s="33"/>
      <c r="AK309" s="33"/>
      <c r="AL309" s="33"/>
      <c r="AM309" s="328">
        <f t="shared" si="14"/>
        <v>47689</v>
      </c>
      <c r="AN309" s="371">
        <v>77</v>
      </c>
      <c r="AO309" s="388">
        <v>225</v>
      </c>
      <c r="AP309" s="33">
        <v>-20820.79</v>
      </c>
      <c r="AQ309" s="332">
        <v>-29232.15</v>
      </c>
      <c r="AR309" s="33">
        <v>-0.45</v>
      </c>
      <c r="AS309" s="340">
        <v>1</v>
      </c>
      <c r="AT309" s="437"/>
      <c r="AU309" s="438"/>
      <c r="AV309" s="441"/>
      <c r="AW309" s="441"/>
      <c r="AX309" s="441"/>
      <c r="AY309" s="441"/>
      <c r="AZ309" s="441"/>
      <c r="BA309" s="441"/>
      <c r="BB309" s="441"/>
      <c r="BC309" s="441"/>
      <c r="BE309" s="383"/>
      <c r="BF309" s="383"/>
      <c r="BG309" s="383"/>
      <c r="BH309" s="383"/>
      <c r="BI309" s="383"/>
      <c r="BJ309" s="383"/>
      <c r="BK309" s="383"/>
      <c r="BL309" s="383"/>
      <c r="BM309" s="383"/>
      <c r="BN309" s="383"/>
      <c r="BO309" s="383"/>
    </row>
    <row r="310" spans="1:67" x14ac:dyDescent="0.25">
      <c r="A310" s="335">
        <v>5933</v>
      </c>
      <c r="B310" s="425" t="s">
        <v>397</v>
      </c>
      <c r="C310" s="446">
        <v>1293331.82</v>
      </c>
      <c r="D310" s="33">
        <v>165986.84</v>
      </c>
      <c r="E310" s="448"/>
      <c r="F310" s="452">
        <v>0</v>
      </c>
      <c r="G310" s="452">
        <v>26942</v>
      </c>
      <c r="H310" s="453">
        <v>386.7</v>
      </c>
      <c r="I310" s="451">
        <v>0</v>
      </c>
      <c r="J310" s="448">
        <v>13084.2</v>
      </c>
      <c r="K310" s="453">
        <v>2972.55</v>
      </c>
      <c r="L310" s="448">
        <v>118335.45</v>
      </c>
      <c r="M310" s="422">
        <f t="shared" si="12"/>
        <v>1621039.56</v>
      </c>
      <c r="N310" s="446">
        <v>18184.05</v>
      </c>
      <c r="O310" s="446">
        <v>4212.7</v>
      </c>
      <c r="P310" s="446">
        <v>60777.7</v>
      </c>
      <c r="Q310" s="446">
        <v>380.35</v>
      </c>
      <c r="R310" s="33">
        <v>61084.9</v>
      </c>
      <c r="S310" s="340"/>
      <c r="T310" s="446">
        <v>775</v>
      </c>
      <c r="U310" s="33">
        <v>4080</v>
      </c>
      <c r="V310" s="446"/>
      <c r="W310" s="33"/>
      <c r="X310" s="417">
        <v>6871</v>
      </c>
      <c r="Y310" s="328">
        <f t="shared" si="13"/>
        <v>1777405.26</v>
      </c>
      <c r="Z310" s="33">
        <v>42550.8</v>
      </c>
      <c r="AA310" s="33"/>
      <c r="AB310" s="33">
        <v>77915</v>
      </c>
      <c r="AC310" s="33"/>
      <c r="AD310" s="33">
        <v>32437.75</v>
      </c>
      <c r="AE310" s="33">
        <v>26385.4</v>
      </c>
      <c r="AF310" s="33"/>
      <c r="AG310" s="33"/>
      <c r="AH310" s="33"/>
      <c r="AI310" s="33"/>
      <c r="AJ310" s="33"/>
      <c r="AK310" s="33"/>
      <c r="AL310" s="33"/>
      <c r="AM310" s="328">
        <f t="shared" si="14"/>
        <v>179288.94999999998</v>
      </c>
      <c r="AN310" s="371">
        <v>72</v>
      </c>
      <c r="AO310" s="388">
        <v>709</v>
      </c>
      <c r="AP310" s="33">
        <v>-18365.48</v>
      </c>
      <c r="AQ310" s="332">
        <v>-16150.65</v>
      </c>
      <c r="AR310" s="33">
        <v>-8.56</v>
      </c>
      <c r="AS310" s="340">
        <v>1</v>
      </c>
      <c r="AT310" s="437"/>
      <c r="AU310" s="438"/>
      <c r="AV310" s="441"/>
      <c r="AW310" s="441"/>
      <c r="AX310" s="441"/>
      <c r="AY310" s="441"/>
      <c r="AZ310" s="441"/>
      <c r="BA310" s="441"/>
      <c r="BB310" s="441"/>
      <c r="BC310" s="441"/>
      <c r="BE310" s="383"/>
      <c r="BF310" s="383"/>
      <c r="BG310" s="383"/>
      <c r="BH310" s="383"/>
      <c r="BI310" s="383"/>
      <c r="BJ310" s="383"/>
      <c r="BK310" s="383"/>
      <c r="BL310" s="383"/>
      <c r="BM310" s="383"/>
      <c r="BN310" s="383"/>
      <c r="BO310" s="383"/>
    </row>
    <row r="311" spans="1:67" x14ac:dyDescent="0.25">
      <c r="A311" s="335">
        <v>5934</v>
      </c>
      <c r="B311" s="425" t="s">
        <v>398</v>
      </c>
      <c r="C311" s="446">
        <v>508047.86</v>
      </c>
      <c r="D311" s="33">
        <v>54542.29</v>
      </c>
      <c r="E311" s="448"/>
      <c r="F311" s="452">
        <v>1380</v>
      </c>
      <c r="G311" s="452">
        <v>-333.95</v>
      </c>
      <c r="H311" s="453">
        <v>83.15</v>
      </c>
      <c r="I311" s="451">
        <v>0</v>
      </c>
      <c r="J311" s="448">
        <v>5881.24</v>
      </c>
      <c r="K311" s="453">
        <v>27.75</v>
      </c>
      <c r="L311" s="448">
        <v>27937.5</v>
      </c>
      <c r="M311" s="422">
        <f t="shared" si="12"/>
        <v>597565.84000000008</v>
      </c>
      <c r="N311" s="446">
        <v>0</v>
      </c>
      <c r="O311" s="446">
        <v>0</v>
      </c>
      <c r="P311" s="446">
        <v>17318.400000000001</v>
      </c>
      <c r="Q311" s="446">
        <v>0</v>
      </c>
      <c r="R311" s="33">
        <v>20199.95</v>
      </c>
      <c r="S311" s="340"/>
      <c r="T311" s="446"/>
      <c r="U311" s="33">
        <v>870</v>
      </c>
      <c r="V311" s="446"/>
      <c r="W311" s="33"/>
      <c r="X311" s="417">
        <v>1243.0999999999999</v>
      </c>
      <c r="Y311" s="328">
        <f t="shared" si="13"/>
        <v>637197.29</v>
      </c>
      <c r="Z311" s="33"/>
      <c r="AA311" s="33"/>
      <c r="AB311" s="33">
        <v>29083.5</v>
      </c>
      <c r="AC311" s="33"/>
      <c r="AD311" s="33">
        <v>11240</v>
      </c>
      <c r="AE311" s="33"/>
      <c r="AF311" s="33"/>
      <c r="AG311" s="33"/>
      <c r="AH311" s="33"/>
      <c r="AI311" s="33"/>
      <c r="AJ311" s="33"/>
      <c r="AK311" s="33"/>
      <c r="AL311" s="33"/>
      <c r="AM311" s="328">
        <f t="shared" si="14"/>
        <v>40323.5</v>
      </c>
      <c r="AN311" s="371">
        <v>79</v>
      </c>
      <c r="AO311" s="388">
        <v>227</v>
      </c>
      <c r="AP311" s="33">
        <v>-1327.83</v>
      </c>
      <c r="AQ311" s="332"/>
      <c r="AR311" s="33">
        <v>0</v>
      </c>
      <c r="AS311" s="340">
        <v>1</v>
      </c>
      <c r="AT311" s="437"/>
      <c r="AU311" s="438"/>
      <c r="AV311" s="441"/>
      <c r="AW311" s="441"/>
      <c r="AX311" s="441"/>
      <c r="AY311" s="441"/>
      <c r="AZ311" s="441"/>
      <c r="BA311" s="441"/>
      <c r="BB311" s="441"/>
      <c r="BC311" s="441"/>
      <c r="BE311" s="383"/>
      <c r="BF311" s="383"/>
      <c r="BG311" s="383"/>
      <c r="BH311" s="383"/>
      <c r="BI311" s="383"/>
      <c r="BJ311" s="383"/>
      <c r="BK311" s="383"/>
      <c r="BL311" s="383"/>
      <c r="BM311" s="383"/>
      <c r="BN311" s="383"/>
      <c r="BO311" s="383"/>
    </row>
    <row r="312" spans="1:67" x14ac:dyDescent="0.25">
      <c r="A312" s="335">
        <v>5935</v>
      </c>
      <c r="B312" s="425" t="s">
        <v>299</v>
      </c>
      <c r="C312" s="446">
        <v>244965.89</v>
      </c>
      <c r="D312" s="33">
        <v>28559.8</v>
      </c>
      <c r="E312" s="448"/>
      <c r="F312" s="452">
        <v>0</v>
      </c>
      <c r="G312" s="452">
        <v>-1469.7</v>
      </c>
      <c r="H312" s="453">
        <v>924</v>
      </c>
      <c r="I312" s="451">
        <v>0</v>
      </c>
      <c r="J312" s="448">
        <v>0</v>
      </c>
      <c r="K312" s="453">
        <v>0</v>
      </c>
      <c r="L312" s="448">
        <v>18717.95</v>
      </c>
      <c r="M312" s="422">
        <f t="shared" si="12"/>
        <v>291697.94</v>
      </c>
      <c r="N312" s="446">
        <v>0</v>
      </c>
      <c r="O312" s="446">
        <v>0</v>
      </c>
      <c r="P312" s="446">
        <v>1100</v>
      </c>
      <c r="Q312" s="446">
        <v>0</v>
      </c>
      <c r="R312" s="33">
        <v>0</v>
      </c>
      <c r="S312" s="340"/>
      <c r="T312" s="446"/>
      <c r="U312" s="33">
        <v>100</v>
      </c>
      <c r="V312" s="446"/>
      <c r="W312" s="33"/>
      <c r="X312" s="417">
        <v>364.4</v>
      </c>
      <c r="Y312" s="328">
        <f t="shared" si="13"/>
        <v>293262.34000000003</v>
      </c>
      <c r="Z312" s="33"/>
      <c r="AA312" s="33"/>
      <c r="AB312" s="33">
        <v>9528</v>
      </c>
      <c r="AC312" s="33"/>
      <c r="AD312" s="33">
        <v>7648</v>
      </c>
      <c r="AE312" s="33"/>
      <c r="AF312" s="33"/>
      <c r="AG312" s="33"/>
      <c r="AH312" s="33"/>
      <c r="AI312" s="33"/>
      <c r="AJ312" s="33"/>
      <c r="AK312" s="33"/>
      <c r="AL312" s="33"/>
      <c r="AM312" s="328">
        <f t="shared" si="14"/>
        <v>17176</v>
      </c>
      <c r="AN312" s="371">
        <v>60</v>
      </c>
      <c r="AO312" s="388">
        <v>102</v>
      </c>
      <c r="AP312" s="33">
        <v>-24.33</v>
      </c>
      <c r="AQ312" s="332"/>
      <c r="AR312" s="33">
        <v>-503.4</v>
      </c>
      <c r="AS312" s="340">
        <v>1</v>
      </c>
      <c r="AT312" s="437"/>
      <c r="AU312" s="438"/>
      <c r="AV312" s="441"/>
      <c r="AW312" s="441"/>
      <c r="AX312" s="441"/>
      <c r="AY312" s="441"/>
      <c r="AZ312" s="441"/>
      <c r="BA312" s="441"/>
      <c r="BB312" s="441"/>
      <c r="BC312" s="441"/>
      <c r="BE312" s="383"/>
      <c r="BF312" s="383"/>
      <c r="BG312" s="383"/>
      <c r="BH312" s="383"/>
      <c r="BI312" s="383"/>
      <c r="BJ312" s="383"/>
      <c r="BK312" s="383"/>
      <c r="BL312" s="383"/>
      <c r="BM312" s="383"/>
      <c r="BN312" s="383"/>
      <c r="BO312" s="383"/>
    </row>
    <row r="313" spans="1:67" x14ac:dyDescent="0.25">
      <c r="A313" s="335">
        <v>5937</v>
      </c>
      <c r="B313" s="425" t="s">
        <v>277</v>
      </c>
      <c r="C313" s="446">
        <v>164815.76999999999</v>
      </c>
      <c r="D313" s="33">
        <v>22282.41</v>
      </c>
      <c r="E313" s="448"/>
      <c r="F313" s="452">
        <v>0</v>
      </c>
      <c r="G313" s="452">
        <v>18319.05</v>
      </c>
      <c r="H313" s="453">
        <v>110.5</v>
      </c>
      <c r="I313" s="451">
        <v>0</v>
      </c>
      <c r="J313" s="448">
        <v>-679.96</v>
      </c>
      <c r="K313" s="453">
        <v>0</v>
      </c>
      <c r="L313" s="448">
        <v>11419.95</v>
      </c>
      <c r="M313" s="422">
        <f t="shared" si="12"/>
        <v>216267.72</v>
      </c>
      <c r="N313" s="446">
        <v>2191.85</v>
      </c>
      <c r="O313" s="446">
        <v>9.4</v>
      </c>
      <c r="P313" s="446">
        <v>9625</v>
      </c>
      <c r="Q313" s="446">
        <v>0</v>
      </c>
      <c r="R313" s="33">
        <v>23502.6</v>
      </c>
      <c r="S313" s="340"/>
      <c r="T313" s="446"/>
      <c r="U313" s="33">
        <v>1150</v>
      </c>
      <c r="V313" s="446"/>
      <c r="W313" s="33"/>
      <c r="X313" s="417">
        <v>321.39999999999998</v>
      </c>
      <c r="Y313" s="328">
        <f t="shared" si="13"/>
        <v>253067.97</v>
      </c>
      <c r="Z313" s="33"/>
      <c r="AA313" s="33"/>
      <c r="AB313" s="33">
        <v>14850</v>
      </c>
      <c r="AC313" s="33"/>
      <c r="AD313" s="33">
        <v>5307</v>
      </c>
      <c r="AE313" s="33"/>
      <c r="AF313" s="33">
        <v>2020</v>
      </c>
      <c r="AG313" s="33"/>
      <c r="AH313" s="33"/>
      <c r="AI313" s="33"/>
      <c r="AJ313" s="33"/>
      <c r="AK313" s="33"/>
      <c r="AL313" s="33"/>
      <c r="AM313" s="328">
        <f t="shared" si="14"/>
        <v>22177</v>
      </c>
      <c r="AN313" s="371">
        <v>70</v>
      </c>
      <c r="AO313" s="388">
        <v>135</v>
      </c>
      <c r="AP313" s="33">
        <v>-12474.27</v>
      </c>
      <c r="AQ313" s="332"/>
      <c r="AR313" s="33">
        <v>-101.94</v>
      </c>
      <c r="AS313" s="340">
        <v>0.7</v>
      </c>
      <c r="AT313" s="437"/>
      <c r="AU313" s="438"/>
      <c r="AV313" s="441"/>
      <c r="AW313" s="441"/>
      <c r="AX313" s="441"/>
      <c r="AY313" s="441"/>
      <c r="AZ313" s="441"/>
      <c r="BA313" s="441"/>
      <c r="BB313" s="441"/>
      <c r="BC313" s="441"/>
      <c r="BE313" s="383"/>
      <c r="BF313" s="383"/>
      <c r="BG313" s="383"/>
      <c r="BH313" s="383"/>
      <c r="BI313" s="383"/>
      <c r="BJ313" s="383"/>
      <c r="BK313" s="383"/>
      <c r="BL313" s="383"/>
      <c r="BM313" s="383"/>
      <c r="BN313" s="383"/>
      <c r="BO313" s="383"/>
    </row>
    <row r="314" spans="1:67" x14ac:dyDescent="0.25">
      <c r="A314" s="335">
        <v>5938</v>
      </c>
      <c r="B314" s="425" t="s">
        <v>150</v>
      </c>
      <c r="C314" s="446">
        <v>44847730.049999997</v>
      </c>
      <c r="D314" s="33">
        <v>4727550.68</v>
      </c>
      <c r="E314" s="448"/>
      <c r="F314" s="452">
        <v>0</v>
      </c>
      <c r="G314" s="452">
        <v>3642832.5</v>
      </c>
      <c r="H314" s="453">
        <v>629124.85</v>
      </c>
      <c r="I314" s="451">
        <v>-6800.46000000001</v>
      </c>
      <c r="J314" s="448">
        <v>1833664.44</v>
      </c>
      <c r="K314" s="453">
        <v>703447.75</v>
      </c>
      <c r="L314" s="448">
        <v>4191995.7</v>
      </c>
      <c r="M314" s="422">
        <f t="shared" si="12"/>
        <v>60569545.509999998</v>
      </c>
      <c r="N314" s="446">
        <v>4210979.75</v>
      </c>
      <c r="O314" s="446">
        <v>844988.1</v>
      </c>
      <c r="P314" s="446">
        <v>2004716.3</v>
      </c>
      <c r="Q314" s="446">
        <v>323949.44</v>
      </c>
      <c r="R314" s="33">
        <v>1001332.95</v>
      </c>
      <c r="S314" s="340"/>
      <c r="T314" s="446"/>
      <c r="U314" s="33">
        <v>58625</v>
      </c>
      <c r="V314" s="446"/>
      <c r="W314" s="33"/>
      <c r="X314" s="417">
        <v>1065681.8999999999</v>
      </c>
      <c r="Y314" s="328">
        <f>SUM(M314:X314)</f>
        <v>70079818.950000003</v>
      </c>
      <c r="Z314" s="33">
        <v>512354</v>
      </c>
      <c r="AA314" s="33">
        <v>0</v>
      </c>
      <c r="AB314" s="33">
        <v>4708896</v>
      </c>
      <c r="AC314" s="33">
        <v>1214472</v>
      </c>
      <c r="AD314" s="33">
        <v>2133649</v>
      </c>
      <c r="AE314" s="33">
        <v>255890</v>
      </c>
      <c r="AF314" s="33">
        <v>0</v>
      </c>
      <c r="AG314" s="33">
        <v>0</v>
      </c>
      <c r="AH314" s="33">
        <v>231323</v>
      </c>
      <c r="AI314" s="33">
        <v>839838</v>
      </c>
      <c r="AJ314" s="33">
        <v>779844</v>
      </c>
      <c r="AK314" s="33">
        <v>719850</v>
      </c>
      <c r="AL314" s="33"/>
      <c r="AM314" s="328">
        <f t="shared" si="14"/>
        <v>11396116</v>
      </c>
      <c r="AN314" s="371">
        <v>76.5</v>
      </c>
      <c r="AO314" s="388">
        <v>30189</v>
      </c>
      <c r="AP314" s="33">
        <v>-1607195.06</v>
      </c>
      <c r="AQ314" s="332"/>
      <c r="AR314" s="33">
        <v>-37674.81</v>
      </c>
      <c r="AS314" s="340">
        <v>1</v>
      </c>
      <c r="AT314" s="437"/>
      <c r="AU314" s="438"/>
      <c r="AV314" s="441"/>
      <c r="AW314" s="441"/>
      <c r="AX314" s="441"/>
      <c r="AY314" s="441"/>
      <c r="AZ314" s="441"/>
      <c r="BA314" s="441"/>
      <c r="BB314" s="441"/>
      <c r="BC314" s="441"/>
      <c r="BE314" s="383"/>
      <c r="BF314" s="383"/>
      <c r="BG314" s="383"/>
      <c r="BH314" s="383"/>
      <c r="BI314" s="383"/>
      <c r="BJ314" s="383"/>
      <c r="BK314" s="383"/>
      <c r="BL314" s="383"/>
      <c r="BM314" s="383"/>
      <c r="BN314" s="383"/>
      <c r="BO314" s="383"/>
    </row>
    <row r="315" spans="1:67" x14ac:dyDescent="0.25">
      <c r="A315" s="335">
        <v>5939</v>
      </c>
      <c r="B315" s="425" t="s">
        <v>149</v>
      </c>
      <c r="C315" s="454">
        <v>5398735.0899999999</v>
      </c>
      <c r="D315" s="91">
        <v>633321.89</v>
      </c>
      <c r="E315" s="448"/>
      <c r="F315" s="420">
        <v>0</v>
      </c>
      <c r="G315" s="420">
        <v>257830.85</v>
      </c>
      <c r="H315" s="455">
        <v>6993.95</v>
      </c>
      <c r="I315" s="451">
        <v>0</v>
      </c>
      <c r="J315" s="448">
        <v>100315.72</v>
      </c>
      <c r="K315" s="455">
        <v>42149.599999999999</v>
      </c>
      <c r="L315" s="448">
        <v>558972</v>
      </c>
      <c r="M315" s="422">
        <f t="shared" si="12"/>
        <v>6998319.0999999987</v>
      </c>
      <c r="N315" s="454">
        <v>140392.6</v>
      </c>
      <c r="O315" s="454">
        <v>377824.8</v>
      </c>
      <c r="P315" s="454">
        <v>709824.7</v>
      </c>
      <c r="Q315" s="454">
        <v>27503.32</v>
      </c>
      <c r="R315" s="91">
        <v>136903.95000000001</v>
      </c>
      <c r="S315" s="340">
        <v>18886.95</v>
      </c>
      <c r="T315" s="446"/>
      <c r="U315" s="91">
        <v>21150</v>
      </c>
      <c r="V315" s="446">
        <v>26</v>
      </c>
      <c r="W315" s="33">
        <v>75</v>
      </c>
      <c r="X315" s="418">
        <v>41522.9</v>
      </c>
      <c r="Y315" s="328">
        <f t="shared" si="13"/>
        <v>8472429.3199999984</v>
      </c>
      <c r="Z315" s="33">
        <v>9435</v>
      </c>
      <c r="AA315" s="33"/>
      <c r="AB315" s="33">
        <v>740993.1</v>
      </c>
      <c r="AC315" s="33"/>
      <c r="AD315" s="33">
        <v>255200.85</v>
      </c>
      <c r="AE315" s="33">
        <v>30198</v>
      </c>
      <c r="AF315" s="33"/>
      <c r="AG315" s="33"/>
      <c r="AH315" s="33">
        <v>1451.5</v>
      </c>
      <c r="AI315" s="33"/>
      <c r="AJ315" s="33"/>
      <c r="AK315" s="33"/>
      <c r="AL315" s="33"/>
      <c r="AM315" s="328">
        <f t="shared" si="14"/>
        <v>1037278.45</v>
      </c>
      <c r="AN315" s="377">
        <v>73</v>
      </c>
      <c r="AO315" s="388">
        <v>3434</v>
      </c>
      <c r="AP315" s="91">
        <v>-123010.34</v>
      </c>
      <c r="AQ315" s="332"/>
      <c r="AR315" s="91">
        <v>-373.19</v>
      </c>
      <c r="AS315" s="340">
        <v>1</v>
      </c>
      <c r="AT315" s="437"/>
      <c r="AU315" s="443"/>
      <c r="AV315" s="441"/>
      <c r="AW315" s="441"/>
      <c r="AX315" s="441"/>
      <c r="AY315" s="441"/>
      <c r="AZ315" s="441"/>
      <c r="BA315" s="441"/>
      <c r="BB315" s="441"/>
      <c r="BC315" s="441"/>
      <c r="BE315" s="383"/>
      <c r="BF315" s="383"/>
      <c r="BG315" s="383"/>
      <c r="BH315" s="383"/>
      <c r="BI315" s="383"/>
      <c r="BJ315" s="383"/>
      <c r="BK315" s="383"/>
      <c r="BL315" s="383"/>
      <c r="BM315" s="383"/>
      <c r="BN315" s="383"/>
      <c r="BO315" s="383"/>
    </row>
    <row r="316" spans="1:67" x14ac:dyDescent="0.25">
      <c r="A316" s="337"/>
      <c r="B316" s="359">
        <f>COUNTA(B7:B315)</f>
        <v>309</v>
      </c>
      <c r="C316" s="91">
        <f>SUM(C7:C315)</f>
        <v>1718337272.03</v>
      </c>
      <c r="D316" s="341">
        <f t="shared" ref="D316:Y316" si="15">SUM(D7:D315)</f>
        <v>313524887.14999986</v>
      </c>
      <c r="E316" s="19">
        <f t="shared" si="15"/>
        <v>0</v>
      </c>
      <c r="F316" s="91">
        <f t="shared" si="15"/>
        <v>114038.2</v>
      </c>
      <c r="G316" s="420">
        <f t="shared" si="15"/>
        <v>189842787.51999989</v>
      </c>
      <c r="H316" s="420">
        <f t="shared" si="15"/>
        <v>45028642.550000019</v>
      </c>
      <c r="I316" s="19">
        <f t="shared" si="15"/>
        <v>44263557.479999997</v>
      </c>
      <c r="J316" s="19">
        <f t="shared" si="15"/>
        <v>74423976.749999985</v>
      </c>
      <c r="K316" s="19">
        <f t="shared" si="15"/>
        <v>17911764.599999994</v>
      </c>
      <c r="L316" s="19">
        <f t="shared" si="15"/>
        <v>202920919.8000001</v>
      </c>
      <c r="M316" s="331">
        <f t="shared" si="15"/>
        <v>2606367846.0799999</v>
      </c>
      <c r="N316" s="91">
        <f t="shared" si="15"/>
        <v>71803023.849999994</v>
      </c>
      <c r="O316" s="91">
        <f t="shared" si="15"/>
        <v>85741413.290000021</v>
      </c>
      <c r="P316" s="91">
        <f t="shared" si="15"/>
        <v>90612189.349999979</v>
      </c>
      <c r="Q316" s="91">
        <f t="shared" si="15"/>
        <v>9327675.4499999881</v>
      </c>
      <c r="R316" s="91">
        <f t="shared" si="15"/>
        <v>62623917.230000004</v>
      </c>
      <c r="S316" s="19"/>
      <c r="T316" s="19"/>
      <c r="U316" s="91">
        <f>SUM(U7:U315)</f>
        <v>3540965.9</v>
      </c>
      <c r="V316" s="19"/>
      <c r="W316" s="19"/>
      <c r="X316" s="424">
        <f>SUM(X7:X315)</f>
        <v>50000000.000000037</v>
      </c>
      <c r="Y316" s="342">
        <f t="shared" si="15"/>
        <v>2989318088.9899964</v>
      </c>
      <c r="Z316" s="19">
        <f>SUM(Z7:Z315)</f>
        <v>28147444.589999985</v>
      </c>
      <c r="AA316" s="19">
        <f t="shared" ref="AA316:AL316" si="16">SUM(AA7:AA315)</f>
        <v>2733558.85</v>
      </c>
      <c r="AB316" s="19">
        <f t="shared" si="16"/>
        <v>111175962.61000006</v>
      </c>
      <c r="AC316" s="19">
        <f t="shared" si="16"/>
        <v>7090984</v>
      </c>
      <c r="AD316" s="19">
        <f t="shared" si="16"/>
        <v>85527381.789999932</v>
      </c>
      <c r="AE316" s="19">
        <f t="shared" si="16"/>
        <v>20266689.960000001</v>
      </c>
      <c r="AF316" s="19">
        <f t="shared" si="16"/>
        <v>420224.68000000011</v>
      </c>
      <c r="AG316" s="19">
        <f t="shared" si="16"/>
        <v>703.84999999999991</v>
      </c>
      <c r="AH316" s="19">
        <f t="shared" si="16"/>
        <v>15770362.729999995</v>
      </c>
      <c r="AI316" s="19">
        <f t="shared" si="16"/>
        <v>23684664.950000007</v>
      </c>
      <c r="AJ316" s="19">
        <f t="shared" si="16"/>
        <v>9580738.6899999995</v>
      </c>
      <c r="AK316" s="19">
        <f t="shared" si="16"/>
        <v>4660696.2899999991</v>
      </c>
      <c r="AL316" s="19">
        <f t="shared" si="16"/>
        <v>4272609.3600000003</v>
      </c>
      <c r="AM316" s="414">
        <f>SUM(AM7:AM315)</f>
        <v>313332022.35000008</v>
      </c>
      <c r="AN316" s="415"/>
      <c r="AO316" s="11">
        <f>SUM(AO7:AO315)</f>
        <v>806088</v>
      </c>
      <c r="AP316" s="91">
        <f>SUM(AP7:AP315)</f>
        <v>-38167616.669999994</v>
      </c>
      <c r="AQ316" s="19">
        <f t="shared" ref="AQ316:AR316" si="17">SUM(AQ7:AQ315)</f>
        <v>-53718.3</v>
      </c>
      <c r="AR316" s="91">
        <f t="shared" si="17"/>
        <v>-5688037.7500000037</v>
      </c>
      <c r="AS316" s="19"/>
      <c r="AT316" s="444"/>
      <c r="AU316" s="445"/>
      <c r="AV316" s="441"/>
      <c r="AW316" s="441"/>
      <c r="AX316" s="441"/>
      <c r="AY316" s="441"/>
      <c r="AZ316" s="441"/>
      <c r="BA316" s="441"/>
      <c r="BB316" s="441"/>
      <c r="BC316" s="441"/>
      <c r="BF316" s="383"/>
      <c r="BG316" s="383"/>
      <c r="BH316" s="383"/>
      <c r="BI316" s="383"/>
      <c r="BK316" s="383"/>
      <c r="BL316" s="383"/>
      <c r="BM316" s="383"/>
      <c r="BO316" s="383"/>
    </row>
    <row r="317" spans="1:67" x14ac:dyDescent="0.25">
      <c r="A317" s="334"/>
      <c r="I317" s="369"/>
      <c r="J317" s="369"/>
      <c r="K317" s="369"/>
      <c r="L317" s="369"/>
      <c r="M317" s="369"/>
      <c r="N317" s="369"/>
      <c r="O317" s="369"/>
      <c r="P317" s="369"/>
      <c r="Q317" s="369"/>
      <c r="R317" s="369"/>
      <c r="AN317" s="387"/>
    </row>
    <row r="318" spans="1:67" x14ac:dyDescent="0.25">
      <c r="A318" s="334" t="s">
        <v>609</v>
      </c>
      <c r="D318" s="332"/>
      <c r="E318" s="332"/>
      <c r="F318" s="332"/>
      <c r="G318" s="332"/>
      <c r="H318" s="332"/>
      <c r="I318" s="332"/>
      <c r="J318" s="332"/>
      <c r="K318" s="332"/>
      <c r="L318" s="332"/>
      <c r="M318" s="332"/>
      <c r="N318" s="332"/>
      <c r="O318" s="332"/>
      <c r="P318" s="332"/>
      <c r="Q318" s="332"/>
      <c r="R318" s="332"/>
      <c r="S318" s="332"/>
      <c r="T318" s="332"/>
      <c r="U318" s="332"/>
      <c r="V318" s="332"/>
      <c r="W318" s="332"/>
      <c r="X318" s="332"/>
      <c r="Z318" s="332"/>
      <c r="AA318" s="332"/>
      <c r="AB318" s="332"/>
      <c r="AC318" s="332"/>
      <c r="AD318" s="332"/>
      <c r="AE318" s="332"/>
      <c r="AF318" s="332"/>
      <c r="AG318" s="332"/>
      <c r="AH318" s="332"/>
      <c r="AI318" s="332"/>
      <c r="AJ318" s="332"/>
      <c r="AK318" s="332"/>
      <c r="AL318" s="332"/>
      <c r="AN318" s="387"/>
    </row>
  </sheetData>
  <protectedRanges>
    <protectedRange sqref="A7:B315 C316 AN7:AR7 AN8:AN318 N7:W315 AO8:AR315" name="Plage1"/>
    <protectedRange sqref="X7:X315 C7:L7 E8:E170 C8:D315 F8:L315 E172:E315" name="Plage1_1"/>
    <protectedRange sqref="E171" name="Plage1_3"/>
  </protectedRanges>
  <mergeCells count="45">
    <mergeCell ref="AG4:AG5"/>
    <mergeCell ref="AM4:AM5"/>
    <mergeCell ref="AL4:AL6"/>
    <mergeCell ref="AH4:AH5"/>
    <mergeCell ref="AI4:AI6"/>
    <mergeCell ref="AJ4:AJ6"/>
    <mergeCell ref="AK4:AK6"/>
    <mergeCell ref="Z4:Z5"/>
    <mergeCell ref="AA4:AA5"/>
    <mergeCell ref="AD4:AD5"/>
    <mergeCell ref="AE4:AE5"/>
    <mergeCell ref="AF4:AF5"/>
    <mergeCell ref="AB4:AB5"/>
    <mergeCell ref="AC4:AC5"/>
    <mergeCell ref="AS4:AS6"/>
    <mergeCell ref="AO4:AO5"/>
    <mergeCell ref="AP4:AP6"/>
    <mergeCell ref="AR4:AR6"/>
    <mergeCell ref="AQ4:AQ6"/>
    <mergeCell ref="AN4:AN5"/>
    <mergeCell ref="A4:A6"/>
    <mergeCell ref="B4:B6"/>
    <mergeCell ref="Q4:Q6"/>
    <mergeCell ref="L4:L5"/>
    <mergeCell ref="G4:G5"/>
    <mergeCell ref="H4:H5"/>
    <mergeCell ref="I4:I5"/>
    <mergeCell ref="J4:J5"/>
    <mergeCell ref="C4:C5"/>
    <mergeCell ref="D4:D5"/>
    <mergeCell ref="E4:E5"/>
    <mergeCell ref="N4:N5"/>
    <mergeCell ref="Y4:Y5"/>
    <mergeCell ref="O4:O5"/>
    <mergeCell ref="F4:F5"/>
    <mergeCell ref="K4:K5"/>
    <mergeCell ref="M4:M5"/>
    <mergeCell ref="P4:P5"/>
    <mergeCell ref="R4:R5"/>
    <mergeCell ref="X4:X5"/>
    <mergeCell ref="T4:T5"/>
    <mergeCell ref="U4:U5"/>
    <mergeCell ref="V4:V5"/>
    <mergeCell ref="W4:W5"/>
    <mergeCell ref="S4:S6"/>
  </mergeCells>
  <phoneticPr fontId="15" type="noConversion"/>
  <pageMargins left="0.19685039370078741" right="0.3937007874015748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B050"/>
  </sheetPr>
  <dimension ref="A1:AA325"/>
  <sheetViews>
    <sheetView zoomScaleNormal="100" workbookViewId="0">
      <pane ySplit="6" topLeftCell="A7" activePane="bottomLeft" state="frozen"/>
      <selection pane="bottomLeft" activeCell="A7" sqref="A7"/>
    </sheetView>
  </sheetViews>
  <sheetFormatPr baseColWidth="10" defaultColWidth="8.625" defaultRowHeight="15" x14ac:dyDescent="0.25"/>
  <cols>
    <col min="1" max="1" width="7.625" style="4" customWidth="1"/>
    <col min="2" max="2" width="20.375" style="13" bestFit="1" customWidth="1"/>
    <col min="3" max="3" width="15.875" style="13" bestFit="1" customWidth="1"/>
    <col min="4" max="4" width="12.125" style="6" bestFit="1" customWidth="1"/>
    <col min="5" max="5" width="9.125" style="13" bestFit="1" customWidth="1"/>
    <col min="6" max="6" width="13.375" style="6" bestFit="1" customWidth="1"/>
    <col min="7" max="7" width="18.375" style="13" bestFit="1" customWidth="1"/>
    <col min="8" max="8" width="10" style="6" bestFit="1" customWidth="1"/>
    <col min="9" max="9" width="10.125" style="13" bestFit="1" customWidth="1"/>
    <col min="10" max="10" width="16" style="13" bestFit="1" customWidth="1"/>
    <col min="11" max="12" width="12.25" style="13" bestFit="1" customWidth="1"/>
    <col min="13" max="13" width="13.375" style="13" bestFit="1" customWidth="1"/>
    <col min="14" max="14" width="15.875" style="13" bestFit="1" customWidth="1"/>
    <col min="15" max="15" width="13" style="13" bestFit="1" customWidth="1"/>
    <col min="16" max="16" width="13.125" style="13" bestFit="1" customWidth="1"/>
    <col min="17" max="17" width="8.625" style="13" customWidth="1"/>
    <col min="18" max="18" width="14.375" style="13" bestFit="1" customWidth="1"/>
    <col min="19" max="19" width="12.125" style="15" bestFit="1" customWidth="1"/>
    <col min="20" max="20" width="14.375" style="15" bestFit="1" customWidth="1"/>
    <col min="21" max="21" width="12.125" style="13" customWidth="1"/>
    <col min="22" max="22" width="13.5" style="13" bestFit="1" customWidth="1"/>
    <col min="23" max="24" width="12.25" style="13" bestFit="1" customWidth="1"/>
    <col min="25" max="25" width="15.5" style="13" customWidth="1"/>
    <col min="26" max="26" width="12.5" style="13" bestFit="1" customWidth="1"/>
    <col min="27" max="27" width="9.5" style="13" bestFit="1" customWidth="1"/>
    <col min="28" max="16384" width="8.625" style="13"/>
  </cols>
  <sheetData>
    <row r="1" spans="1:27" ht="21" x14ac:dyDescent="0.35">
      <c r="A1" s="25" t="s">
        <v>448</v>
      </c>
      <c r="B1" s="26"/>
      <c r="C1" s="26"/>
      <c r="E1" s="28"/>
      <c r="G1" s="4"/>
      <c r="H1" s="5"/>
      <c r="I1" s="4"/>
      <c r="J1" s="4"/>
      <c r="K1" s="4"/>
      <c r="L1" s="4"/>
    </row>
    <row r="2" spans="1:27" ht="21" x14ac:dyDescent="0.35">
      <c r="A2" s="25" t="str">
        <f>Paramètres!B5</f>
        <v>Décompte 2019</v>
      </c>
      <c r="C2" s="25"/>
      <c r="E2" s="28"/>
      <c r="G2" s="29"/>
      <c r="H2" s="5"/>
      <c r="I2" s="4"/>
      <c r="J2" s="4"/>
      <c r="K2" s="4"/>
      <c r="L2" s="4"/>
    </row>
    <row r="3" spans="1:27" x14ac:dyDescent="0.25">
      <c r="A3" s="3"/>
      <c r="B3" s="4"/>
      <c r="C3" s="4"/>
      <c r="E3" s="28"/>
      <c r="G3" s="4"/>
      <c r="H3" s="5"/>
      <c r="I3" s="4"/>
      <c r="J3" s="4"/>
      <c r="K3" s="4"/>
      <c r="L3" s="4"/>
      <c r="O3" s="27"/>
    </row>
    <row r="4" spans="1:27" s="16" customFormat="1" ht="38.1" customHeight="1" x14ac:dyDescent="0.2">
      <c r="A4" s="542" t="s">
        <v>46</v>
      </c>
      <c r="B4" s="545" t="s">
        <v>96</v>
      </c>
      <c r="C4" s="551" t="s">
        <v>251</v>
      </c>
      <c r="D4" s="548" t="s">
        <v>246</v>
      </c>
      <c r="E4" s="553" t="s">
        <v>247</v>
      </c>
      <c r="F4" s="548" t="s">
        <v>248</v>
      </c>
      <c r="G4" s="551" t="s">
        <v>249</v>
      </c>
      <c r="H4" s="548" t="s">
        <v>258</v>
      </c>
      <c r="I4" s="551" t="s">
        <v>259</v>
      </c>
      <c r="J4" s="551" t="s">
        <v>260</v>
      </c>
      <c r="K4" s="551" t="s">
        <v>382</v>
      </c>
      <c r="L4" s="551" t="s">
        <v>383</v>
      </c>
      <c r="M4" s="551" t="s">
        <v>384</v>
      </c>
      <c r="N4" s="548" t="s">
        <v>416</v>
      </c>
      <c r="O4" s="551" t="s">
        <v>48</v>
      </c>
      <c r="P4" s="551" t="s">
        <v>385</v>
      </c>
      <c r="Q4" s="553" t="s">
        <v>499</v>
      </c>
      <c r="R4" s="559" t="s">
        <v>470</v>
      </c>
      <c r="S4" s="520" t="s">
        <v>78</v>
      </c>
      <c r="T4" s="559" t="s">
        <v>341</v>
      </c>
      <c r="U4" s="559" t="s">
        <v>450</v>
      </c>
      <c r="V4" s="551" t="s">
        <v>195</v>
      </c>
      <c r="W4" s="551" t="s">
        <v>196</v>
      </c>
      <c r="X4" s="551" t="s">
        <v>197</v>
      </c>
      <c r="Y4" s="556" t="s">
        <v>425</v>
      </c>
      <c r="Z4" s="551" t="s">
        <v>194</v>
      </c>
      <c r="AA4" s="551" t="s">
        <v>304</v>
      </c>
    </row>
    <row r="5" spans="1:27" s="16" customFormat="1" ht="38.1" customHeight="1" x14ac:dyDescent="0.2">
      <c r="A5" s="543"/>
      <c r="B5" s="546"/>
      <c r="C5" s="552"/>
      <c r="D5" s="549"/>
      <c r="E5" s="554"/>
      <c r="F5" s="549"/>
      <c r="G5" s="552"/>
      <c r="H5" s="550"/>
      <c r="I5" s="552"/>
      <c r="J5" s="552"/>
      <c r="K5" s="552"/>
      <c r="L5" s="552"/>
      <c r="M5" s="552"/>
      <c r="N5" s="549"/>
      <c r="O5" s="562"/>
      <c r="P5" s="552"/>
      <c r="Q5" s="554"/>
      <c r="R5" s="560"/>
      <c r="S5" s="521"/>
      <c r="T5" s="560"/>
      <c r="U5" s="561"/>
      <c r="V5" s="552"/>
      <c r="W5" s="552"/>
      <c r="X5" s="552"/>
      <c r="Y5" s="557"/>
      <c r="Z5" s="552"/>
      <c r="AA5" s="552"/>
    </row>
    <row r="6" spans="1:27" ht="14.25" customHeight="1" x14ac:dyDescent="0.25">
      <c r="A6" s="544"/>
      <c r="B6" s="547"/>
      <c r="C6" s="39" t="s">
        <v>252</v>
      </c>
      <c r="D6" s="550"/>
      <c r="E6" s="555"/>
      <c r="F6" s="550"/>
      <c r="G6" s="39" t="s">
        <v>250</v>
      </c>
      <c r="H6" s="20" t="s">
        <v>79</v>
      </c>
      <c r="I6" s="21" t="s">
        <v>80</v>
      </c>
      <c r="J6" s="21" t="s">
        <v>81</v>
      </c>
      <c r="K6" s="39" t="s">
        <v>82</v>
      </c>
      <c r="L6" s="21" t="s">
        <v>83</v>
      </c>
      <c r="M6" s="21" t="s">
        <v>84</v>
      </c>
      <c r="N6" s="550"/>
      <c r="O6" s="552"/>
      <c r="P6" s="21" t="s">
        <v>85</v>
      </c>
      <c r="Q6" s="555"/>
      <c r="R6" s="561"/>
      <c r="S6" s="40">
        <f>Paramètres!B8</f>
        <v>2019</v>
      </c>
      <c r="T6" s="561"/>
      <c r="U6" s="204" t="str">
        <f>Paramètres!B5</f>
        <v>Décompte 2019</v>
      </c>
      <c r="V6" s="21" t="s">
        <v>88</v>
      </c>
      <c r="W6" s="21" t="s">
        <v>89</v>
      </c>
      <c r="X6" s="21" t="s">
        <v>90</v>
      </c>
      <c r="Y6" s="558"/>
      <c r="Z6" s="39" t="s">
        <v>87</v>
      </c>
      <c r="AA6" s="23">
        <f>Paramètres!B7</f>
        <v>42368</v>
      </c>
    </row>
    <row r="7" spans="1:27" x14ac:dyDescent="0.25">
      <c r="A7" s="8">
        <f>'A) Base RI'!A7</f>
        <v>5401</v>
      </c>
      <c r="B7" s="32" t="str">
        <f>'A) Base RI'!B7</f>
        <v>Aigle</v>
      </c>
      <c r="C7" s="10">
        <f>'A) Base RI'!C7+'A) Base RI'!D7</f>
        <v>14434440.140000001</v>
      </c>
      <c r="D7" s="10">
        <f>'A) Base RI'!AP7</f>
        <v>-425703.69</v>
      </c>
      <c r="E7" s="31">
        <f>'A) Base RI'!AQ7</f>
        <v>0</v>
      </c>
      <c r="F7" s="31">
        <f>'A) Base RI'!AR7</f>
        <v>-6444.66</v>
      </c>
      <c r="G7" s="2">
        <f>SUM(C7:F7)</f>
        <v>14002291.790000001</v>
      </c>
      <c r="H7" s="10">
        <f>+'A) Base RI'!E7</f>
        <v>0</v>
      </c>
      <c r="I7" s="10">
        <f>+'A) Base RI'!F7</f>
        <v>0</v>
      </c>
      <c r="J7" s="10">
        <f>+'A) Base RI'!G7+'A) Base RI'!H7+'A) Base RI'!X7</f>
        <v>1998910.1500000001</v>
      </c>
      <c r="K7" s="10">
        <f>+'A) Base RI'!I7</f>
        <v>9391.4</v>
      </c>
      <c r="L7" s="10">
        <f>+'A) Base RI'!J7</f>
        <v>632707.23</v>
      </c>
      <c r="M7" s="10">
        <f>+'A) Base RI'!K7</f>
        <v>223102.75</v>
      </c>
      <c r="N7" s="10">
        <f>+'A) Base RI'!Q7</f>
        <v>106179.46</v>
      </c>
      <c r="O7" s="10">
        <f>(P7/Q7)*1</f>
        <v>1778217.4166666667</v>
      </c>
      <c r="P7" s="10">
        <f>+'A) Base RI'!L7</f>
        <v>2133860.9</v>
      </c>
      <c r="Q7" s="34">
        <f>'A) Base RI'!AS7</f>
        <v>1.2</v>
      </c>
      <c r="R7" s="2">
        <f>SUM(G7:O7)</f>
        <v>18750800.196666669</v>
      </c>
      <c r="S7" s="33">
        <f>+'A) Base RI'!AN7</f>
        <v>67.5</v>
      </c>
      <c r="T7" s="2">
        <f>(G7+H7+J7+K7+L7+N7)</f>
        <v>16749480.030000003</v>
      </c>
      <c r="U7" s="2">
        <f>R7/S7</f>
        <v>277789.63254320994</v>
      </c>
      <c r="V7" s="10">
        <f>+'A) Base RI'!O7</f>
        <v>494018.2</v>
      </c>
      <c r="W7" s="10">
        <f>+'A) Base RI'!P7</f>
        <v>945379.5</v>
      </c>
      <c r="X7" s="10">
        <f>+'A) Base RI'!R7</f>
        <v>187505.3</v>
      </c>
      <c r="Y7" s="2">
        <f>SUM(V7:X7)</f>
        <v>1626903</v>
      </c>
      <c r="Z7" s="10">
        <f>+'A) Base RI'!N7</f>
        <v>1052253.75</v>
      </c>
      <c r="AA7" s="10">
        <f>'A) Base RI'!AO7</f>
        <v>10217</v>
      </c>
    </row>
    <row r="8" spans="1:27" x14ac:dyDescent="0.25">
      <c r="A8" s="8">
        <f>'A) Base RI'!A8</f>
        <v>5402</v>
      </c>
      <c r="B8" s="32" t="str">
        <f>'A) Base RI'!B8</f>
        <v>Bex</v>
      </c>
      <c r="C8" s="10">
        <f>'A) Base RI'!C8+'A) Base RI'!D8</f>
        <v>10317635.379999999</v>
      </c>
      <c r="D8" s="10">
        <f>'A) Base RI'!AP8</f>
        <v>-330040.64</v>
      </c>
      <c r="E8" s="31">
        <f>'A) Base RI'!AQ8</f>
        <v>0</v>
      </c>
      <c r="F8" s="31">
        <f>'A) Base RI'!AR8</f>
        <v>-1880.06</v>
      </c>
      <c r="G8" s="412">
        <f t="shared" ref="G8:G71" si="0">SUM(C8:F8)</f>
        <v>9985714.6799999978</v>
      </c>
      <c r="H8" s="10">
        <f>+'A) Base RI'!E8</f>
        <v>0</v>
      </c>
      <c r="I8" s="10">
        <f>+'A) Base RI'!F8</f>
        <v>0</v>
      </c>
      <c r="J8" s="10">
        <f>+'A) Base RI'!G8+'A) Base RI'!H8+'A) Base RI'!X8</f>
        <v>1270750.75</v>
      </c>
      <c r="K8" s="10">
        <f>+'A) Base RI'!I8</f>
        <v>56182.55</v>
      </c>
      <c r="L8" s="10">
        <f>+'A) Base RI'!J8</f>
        <v>409910.15</v>
      </c>
      <c r="M8" s="10">
        <f>+'A) Base RI'!K8</f>
        <v>96070.3</v>
      </c>
      <c r="N8" s="10">
        <f>+'A) Base RI'!Q8</f>
        <v>86510.04</v>
      </c>
      <c r="O8" s="10">
        <f t="shared" ref="O8:O71" si="1">(P8/Q8)*1</f>
        <v>1281658.72</v>
      </c>
      <c r="P8" s="10">
        <f>+'A) Base RI'!L8</f>
        <v>1602073.4</v>
      </c>
      <c r="Q8" s="34">
        <f>'A) Base RI'!AS8</f>
        <v>1.25</v>
      </c>
      <c r="R8" s="412">
        <f t="shared" ref="R8:R71" si="2">SUM(G8:O8)</f>
        <v>13186797.189999999</v>
      </c>
      <c r="S8" s="33">
        <f>+'A) Base RI'!AN8</f>
        <v>71</v>
      </c>
      <c r="T8" s="412">
        <f t="shared" ref="T8:T71" si="3">(G8+H8+J8+K8+L8+N8)</f>
        <v>11809068.169999998</v>
      </c>
      <c r="U8" s="412">
        <f t="shared" ref="U8:U71" si="4">R8/S8</f>
        <v>185729.53788732394</v>
      </c>
      <c r="V8" s="10">
        <f>+'A) Base RI'!O8</f>
        <v>134600.79999999999</v>
      </c>
      <c r="W8" s="10">
        <f>+'A) Base RI'!P8</f>
        <v>656655.69999999995</v>
      </c>
      <c r="X8" s="10">
        <f>+'A) Base RI'!R8</f>
        <v>347693.35</v>
      </c>
      <c r="Y8" s="412">
        <f t="shared" ref="Y8:Y71" si="5">SUM(V8:X8)</f>
        <v>1138949.8500000001</v>
      </c>
      <c r="Z8" s="10">
        <f>+'A) Base RI'!N8</f>
        <v>217296.4</v>
      </c>
      <c r="AA8" s="10">
        <f>'A) Base RI'!AO8</f>
        <v>7869</v>
      </c>
    </row>
    <row r="9" spans="1:27" x14ac:dyDescent="0.25">
      <c r="A9" s="8">
        <f>'A) Base RI'!A9</f>
        <v>5403</v>
      </c>
      <c r="B9" s="32" t="str">
        <f>'A) Base RI'!B9</f>
        <v>Chessel</v>
      </c>
      <c r="C9" s="10">
        <f>'A) Base RI'!C9+'A) Base RI'!D9</f>
        <v>696127.09</v>
      </c>
      <c r="D9" s="10">
        <f>'A) Base RI'!AP9</f>
        <v>-6825.71</v>
      </c>
      <c r="E9" s="31">
        <f>'A) Base RI'!AQ9</f>
        <v>0</v>
      </c>
      <c r="F9" s="31">
        <f>'A) Base RI'!AR9</f>
        <v>-25.25</v>
      </c>
      <c r="G9" s="412">
        <f t="shared" si="0"/>
        <v>689276.13</v>
      </c>
      <c r="H9" s="10">
        <f>+'A) Base RI'!E9</f>
        <v>0</v>
      </c>
      <c r="I9" s="10">
        <f>+'A) Base RI'!F9</f>
        <v>0</v>
      </c>
      <c r="J9" s="10">
        <f>+'A) Base RI'!G9+'A) Base RI'!H9+'A) Base RI'!X9</f>
        <v>35190.300000000003</v>
      </c>
      <c r="K9" s="10">
        <f>+'A) Base RI'!I9</f>
        <v>0</v>
      </c>
      <c r="L9" s="10">
        <f>+'A) Base RI'!J9</f>
        <v>22271.16</v>
      </c>
      <c r="M9" s="10">
        <f>+'A) Base RI'!K9</f>
        <v>4138</v>
      </c>
      <c r="N9" s="10">
        <f>+'A) Base RI'!Q9</f>
        <v>-29643.49</v>
      </c>
      <c r="O9" s="10">
        <f t="shared" si="1"/>
        <v>67163.399999999994</v>
      </c>
      <c r="P9" s="10">
        <f>+'A) Base RI'!L9</f>
        <v>67163.399999999994</v>
      </c>
      <c r="Q9" s="34">
        <f>'A) Base RI'!AS9</f>
        <v>1</v>
      </c>
      <c r="R9" s="412">
        <f t="shared" si="2"/>
        <v>788395.50000000012</v>
      </c>
      <c r="S9" s="33">
        <f>+'A) Base RI'!AN9</f>
        <v>74</v>
      </c>
      <c r="T9" s="412">
        <f t="shared" si="3"/>
        <v>717094.10000000009</v>
      </c>
      <c r="U9" s="412">
        <f t="shared" si="4"/>
        <v>10653.993243243245</v>
      </c>
      <c r="V9" s="10">
        <f>+'A) Base RI'!O9</f>
        <v>13753</v>
      </c>
      <c r="W9" s="10">
        <f>+'A) Base RI'!P9</f>
        <v>55000</v>
      </c>
      <c r="X9" s="10">
        <f>+'A) Base RI'!R9</f>
        <v>26076.75</v>
      </c>
      <c r="Y9" s="412">
        <f t="shared" si="5"/>
        <v>94829.75</v>
      </c>
      <c r="Z9" s="10">
        <f>+'A) Base RI'!N9</f>
        <v>8065.6</v>
      </c>
      <c r="AA9" s="10">
        <f>'A) Base RI'!AO9</f>
        <v>429</v>
      </c>
    </row>
    <row r="10" spans="1:27" x14ac:dyDescent="0.25">
      <c r="A10" s="8">
        <f>'A) Base RI'!A10</f>
        <v>5404</v>
      </c>
      <c r="B10" s="32" t="str">
        <f>'A) Base RI'!B10</f>
        <v>Corbeyrier</v>
      </c>
      <c r="C10" s="10">
        <f>'A) Base RI'!C10+'A) Base RI'!D10</f>
        <v>993316.94</v>
      </c>
      <c r="D10" s="10">
        <f>'A) Base RI'!AP10</f>
        <v>-4705.55</v>
      </c>
      <c r="E10" s="31">
        <f>'A) Base RI'!AQ10</f>
        <v>0</v>
      </c>
      <c r="F10" s="31">
        <f>'A) Base RI'!AR10</f>
        <v>-56.43</v>
      </c>
      <c r="G10" s="412">
        <f t="shared" si="0"/>
        <v>988554.95999999985</v>
      </c>
      <c r="H10" s="10">
        <f>+'A) Base RI'!E10</f>
        <v>0</v>
      </c>
      <c r="I10" s="10">
        <f>+'A) Base RI'!F10</f>
        <v>0</v>
      </c>
      <c r="J10" s="10">
        <f>+'A) Base RI'!G10+'A) Base RI'!H10+'A) Base RI'!X10</f>
        <v>5958.7</v>
      </c>
      <c r="K10" s="10">
        <f>+'A) Base RI'!I10</f>
        <v>0</v>
      </c>
      <c r="L10" s="10">
        <f>+'A) Base RI'!J10</f>
        <v>2333.6799999999998</v>
      </c>
      <c r="M10" s="10">
        <f>+'A) Base RI'!K10</f>
        <v>568.04999999999995</v>
      </c>
      <c r="N10" s="10">
        <f>+'A) Base RI'!Q10</f>
        <v>-602.63</v>
      </c>
      <c r="O10" s="10">
        <f t="shared" si="1"/>
        <v>83258.133333333331</v>
      </c>
      <c r="P10" s="10">
        <f>+'A) Base RI'!L10</f>
        <v>124887.2</v>
      </c>
      <c r="Q10" s="34">
        <f>'A) Base RI'!AS10</f>
        <v>1.5</v>
      </c>
      <c r="R10" s="412">
        <f t="shared" si="2"/>
        <v>1080070.8933333333</v>
      </c>
      <c r="S10" s="33">
        <f>+'A) Base RI'!AN10</f>
        <v>74</v>
      </c>
      <c r="T10" s="412">
        <f t="shared" si="3"/>
        <v>996244.70999999985</v>
      </c>
      <c r="U10" s="412">
        <f t="shared" si="4"/>
        <v>14595.552612612611</v>
      </c>
      <c r="V10" s="10">
        <f>+'A) Base RI'!O10</f>
        <v>111727.8</v>
      </c>
      <c r="W10" s="10">
        <f>+'A) Base RI'!P10</f>
        <v>37406.050000000003</v>
      </c>
      <c r="X10" s="10">
        <f>+'A) Base RI'!R10</f>
        <v>25298.9</v>
      </c>
      <c r="Y10" s="412">
        <f t="shared" si="5"/>
        <v>174432.75</v>
      </c>
      <c r="Z10" s="10">
        <f>+'A) Base RI'!N10</f>
        <v>27352.35</v>
      </c>
      <c r="AA10" s="10">
        <f>'A) Base RI'!AO10</f>
        <v>437</v>
      </c>
    </row>
    <row r="11" spans="1:27" x14ac:dyDescent="0.25">
      <c r="A11" s="8">
        <f>'A) Base RI'!A11</f>
        <v>5405</v>
      </c>
      <c r="B11" s="32" t="str">
        <f>'A) Base RI'!B11</f>
        <v>Gryon</v>
      </c>
      <c r="C11" s="10">
        <f>'A) Base RI'!C11+'A) Base RI'!D11</f>
        <v>4113585.94</v>
      </c>
      <c r="D11" s="10">
        <f>'A) Base RI'!AP11</f>
        <v>-57881.18</v>
      </c>
      <c r="E11" s="31">
        <f>'A) Base RI'!AQ11</f>
        <v>0</v>
      </c>
      <c r="F11" s="31">
        <f>'A) Base RI'!AR11</f>
        <v>-4179.3500000000004</v>
      </c>
      <c r="G11" s="412">
        <f t="shared" si="0"/>
        <v>4051525.4099999997</v>
      </c>
      <c r="H11" s="10">
        <f>+'A) Base RI'!E11</f>
        <v>0</v>
      </c>
      <c r="I11" s="10">
        <f>+'A) Base RI'!F11</f>
        <v>0</v>
      </c>
      <c r="J11" s="10">
        <f>+'A) Base RI'!G11+'A) Base RI'!H11+'A) Base RI'!X11</f>
        <v>36463.649999999994</v>
      </c>
      <c r="K11" s="10">
        <f>+'A) Base RI'!I11</f>
        <v>202872.74</v>
      </c>
      <c r="L11" s="10">
        <f>+'A) Base RI'!J11</f>
        <v>97661.81</v>
      </c>
      <c r="M11" s="10">
        <f>+'A) Base RI'!K11</f>
        <v>12936.4</v>
      </c>
      <c r="N11" s="10">
        <f>+'A) Base RI'!Q11</f>
        <v>8220.81</v>
      </c>
      <c r="O11" s="10">
        <f t="shared" si="1"/>
        <v>518235.8666666667</v>
      </c>
      <c r="P11" s="10">
        <f>+'A) Base RI'!L11</f>
        <v>777353.8</v>
      </c>
      <c r="Q11" s="34">
        <f>'A) Base RI'!AS11</f>
        <v>1.5</v>
      </c>
      <c r="R11" s="412">
        <f t="shared" si="2"/>
        <v>4927916.6866666656</v>
      </c>
      <c r="S11" s="33">
        <f>+'A) Base RI'!AN11</f>
        <v>75</v>
      </c>
      <c r="T11" s="412">
        <f t="shared" si="3"/>
        <v>4396744.419999999</v>
      </c>
      <c r="U11" s="412">
        <f t="shared" si="4"/>
        <v>65705.555822222203</v>
      </c>
      <c r="V11" s="10">
        <f>+'A) Base RI'!O11</f>
        <v>77324.3</v>
      </c>
      <c r="W11" s="10">
        <f>+'A) Base RI'!P11</f>
        <v>359859.6</v>
      </c>
      <c r="X11" s="10">
        <f>+'A) Base RI'!R11</f>
        <v>189588</v>
      </c>
      <c r="Y11" s="412">
        <f t="shared" si="5"/>
        <v>626771.89999999991</v>
      </c>
      <c r="Z11" s="10">
        <f>+'A) Base RI'!N11</f>
        <v>0</v>
      </c>
      <c r="AA11" s="10">
        <f>'A) Base RI'!AO11</f>
        <v>1347</v>
      </c>
    </row>
    <row r="12" spans="1:27" x14ac:dyDescent="0.25">
      <c r="A12" s="8">
        <f>'A) Base RI'!A12</f>
        <v>5406</v>
      </c>
      <c r="B12" s="32" t="str">
        <f>'A) Base RI'!B12</f>
        <v>Lavey-Morcles</v>
      </c>
      <c r="C12" s="10">
        <f>'A) Base RI'!C12+'A) Base RI'!D12</f>
        <v>1432849.86</v>
      </c>
      <c r="D12" s="10">
        <f>'A) Base RI'!AP12</f>
        <v>-14890.62</v>
      </c>
      <c r="E12" s="31">
        <f>'A) Base RI'!AQ12</f>
        <v>0</v>
      </c>
      <c r="F12" s="31">
        <f>'A) Base RI'!AR12</f>
        <v>-3.11</v>
      </c>
      <c r="G12" s="412">
        <f t="shared" si="0"/>
        <v>1417956.13</v>
      </c>
      <c r="H12" s="10">
        <f>+'A) Base RI'!E12</f>
        <v>0</v>
      </c>
      <c r="I12" s="10">
        <f>+'A) Base RI'!F12</f>
        <v>0</v>
      </c>
      <c r="J12" s="10">
        <f>+'A) Base RI'!G12+'A) Base RI'!H12+'A) Base RI'!X12</f>
        <v>78473.399999999994</v>
      </c>
      <c r="K12" s="10">
        <f>+'A) Base RI'!I12</f>
        <v>0</v>
      </c>
      <c r="L12" s="10">
        <f>+'A) Base RI'!J12</f>
        <v>104498.74</v>
      </c>
      <c r="M12" s="10">
        <f>+'A) Base RI'!K12</f>
        <v>8692.9500000000007</v>
      </c>
      <c r="N12" s="10">
        <f>+'A) Base RI'!Q12</f>
        <v>4681.1899999999996</v>
      </c>
      <c r="O12" s="10">
        <f t="shared" si="1"/>
        <v>150560.19230769231</v>
      </c>
      <c r="P12" s="10">
        <f>+'A) Base RI'!L12</f>
        <v>195728.25</v>
      </c>
      <c r="Q12" s="34">
        <f>'A) Base RI'!AS12</f>
        <v>1.3</v>
      </c>
      <c r="R12" s="412">
        <f t="shared" si="2"/>
        <v>1764862.6023076919</v>
      </c>
      <c r="S12" s="33">
        <f>+'A) Base RI'!AN12</f>
        <v>71</v>
      </c>
      <c r="T12" s="412">
        <f t="shared" si="3"/>
        <v>1605609.4599999997</v>
      </c>
      <c r="U12" s="412">
        <f t="shared" si="4"/>
        <v>24857.219750812561</v>
      </c>
      <c r="V12" s="10">
        <f>+'A) Base RI'!O12</f>
        <v>2128.5</v>
      </c>
      <c r="W12" s="10">
        <f>+'A) Base RI'!P12</f>
        <v>29459.65</v>
      </c>
      <c r="X12" s="10">
        <f>+'A) Base RI'!R12</f>
        <v>8837.35</v>
      </c>
      <c r="Y12" s="412">
        <f t="shared" si="5"/>
        <v>40425.5</v>
      </c>
      <c r="Z12" s="10">
        <f>+'A) Base RI'!N12</f>
        <v>3939</v>
      </c>
      <c r="AA12" s="10">
        <f>'A) Base RI'!AO12</f>
        <v>931</v>
      </c>
    </row>
    <row r="13" spans="1:27" x14ac:dyDescent="0.25">
      <c r="A13" s="8">
        <f>'A) Base RI'!A13</f>
        <v>5407</v>
      </c>
      <c r="B13" s="32" t="str">
        <f>'A) Base RI'!B13</f>
        <v>Leysin</v>
      </c>
      <c r="C13" s="10">
        <f>'A) Base RI'!C13+'A) Base RI'!D13</f>
        <v>5352229.6099999994</v>
      </c>
      <c r="D13" s="10">
        <f>'A) Base RI'!AP13</f>
        <v>-157047.9</v>
      </c>
      <c r="E13" s="31">
        <f>'A) Base RI'!AQ13</f>
        <v>0</v>
      </c>
      <c r="F13" s="31">
        <f>'A) Base RI'!AR13</f>
        <v>-8732.0300000000007</v>
      </c>
      <c r="G13" s="412">
        <f t="shared" si="0"/>
        <v>5186449.6799999988</v>
      </c>
      <c r="H13" s="10">
        <f>+'A) Base RI'!E13</f>
        <v>0</v>
      </c>
      <c r="I13" s="10">
        <f>+'A) Base RI'!F13</f>
        <v>0</v>
      </c>
      <c r="J13" s="10">
        <f>+'A) Base RI'!G13+'A) Base RI'!H13+'A) Base RI'!X13</f>
        <v>479023.9</v>
      </c>
      <c r="K13" s="10">
        <f>+'A) Base RI'!I13</f>
        <v>74117.2</v>
      </c>
      <c r="L13" s="10">
        <f>+'A) Base RI'!J13</f>
        <v>446764.89</v>
      </c>
      <c r="M13" s="10">
        <f>+'A) Base RI'!K13</f>
        <v>52266</v>
      </c>
      <c r="N13" s="10">
        <f>+'A) Base RI'!Q13</f>
        <v>15946.56</v>
      </c>
      <c r="O13" s="10">
        <f t="shared" si="1"/>
        <v>811745.53333333333</v>
      </c>
      <c r="P13" s="10">
        <f>+'A) Base RI'!L13</f>
        <v>1217618.3</v>
      </c>
      <c r="Q13" s="34">
        <f>'A) Base RI'!AS13</f>
        <v>1.5</v>
      </c>
      <c r="R13" s="412">
        <f t="shared" si="2"/>
        <v>7066313.7633333318</v>
      </c>
      <c r="S13" s="33">
        <f>+'A) Base RI'!AN13</f>
        <v>78</v>
      </c>
      <c r="T13" s="412">
        <f t="shared" si="3"/>
        <v>6202302.2299999986</v>
      </c>
      <c r="U13" s="412">
        <f t="shared" si="4"/>
        <v>90593.766196581171</v>
      </c>
      <c r="V13" s="10">
        <f>+'A) Base RI'!O13</f>
        <v>83889.3</v>
      </c>
      <c r="W13" s="10">
        <f>+'A) Base RI'!P13</f>
        <v>396072.7</v>
      </c>
      <c r="X13" s="10">
        <f>+'A) Base RI'!R13</f>
        <v>288269.90000000002</v>
      </c>
      <c r="Y13" s="412">
        <f t="shared" si="5"/>
        <v>768231.9</v>
      </c>
      <c r="Z13" s="10">
        <f>+'A) Base RI'!N13</f>
        <v>51426.35</v>
      </c>
      <c r="AA13" s="10">
        <f>'A) Base RI'!AO13</f>
        <v>3776</v>
      </c>
    </row>
    <row r="14" spans="1:27" x14ac:dyDescent="0.25">
      <c r="A14" s="8">
        <f>'A) Base RI'!A14</f>
        <v>5408</v>
      </c>
      <c r="B14" s="32" t="str">
        <f>'A) Base RI'!B14</f>
        <v>Noville</v>
      </c>
      <c r="C14" s="10">
        <f>'A) Base RI'!C14+'A) Base RI'!D14</f>
        <v>2225336.3199999998</v>
      </c>
      <c r="D14" s="10">
        <f>'A) Base RI'!AP14</f>
        <v>-114163.6</v>
      </c>
      <c r="E14" s="31">
        <f>'A) Base RI'!AQ14</f>
        <v>0</v>
      </c>
      <c r="F14" s="31">
        <f>'A) Base RI'!AR14</f>
        <v>-1067.8599999999999</v>
      </c>
      <c r="G14" s="412">
        <f t="shared" si="0"/>
        <v>2110104.86</v>
      </c>
      <c r="H14" s="10">
        <f>+'A) Base RI'!E14</f>
        <v>0</v>
      </c>
      <c r="I14" s="10">
        <f>+'A) Base RI'!F14</f>
        <v>0</v>
      </c>
      <c r="J14" s="10">
        <f>+'A) Base RI'!G14+'A) Base RI'!H14+'A) Base RI'!X14</f>
        <v>-242951.54999999996</v>
      </c>
      <c r="K14" s="10">
        <f>+'A) Base RI'!I14</f>
        <v>0</v>
      </c>
      <c r="L14" s="10">
        <f>+'A) Base RI'!J14</f>
        <v>83964.23</v>
      </c>
      <c r="M14" s="10">
        <f>+'A) Base RI'!K14</f>
        <v>9604.5499999999993</v>
      </c>
      <c r="N14" s="10">
        <f>+'A) Base RI'!Q14</f>
        <v>6220.45</v>
      </c>
      <c r="O14" s="10">
        <f t="shared" si="1"/>
        <v>283779.93333333335</v>
      </c>
      <c r="P14" s="10">
        <f>+'A) Base RI'!L14</f>
        <v>425669.9</v>
      </c>
      <c r="Q14" s="34">
        <f>'A) Base RI'!AS14</f>
        <v>1.5</v>
      </c>
      <c r="R14" s="412">
        <f t="shared" si="2"/>
        <v>2250722.4733333332</v>
      </c>
      <c r="S14" s="33">
        <f>+'A) Base RI'!AN14</f>
        <v>78.5</v>
      </c>
      <c r="T14" s="412">
        <f t="shared" si="3"/>
        <v>1957337.9899999998</v>
      </c>
      <c r="U14" s="412">
        <f t="shared" si="4"/>
        <v>28671.623864118894</v>
      </c>
      <c r="V14" s="10">
        <f>+'A) Base RI'!O14</f>
        <v>491492.5</v>
      </c>
      <c r="W14" s="10">
        <f>+'A) Base RI'!P14</f>
        <v>117584.1</v>
      </c>
      <c r="X14" s="10">
        <f>+'A) Base RI'!R14</f>
        <v>35558.35</v>
      </c>
      <c r="Y14" s="412">
        <f t="shared" si="5"/>
        <v>644634.94999999995</v>
      </c>
      <c r="Z14" s="10">
        <f>+'A) Base RI'!N14</f>
        <v>100718.3</v>
      </c>
      <c r="AA14" s="10">
        <f>'A) Base RI'!AO14</f>
        <v>1167</v>
      </c>
    </row>
    <row r="15" spans="1:27" x14ac:dyDescent="0.25">
      <c r="A15" s="8">
        <f>'A) Base RI'!A15</f>
        <v>5409</v>
      </c>
      <c r="B15" s="32" t="str">
        <f>'A) Base RI'!B15</f>
        <v>Ollon</v>
      </c>
      <c r="C15" s="10">
        <f>'A) Base RI'!C15+'A) Base RI'!D15</f>
        <v>20363791.27</v>
      </c>
      <c r="D15" s="10">
        <f>'A) Base RI'!AP15</f>
        <v>-397634.58</v>
      </c>
      <c r="E15" s="31">
        <f>'A) Base RI'!AQ15</f>
        <v>0</v>
      </c>
      <c r="F15" s="31">
        <f>'A) Base RI'!AR15</f>
        <v>-36101.870000000003</v>
      </c>
      <c r="G15" s="412">
        <f t="shared" si="0"/>
        <v>19930054.82</v>
      </c>
      <c r="H15" s="10">
        <f>+'A) Base RI'!E15</f>
        <v>0</v>
      </c>
      <c r="I15" s="10">
        <f>+'A) Base RI'!F15</f>
        <v>0</v>
      </c>
      <c r="J15" s="10">
        <f>+'A) Base RI'!G15+'A) Base RI'!H15+'A) Base RI'!X15</f>
        <v>880598.55</v>
      </c>
      <c r="K15" s="10">
        <f>+'A) Base RI'!I15</f>
        <v>2522061.44</v>
      </c>
      <c r="L15" s="10">
        <f>+'A) Base RI'!J15</f>
        <v>512556.78</v>
      </c>
      <c r="M15" s="10">
        <f>+'A) Base RI'!K15</f>
        <v>136276.20000000001</v>
      </c>
      <c r="N15" s="10">
        <f>+'A) Base RI'!Q15</f>
        <v>135135.74</v>
      </c>
      <c r="O15" s="10">
        <f t="shared" si="1"/>
        <v>3068086.6153846155</v>
      </c>
      <c r="P15" s="10">
        <f>+'A) Base RI'!L15</f>
        <v>3988512.6</v>
      </c>
      <c r="Q15" s="34">
        <f>'A) Base RI'!AS15</f>
        <v>1.3</v>
      </c>
      <c r="R15" s="412">
        <f t="shared" si="2"/>
        <v>27184770.145384617</v>
      </c>
      <c r="S15" s="33">
        <f>+'A) Base RI'!AN15</f>
        <v>68</v>
      </c>
      <c r="T15" s="412">
        <f t="shared" si="3"/>
        <v>23980407.330000002</v>
      </c>
      <c r="U15" s="412">
        <f t="shared" si="4"/>
        <v>399776.03154977376</v>
      </c>
      <c r="V15" s="10">
        <f>+'A) Base RI'!O15</f>
        <v>1443070.5</v>
      </c>
      <c r="W15" s="10">
        <f>+'A) Base RI'!P15</f>
        <v>1025804.9</v>
      </c>
      <c r="X15" s="10">
        <f>+'A) Base RI'!R15</f>
        <v>628395</v>
      </c>
      <c r="Y15" s="412">
        <f t="shared" si="5"/>
        <v>3097270.4</v>
      </c>
      <c r="Z15" s="10">
        <f>+'A) Base RI'!N15</f>
        <v>57026.45</v>
      </c>
      <c r="AA15" s="10">
        <f>'A) Base RI'!AO15</f>
        <v>7560</v>
      </c>
    </row>
    <row r="16" spans="1:27" x14ac:dyDescent="0.25">
      <c r="A16" s="8">
        <f>'A) Base RI'!A16</f>
        <v>5410</v>
      </c>
      <c r="B16" s="32" t="str">
        <f>'A) Base RI'!B16</f>
        <v>Ormont-Dessous</v>
      </c>
      <c r="C16" s="10">
        <f>'A) Base RI'!C16+'A) Base RI'!D16</f>
        <v>2632966.9900000002</v>
      </c>
      <c r="D16" s="10">
        <f>'A) Base RI'!AP16</f>
        <v>-31281.96</v>
      </c>
      <c r="E16" s="31">
        <f>'A) Base RI'!AQ16</f>
        <v>0</v>
      </c>
      <c r="F16" s="31">
        <f>'A) Base RI'!AR16</f>
        <v>-589</v>
      </c>
      <c r="G16" s="412">
        <f t="shared" si="0"/>
        <v>2601096.0300000003</v>
      </c>
      <c r="H16" s="10">
        <f>+'A) Base RI'!E16</f>
        <v>0</v>
      </c>
      <c r="I16" s="10">
        <f>+'A) Base RI'!F16</f>
        <v>0</v>
      </c>
      <c r="J16" s="10">
        <f>+'A) Base RI'!G16+'A) Base RI'!H16+'A) Base RI'!X16</f>
        <v>1954.5</v>
      </c>
      <c r="K16" s="10">
        <f>+'A) Base RI'!I16</f>
        <v>0</v>
      </c>
      <c r="L16" s="10">
        <f>+'A) Base RI'!J16</f>
        <v>13714.41</v>
      </c>
      <c r="M16" s="10">
        <f>+'A) Base RI'!K16</f>
        <v>17073.8</v>
      </c>
      <c r="N16" s="10">
        <f>+'A) Base RI'!Q16</f>
        <v>5526.52</v>
      </c>
      <c r="O16" s="10">
        <f t="shared" si="1"/>
        <v>377539.19333333336</v>
      </c>
      <c r="P16" s="10">
        <f>+'A) Base RI'!L16</f>
        <v>566308.79</v>
      </c>
      <c r="Q16" s="34">
        <f>'A) Base RI'!AS16</f>
        <v>1.5</v>
      </c>
      <c r="R16" s="412">
        <f t="shared" si="2"/>
        <v>3016904.4533333336</v>
      </c>
      <c r="S16" s="33">
        <f>+'A) Base RI'!AN16</f>
        <v>78.5</v>
      </c>
      <c r="T16" s="412">
        <f t="shared" si="3"/>
        <v>2622291.4600000004</v>
      </c>
      <c r="U16" s="412">
        <f t="shared" si="4"/>
        <v>38431.903864118896</v>
      </c>
      <c r="V16" s="10">
        <f>+'A) Base RI'!O16</f>
        <v>124222.1</v>
      </c>
      <c r="W16" s="10">
        <f>+'A) Base RI'!P16</f>
        <v>140967.4</v>
      </c>
      <c r="X16" s="10">
        <f>+'A) Base RI'!R16</f>
        <v>102284.6</v>
      </c>
      <c r="Y16" s="412">
        <f t="shared" si="5"/>
        <v>367474.1</v>
      </c>
      <c r="Z16" s="10">
        <f>+'A) Base RI'!N16</f>
        <v>3078.55</v>
      </c>
      <c r="AA16" s="10">
        <f>'A) Base RI'!AO16</f>
        <v>1141</v>
      </c>
    </row>
    <row r="17" spans="1:27" x14ac:dyDescent="0.25">
      <c r="A17" s="8">
        <f>'A) Base RI'!A17</f>
        <v>5411</v>
      </c>
      <c r="B17" s="32" t="str">
        <f>'A) Base RI'!B17</f>
        <v>Ormont-Dessus</v>
      </c>
      <c r="C17" s="10">
        <f>'A) Base RI'!C17+'A) Base RI'!D17</f>
        <v>4401413.97</v>
      </c>
      <c r="D17" s="10">
        <f>'A) Base RI'!AP17</f>
        <v>-35936.19</v>
      </c>
      <c r="E17" s="31">
        <f>'A) Base RI'!AQ17</f>
        <v>0</v>
      </c>
      <c r="F17" s="31">
        <f>'A) Base RI'!AR17</f>
        <v>-6734.3</v>
      </c>
      <c r="G17" s="412">
        <f t="shared" si="0"/>
        <v>4358743.4799999995</v>
      </c>
      <c r="H17" s="10">
        <f>+'A) Base RI'!E17</f>
        <v>0</v>
      </c>
      <c r="I17" s="10">
        <f>+'A) Base RI'!F17</f>
        <v>0</v>
      </c>
      <c r="J17" s="10">
        <f>+'A) Base RI'!G17+'A) Base RI'!H17+'A) Base RI'!X17</f>
        <v>101270.79999999999</v>
      </c>
      <c r="K17" s="10">
        <f>+'A) Base RI'!I17</f>
        <v>90560.95</v>
      </c>
      <c r="L17" s="10">
        <f>+'A) Base RI'!J17</f>
        <v>154822.20000000001</v>
      </c>
      <c r="M17" s="10">
        <f>+'A) Base RI'!K17</f>
        <v>38585.800000000003</v>
      </c>
      <c r="N17" s="10">
        <f>+'A) Base RI'!Q17</f>
        <v>4312.03</v>
      </c>
      <c r="O17" s="10">
        <f t="shared" si="1"/>
        <v>818711.1</v>
      </c>
      <c r="P17" s="10">
        <f>+'A) Base RI'!L17</f>
        <v>1228066.6499999999</v>
      </c>
      <c r="Q17" s="34">
        <f>'A) Base RI'!AS17</f>
        <v>1.5</v>
      </c>
      <c r="R17" s="412">
        <f t="shared" si="2"/>
        <v>5567006.3599999994</v>
      </c>
      <c r="S17" s="33">
        <f>+'A) Base RI'!AN17</f>
        <v>76</v>
      </c>
      <c r="T17" s="412">
        <f t="shared" si="3"/>
        <v>4709709.46</v>
      </c>
      <c r="U17" s="412">
        <f t="shared" si="4"/>
        <v>73250.08368421052</v>
      </c>
      <c r="V17" s="10">
        <f>+'A) Base RI'!O17</f>
        <v>10374.799999999999</v>
      </c>
      <c r="W17" s="10">
        <f>+'A) Base RI'!P17</f>
        <v>394884.65</v>
      </c>
      <c r="X17" s="10">
        <f>+'A) Base RI'!R17</f>
        <v>301258.34999999998</v>
      </c>
      <c r="Y17" s="412">
        <f t="shared" si="5"/>
        <v>706517.8</v>
      </c>
      <c r="Z17" s="10">
        <f>+'A) Base RI'!N17</f>
        <v>10235.85</v>
      </c>
      <c r="AA17" s="10">
        <f>'A) Base RI'!AO17</f>
        <v>1434</v>
      </c>
    </row>
    <row r="18" spans="1:27" x14ac:dyDescent="0.25">
      <c r="A18" s="8">
        <f>'A) Base RI'!A18</f>
        <v>5412</v>
      </c>
      <c r="B18" s="32" t="str">
        <f>'A) Base RI'!B18</f>
        <v>Rennaz</v>
      </c>
      <c r="C18" s="10">
        <f>'A) Base RI'!C18+'A) Base RI'!D18</f>
        <v>1334522.27</v>
      </c>
      <c r="D18" s="10">
        <f>'A) Base RI'!AP18</f>
        <v>-33724.94</v>
      </c>
      <c r="E18" s="31">
        <f>'A) Base RI'!AQ18</f>
        <v>0</v>
      </c>
      <c r="F18" s="31">
        <f>'A) Base RI'!AR18</f>
        <v>-266.41000000000003</v>
      </c>
      <c r="G18" s="412">
        <f t="shared" si="0"/>
        <v>1300530.9200000002</v>
      </c>
      <c r="H18" s="10">
        <f>+'A) Base RI'!E18</f>
        <v>0</v>
      </c>
      <c r="I18" s="10">
        <f>+'A) Base RI'!F18</f>
        <v>0</v>
      </c>
      <c r="J18" s="10">
        <f>+'A) Base RI'!G18+'A) Base RI'!H18+'A) Base RI'!X18</f>
        <v>106391.54999999999</v>
      </c>
      <c r="K18" s="10">
        <f>+'A) Base RI'!I18</f>
        <v>28426.65</v>
      </c>
      <c r="L18" s="10">
        <f>+'A) Base RI'!J18</f>
        <v>73851.81</v>
      </c>
      <c r="M18" s="10">
        <f>+'A) Base RI'!K18</f>
        <v>-91257</v>
      </c>
      <c r="N18" s="10">
        <f>+'A) Base RI'!Q18</f>
        <v>836.08</v>
      </c>
      <c r="O18" s="10">
        <f t="shared" si="1"/>
        <v>221638.1</v>
      </c>
      <c r="P18" s="10">
        <f>+'A) Base RI'!L18</f>
        <v>221638.1</v>
      </c>
      <c r="Q18" s="34">
        <f>'A) Base RI'!AS18</f>
        <v>1</v>
      </c>
      <c r="R18" s="412">
        <f t="shared" si="2"/>
        <v>1640418.1100000003</v>
      </c>
      <c r="S18" s="33">
        <f>+'A) Base RI'!AN18</f>
        <v>67.5</v>
      </c>
      <c r="T18" s="412">
        <f t="shared" si="3"/>
        <v>1510037.0100000002</v>
      </c>
      <c r="U18" s="412">
        <f t="shared" si="4"/>
        <v>24302.490518518523</v>
      </c>
      <c r="V18" s="10">
        <f>+'A) Base RI'!O18</f>
        <v>26.6</v>
      </c>
      <c r="W18" s="10">
        <f>+'A) Base RI'!P18</f>
        <v>50428.7</v>
      </c>
      <c r="X18" s="10">
        <f>+'A) Base RI'!R18</f>
        <v>14677.25</v>
      </c>
      <c r="Y18" s="412">
        <f t="shared" si="5"/>
        <v>65132.549999999996</v>
      </c>
      <c r="Z18" s="10">
        <f>+'A) Base RI'!N18</f>
        <v>87891.6</v>
      </c>
      <c r="AA18" s="10">
        <f>'A) Base RI'!AO18</f>
        <v>871</v>
      </c>
    </row>
    <row r="19" spans="1:27" x14ac:dyDescent="0.25">
      <c r="A19" s="8">
        <f>'A) Base RI'!A19</f>
        <v>5413</v>
      </c>
      <c r="B19" s="32" t="str">
        <f>'A) Base RI'!B19</f>
        <v>Roche</v>
      </c>
      <c r="C19" s="10">
        <f>'A) Base RI'!C19+'A) Base RI'!D19</f>
        <v>2520687.1399999997</v>
      </c>
      <c r="D19" s="10">
        <f>'A) Base RI'!AP19</f>
        <v>-68390.070000000007</v>
      </c>
      <c r="E19" s="31">
        <f>'A) Base RI'!AQ19</f>
        <v>0</v>
      </c>
      <c r="F19" s="31">
        <f>'A) Base RI'!AR19</f>
        <v>-371.17</v>
      </c>
      <c r="G19" s="412">
        <f t="shared" si="0"/>
        <v>2451925.9</v>
      </c>
      <c r="H19" s="10">
        <f>+'A) Base RI'!E19</f>
        <v>0</v>
      </c>
      <c r="I19" s="10">
        <f>+'A) Base RI'!F19</f>
        <v>0</v>
      </c>
      <c r="J19" s="10">
        <f>+'A) Base RI'!G19+'A) Base RI'!H19+'A) Base RI'!X19</f>
        <v>238107.59999999998</v>
      </c>
      <c r="K19" s="10">
        <f>+'A) Base RI'!I19</f>
        <v>0</v>
      </c>
      <c r="L19" s="10">
        <f>+'A) Base RI'!J19</f>
        <v>68862.320000000007</v>
      </c>
      <c r="M19" s="10">
        <f>+'A) Base RI'!K19</f>
        <v>23441.45</v>
      </c>
      <c r="N19" s="10">
        <f>+'A) Base RI'!Q19</f>
        <v>33572.480000000003</v>
      </c>
      <c r="O19" s="10">
        <f t="shared" si="1"/>
        <v>249824.54166666669</v>
      </c>
      <c r="P19" s="10">
        <f>+'A) Base RI'!L19</f>
        <v>299789.45</v>
      </c>
      <c r="Q19" s="34">
        <f>'A) Base RI'!AS19</f>
        <v>1.2</v>
      </c>
      <c r="R19" s="412">
        <f t="shared" si="2"/>
        <v>3065734.2916666665</v>
      </c>
      <c r="S19" s="33">
        <f>+'A) Base RI'!AN19</f>
        <v>68</v>
      </c>
      <c r="T19" s="412">
        <f t="shared" si="3"/>
        <v>2792468.3</v>
      </c>
      <c r="U19" s="412">
        <f t="shared" si="4"/>
        <v>45084.327818627447</v>
      </c>
      <c r="V19" s="10">
        <f>+'A) Base RI'!O19</f>
        <v>231</v>
      </c>
      <c r="W19" s="10">
        <f>+'A) Base RI'!P19</f>
        <v>327453.7</v>
      </c>
      <c r="X19" s="10">
        <f>+'A) Base RI'!R19</f>
        <v>66952.850000000006</v>
      </c>
      <c r="Y19" s="412">
        <f t="shared" si="5"/>
        <v>394637.55000000005</v>
      </c>
      <c r="Z19" s="10">
        <f>+'A) Base RI'!N19</f>
        <v>244007.9</v>
      </c>
      <c r="AA19" s="10">
        <f>'A) Base RI'!AO19</f>
        <v>1826</v>
      </c>
    </row>
    <row r="20" spans="1:27" x14ac:dyDescent="0.25">
      <c r="A20" s="8">
        <f>'A) Base RI'!A20</f>
        <v>5414</v>
      </c>
      <c r="B20" s="32" t="str">
        <f>'A) Base RI'!B20</f>
        <v>Villeneuve</v>
      </c>
      <c r="C20" s="10">
        <f>'A) Base RI'!C20+'A) Base RI'!D20</f>
        <v>8947355.870000001</v>
      </c>
      <c r="D20" s="10">
        <f>'A) Base RI'!AP20</f>
        <v>-328345.98</v>
      </c>
      <c r="E20" s="31">
        <f>'A) Base RI'!AQ20</f>
        <v>0</v>
      </c>
      <c r="F20" s="31">
        <f>'A) Base RI'!AR20</f>
        <v>-14003.67</v>
      </c>
      <c r="G20" s="412">
        <f t="shared" si="0"/>
        <v>8605006.2200000007</v>
      </c>
      <c r="H20" s="10">
        <f>+'A) Base RI'!E20</f>
        <v>0</v>
      </c>
      <c r="I20" s="10">
        <f>+'A) Base RI'!F20</f>
        <v>0</v>
      </c>
      <c r="J20" s="10">
        <f>+'A) Base RI'!G20+'A) Base RI'!H20+'A) Base RI'!X20</f>
        <v>991213.8</v>
      </c>
      <c r="K20" s="10">
        <f>+'A) Base RI'!I20</f>
        <v>164001.5</v>
      </c>
      <c r="L20" s="10">
        <f>+'A) Base RI'!J20</f>
        <v>437088.12</v>
      </c>
      <c r="M20" s="10">
        <f>+'A) Base RI'!K20</f>
        <v>138327.25</v>
      </c>
      <c r="N20" s="10">
        <f>+'A) Base RI'!Q20</f>
        <v>34945.19</v>
      </c>
      <c r="O20" s="10">
        <f t="shared" si="1"/>
        <v>1193497.25</v>
      </c>
      <c r="P20" s="10">
        <f>+'A) Base RI'!L20</f>
        <v>1193497.25</v>
      </c>
      <c r="Q20" s="34">
        <f>'A) Base RI'!AS20</f>
        <v>1</v>
      </c>
      <c r="R20" s="412">
        <f t="shared" si="2"/>
        <v>11564079.33</v>
      </c>
      <c r="S20" s="33">
        <f>+'A) Base RI'!AN20</f>
        <v>69</v>
      </c>
      <c r="T20" s="412">
        <f t="shared" si="3"/>
        <v>10232254.83</v>
      </c>
      <c r="U20" s="412">
        <f t="shared" si="4"/>
        <v>167595.35260869566</v>
      </c>
      <c r="V20" s="10">
        <f>+'A) Base RI'!O20</f>
        <v>271325.8</v>
      </c>
      <c r="W20" s="10">
        <f>+'A) Base RI'!P20</f>
        <v>664996.65</v>
      </c>
      <c r="X20" s="10">
        <f>+'A) Base RI'!R20</f>
        <v>866142.95</v>
      </c>
      <c r="Y20" s="412">
        <f t="shared" si="5"/>
        <v>1802465.4</v>
      </c>
      <c r="Z20" s="10">
        <f>+'A) Base RI'!N20</f>
        <v>1426833.65</v>
      </c>
      <c r="AA20" s="10">
        <f>'A) Base RI'!AO20</f>
        <v>5772</v>
      </c>
    </row>
    <row r="21" spans="1:27" x14ac:dyDescent="0.25">
      <c r="A21" s="8">
        <f>'A) Base RI'!A21</f>
        <v>5415</v>
      </c>
      <c r="B21" s="32" t="str">
        <f>'A) Base RI'!B21</f>
        <v>Yvorne</v>
      </c>
      <c r="C21" s="10">
        <f>'A) Base RI'!C21+'A) Base RI'!D21</f>
        <v>2368778.21</v>
      </c>
      <c r="D21" s="10">
        <f>'A) Base RI'!AP21</f>
        <v>-32960.74</v>
      </c>
      <c r="E21" s="31">
        <f>'A) Base RI'!AQ21</f>
        <v>0</v>
      </c>
      <c r="F21" s="31">
        <f>'A) Base RI'!AR21</f>
        <v>-2373.23</v>
      </c>
      <c r="G21" s="412">
        <f t="shared" si="0"/>
        <v>2333444.2399999998</v>
      </c>
      <c r="H21" s="10">
        <f>+'A) Base RI'!E21</f>
        <v>0</v>
      </c>
      <c r="I21" s="10">
        <f>+'A) Base RI'!F21</f>
        <v>0</v>
      </c>
      <c r="J21" s="10">
        <f>+'A) Base RI'!G21+'A) Base RI'!H21+'A) Base RI'!X21</f>
        <v>173643.9</v>
      </c>
      <c r="K21" s="10">
        <f>+'A) Base RI'!I21</f>
        <v>1121.4000000000001</v>
      </c>
      <c r="L21" s="10">
        <f>+'A) Base RI'!J21</f>
        <v>51598.99</v>
      </c>
      <c r="M21" s="10">
        <f>+'A) Base RI'!K21</f>
        <v>10326.35</v>
      </c>
      <c r="N21" s="10">
        <f>+'A) Base RI'!Q21</f>
        <v>12441.37</v>
      </c>
      <c r="O21" s="10">
        <f t="shared" si="1"/>
        <v>218128.13333333333</v>
      </c>
      <c r="P21" s="10">
        <f>+'A) Base RI'!L21</f>
        <v>327192.2</v>
      </c>
      <c r="Q21" s="34">
        <f>'A) Base RI'!AS21</f>
        <v>1.5</v>
      </c>
      <c r="R21" s="412">
        <f t="shared" si="2"/>
        <v>2800704.3833333333</v>
      </c>
      <c r="S21" s="33">
        <f>+'A) Base RI'!AN21</f>
        <v>71.5</v>
      </c>
      <c r="T21" s="412">
        <f t="shared" si="3"/>
        <v>2572249.9</v>
      </c>
      <c r="U21" s="412">
        <f t="shared" si="4"/>
        <v>39170.690675990678</v>
      </c>
      <c r="V21" s="10">
        <f>+'A) Base RI'!O21</f>
        <v>397.5</v>
      </c>
      <c r="W21" s="10">
        <f>+'A) Base RI'!P21</f>
        <v>106142.2</v>
      </c>
      <c r="X21" s="10">
        <f>+'A) Base RI'!R21</f>
        <v>258291.5</v>
      </c>
      <c r="Y21" s="412">
        <f t="shared" si="5"/>
        <v>364831.2</v>
      </c>
      <c r="Z21" s="10">
        <f>+'A) Base RI'!N21</f>
        <v>18151.900000000001</v>
      </c>
      <c r="AA21" s="10">
        <f>'A) Base RI'!AO21</f>
        <v>1071</v>
      </c>
    </row>
    <row r="22" spans="1:27" x14ac:dyDescent="0.25">
      <c r="A22" s="8">
        <f>'A) Base RI'!A22</f>
        <v>5421</v>
      </c>
      <c r="B22" s="32" t="str">
        <f>'A) Base RI'!B22</f>
        <v>Apples</v>
      </c>
      <c r="C22" s="10">
        <f>'A) Base RI'!C22+'A) Base RI'!D22</f>
        <v>4456434.49</v>
      </c>
      <c r="D22" s="10">
        <f>'A) Base RI'!AP22</f>
        <v>-80921.87</v>
      </c>
      <c r="E22" s="31">
        <f>'A) Base RI'!AQ22</f>
        <v>0</v>
      </c>
      <c r="F22" s="31">
        <f>'A) Base RI'!AR22</f>
        <v>-3935.15</v>
      </c>
      <c r="G22" s="412">
        <f t="shared" si="0"/>
        <v>4371577.47</v>
      </c>
      <c r="H22" s="10">
        <f>+'A) Base RI'!E22</f>
        <v>0</v>
      </c>
      <c r="I22" s="10">
        <f>+'A) Base RI'!F22</f>
        <v>0</v>
      </c>
      <c r="J22" s="10">
        <f>+'A) Base RI'!G22+'A) Base RI'!H22+'A) Base RI'!X22</f>
        <v>268079.15000000002</v>
      </c>
      <c r="K22" s="10">
        <f>+'A) Base RI'!I22</f>
        <v>207722.4</v>
      </c>
      <c r="L22" s="10">
        <f>+'A) Base RI'!J22</f>
        <v>210910.43</v>
      </c>
      <c r="M22" s="10">
        <f>+'A) Base RI'!K22</f>
        <v>13150.65</v>
      </c>
      <c r="N22" s="10">
        <f>+'A) Base RI'!Q22</f>
        <v>1193.06</v>
      </c>
      <c r="O22" s="10">
        <f t="shared" si="1"/>
        <v>293890.75</v>
      </c>
      <c r="P22" s="10">
        <f>+'A) Base RI'!L22</f>
        <v>293890.75</v>
      </c>
      <c r="Q22" s="34">
        <f>'A) Base RI'!AS22</f>
        <v>1</v>
      </c>
      <c r="R22" s="412">
        <f t="shared" si="2"/>
        <v>5366523.91</v>
      </c>
      <c r="S22" s="33">
        <f>+'A) Base RI'!AN22</f>
        <v>76</v>
      </c>
      <c r="T22" s="412">
        <f t="shared" si="3"/>
        <v>5059482.51</v>
      </c>
      <c r="U22" s="412">
        <f t="shared" si="4"/>
        <v>70612.156710526324</v>
      </c>
      <c r="V22" s="10">
        <f>+'A) Base RI'!O22</f>
        <v>69311.8</v>
      </c>
      <c r="W22" s="10">
        <f>+'A) Base RI'!P22</f>
        <v>149504.20000000001</v>
      </c>
      <c r="X22" s="10">
        <f>+'A) Base RI'!R22</f>
        <v>158133.5</v>
      </c>
      <c r="Y22" s="412">
        <f t="shared" si="5"/>
        <v>376949.5</v>
      </c>
      <c r="Z22" s="10">
        <f>+'A) Base RI'!N22</f>
        <v>26298.5</v>
      </c>
      <c r="AA22" s="10">
        <f>'A) Base RI'!AO22</f>
        <v>1460</v>
      </c>
    </row>
    <row r="23" spans="1:27" x14ac:dyDescent="0.25">
      <c r="A23" s="8">
        <f>'A) Base RI'!A23</f>
        <v>5422</v>
      </c>
      <c r="B23" s="32" t="str">
        <f>'A) Base RI'!B23</f>
        <v>Aubonne</v>
      </c>
      <c r="C23" s="10">
        <f>'A) Base RI'!C23+'A) Base RI'!D23</f>
        <v>10847374.489999991</v>
      </c>
      <c r="D23" s="10">
        <f>'A) Base RI'!AP23</f>
        <v>-126606.97</v>
      </c>
      <c r="E23" s="31">
        <f>'A) Base RI'!AQ23</f>
        <v>0</v>
      </c>
      <c r="F23" s="31">
        <f>'A) Base RI'!AR23</f>
        <v>-9400</v>
      </c>
      <c r="G23" s="412">
        <f t="shared" si="0"/>
        <v>10711367.51999999</v>
      </c>
      <c r="H23" s="10">
        <f>+'A) Base RI'!E23</f>
        <v>0</v>
      </c>
      <c r="I23" s="10">
        <f>+'A) Base RI'!F23</f>
        <v>0</v>
      </c>
      <c r="J23" s="10">
        <f>+'A) Base RI'!G23+'A) Base RI'!H23+'A) Base RI'!X23</f>
        <v>3523885.05</v>
      </c>
      <c r="K23" s="10">
        <f>+'A) Base RI'!I23</f>
        <v>341926.40000000002</v>
      </c>
      <c r="L23" s="10">
        <f>+'A) Base RI'!J23</f>
        <v>433327.49</v>
      </c>
      <c r="M23" s="10">
        <f>+'A) Base RI'!K23</f>
        <v>138715.5</v>
      </c>
      <c r="N23" s="10">
        <f>+'A) Base RI'!Q23</f>
        <v>44684.31</v>
      </c>
      <c r="O23" s="10">
        <f t="shared" si="1"/>
        <v>988122.1</v>
      </c>
      <c r="P23" s="10">
        <f>+'A) Base RI'!L23</f>
        <v>988122.1</v>
      </c>
      <c r="Q23" s="34">
        <f>'A) Base RI'!AS23</f>
        <v>1</v>
      </c>
      <c r="R23" s="412">
        <f t="shared" si="2"/>
        <v>16182028.36999999</v>
      </c>
      <c r="S23" s="33">
        <f>+'A) Base RI'!AN23</f>
        <v>70</v>
      </c>
      <c r="T23" s="412">
        <f t="shared" si="3"/>
        <v>15055190.76999999</v>
      </c>
      <c r="U23" s="412">
        <f t="shared" si="4"/>
        <v>231171.83385714272</v>
      </c>
      <c r="V23" s="10">
        <f>+'A) Base RI'!O23</f>
        <v>335871.4</v>
      </c>
      <c r="W23" s="10">
        <f>+'A) Base RI'!P23</f>
        <v>292394.8</v>
      </c>
      <c r="X23" s="10">
        <f>+'A) Base RI'!R23</f>
        <v>242260.6</v>
      </c>
      <c r="Y23" s="412">
        <f t="shared" si="5"/>
        <v>870526.79999999993</v>
      </c>
      <c r="Z23" s="10">
        <f>+'A) Base RI'!N23</f>
        <v>892412.4</v>
      </c>
      <c r="AA23" s="10">
        <f>'A) Base RI'!AO23</f>
        <v>3276</v>
      </c>
    </row>
    <row r="24" spans="1:27" x14ac:dyDescent="0.25">
      <c r="A24" s="8">
        <f>'A) Base RI'!A24</f>
        <v>5423</v>
      </c>
      <c r="B24" s="32" t="str">
        <f>'A) Base RI'!B24</f>
        <v>Ballens</v>
      </c>
      <c r="C24" s="10">
        <f>'A) Base RI'!C24+'A) Base RI'!D24</f>
        <v>1136430.51</v>
      </c>
      <c r="D24" s="10">
        <f>'A) Base RI'!AP24</f>
        <v>-134669.19</v>
      </c>
      <c r="E24" s="31">
        <f>'A) Base RI'!AQ24</f>
        <v>0</v>
      </c>
      <c r="F24" s="31">
        <f>'A) Base RI'!AR24</f>
        <v>-393.83</v>
      </c>
      <c r="G24" s="412">
        <f t="shared" si="0"/>
        <v>1001367.4900000001</v>
      </c>
      <c r="H24" s="10">
        <f>+'A) Base RI'!E24</f>
        <v>0</v>
      </c>
      <c r="I24" s="10">
        <f>+'A) Base RI'!F24</f>
        <v>2740</v>
      </c>
      <c r="J24" s="10">
        <f>+'A) Base RI'!G24+'A) Base RI'!H24+'A) Base RI'!X24</f>
        <v>51244.9</v>
      </c>
      <c r="K24" s="10">
        <f>+'A) Base RI'!I24</f>
        <v>0</v>
      </c>
      <c r="L24" s="10">
        <f>+'A) Base RI'!J24</f>
        <v>51188.04</v>
      </c>
      <c r="M24" s="10">
        <f>+'A) Base RI'!K24</f>
        <v>1932.85</v>
      </c>
      <c r="N24" s="10">
        <f>+'A) Base RI'!Q24</f>
        <v>243.38</v>
      </c>
      <c r="O24" s="10">
        <f t="shared" si="1"/>
        <v>78440.5</v>
      </c>
      <c r="P24" s="10">
        <f>+'A) Base RI'!L24</f>
        <v>39220.25</v>
      </c>
      <c r="Q24" s="34">
        <f>'A) Base RI'!AS24</f>
        <v>0.5</v>
      </c>
      <c r="R24" s="412">
        <f t="shared" si="2"/>
        <v>1187157.1600000001</v>
      </c>
      <c r="S24" s="33">
        <f>+'A) Base RI'!AN24</f>
        <v>73</v>
      </c>
      <c r="T24" s="412">
        <f t="shared" si="3"/>
        <v>1104043.81</v>
      </c>
      <c r="U24" s="412">
        <f t="shared" si="4"/>
        <v>16262.42684931507</v>
      </c>
      <c r="V24" s="10">
        <f>+'A) Base RI'!O24</f>
        <v>0</v>
      </c>
      <c r="W24" s="10">
        <f>+'A) Base RI'!P24</f>
        <v>53755.5</v>
      </c>
      <c r="X24" s="10">
        <f>+'A) Base RI'!R24</f>
        <v>26298.799999999999</v>
      </c>
      <c r="Y24" s="412">
        <f t="shared" si="5"/>
        <v>80054.3</v>
      </c>
      <c r="Z24" s="10">
        <f>+'A) Base RI'!N24</f>
        <v>33405.599999999999</v>
      </c>
      <c r="AA24" s="10">
        <f>'A) Base RI'!AO24</f>
        <v>545</v>
      </c>
    </row>
    <row r="25" spans="1:27" x14ac:dyDescent="0.25">
      <c r="A25" s="8">
        <f>'A) Base RI'!A25</f>
        <v>5424</v>
      </c>
      <c r="B25" s="32" t="str">
        <f>'A) Base RI'!B25</f>
        <v>Berolle</v>
      </c>
      <c r="C25" s="10">
        <f>'A) Base RI'!C25+'A) Base RI'!D25</f>
        <v>630823.36999999988</v>
      </c>
      <c r="D25" s="10">
        <f>'A) Base RI'!AP25</f>
        <v>-13155.55</v>
      </c>
      <c r="E25" s="31">
        <f>'A) Base RI'!AQ25</f>
        <v>0</v>
      </c>
      <c r="F25" s="31">
        <f>'A) Base RI'!AR25</f>
        <v>0</v>
      </c>
      <c r="G25" s="412">
        <f t="shared" si="0"/>
        <v>617667.81999999983</v>
      </c>
      <c r="H25" s="10">
        <f>+'A) Base RI'!E25</f>
        <v>0</v>
      </c>
      <c r="I25" s="10">
        <f>+'A) Base RI'!F25</f>
        <v>0</v>
      </c>
      <c r="J25" s="10">
        <f>+'A) Base RI'!G25+'A) Base RI'!H25+'A) Base RI'!X25</f>
        <v>-708</v>
      </c>
      <c r="K25" s="10">
        <f>+'A) Base RI'!I25</f>
        <v>30045.05</v>
      </c>
      <c r="L25" s="10">
        <f>+'A) Base RI'!J25</f>
        <v>14473.74</v>
      </c>
      <c r="M25" s="10">
        <f>+'A) Base RI'!K25</f>
        <v>766</v>
      </c>
      <c r="N25" s="10">
        <f>+'A) Base RI'!Q25</f>
        <v>2304.5700000000002</v>
      </c>
      <c r="O25" s="10">
        <f t="shared" si="1"/>
        <v>50145</v>
      </c>
      <c r="P25" s="10">
        <f>+'A) Base RI'!L25</f>
        <v>50145</v>
      </c>
      <c r="Q25" s="34">
        <f>'A) Base RI'!AS25</f>
        <v>1</v>
      </c>
      <c r="R25" s="412">
        <f t="shared" si="2"/>
        <v>714694.17999999982</v>
      </c>
      <c r="S25" s="33">
        <f>+'A) Base RI'!AN25</f>
        <v>77</v>
      </c>
      <c r="T25" s="412">
        <f t="shared" si="3"/>
        <v>663783.17999999982</v>
      </c>
      <c r="U25" s="412">
        <f t="shared" si="4"/>
        <v>9281.7425974025955</v>
      </c>
      <c r="V25" s="10">
        <f>+'A) Base RI'!O25</f>
        <v>0</v>
      </c>
      <c r="W25" s="10">
        <f>+'A) Base RI'!P25</f>
        <v>5830</v>
      </c>
      <c r="X25" s="10">
        <f>+'A) Base RI'!R25</f>
        <v>4673.8999999999996</v>
      </c>
      <c r="Y25" s="412">
        <f t="shared" si="5"/>
        <v>10503.9</v>
      </c>
      <c r="Z25" s="10">
        <f>+'A) Base RI'!N25</f>
        <v>0</v>
      </c>
      <c r="AA25" s="10">
        <f>'A) Base RI'!AO25</f>
        <v>300</v>
      </c>
    </row>
    <row r="26" spans="1:27" x14ac:dyDescent="0.25">
      <c r="A26" s="8">
        <f>'A) Base RI'!A26</f>
        <v>5425</v>
      </c>
      <c r="B26" s="32" t="str">
        <f>'A) Base RI'!B26</f>
        <v>Bière</v>
      </c>
      <c r="C26" s="10">
        <f>'A) Base RI'!C26+'A) Base RI'!D26</f>
        <v>2309223.59</v>
      </c>
      <c r="D26" s="10">
        <f>'A) Base RI'!AP26</f>
        <v>-50620.28</v>
      </c>
      <c r="E26" s="31">
        <f>'A) Base RI'!AQ26</f>
        <v>0</v>
      </c>
      <c r="F26" s="31">
        <f>'A) Base RI'!AR26</f>
        <v>-67.75</v>
      </c>
      <c r="G26" s="412">
        <f t="shared" si="0"/>
        <v>2258535.56</v>
      </c>
      <c r="H26" s="10">
        <f>+'A) Base RI'!E26</f>
        <v>0</v>
      </c>
      <c r="I26" s="10">
        <f>+'A) Base RI'!F26</f>
        <v>0</v>
      </c>
      <c r="J26" s="10">
        <f>+'A) Base RI'!G26+'A) Base RI'!H26+'A) Base RI'!X26</f>
        <v>119372.1</v>
      </c>
      <c r="K26" s="10">
        <f>+'A) Base RI'!I26</f>
        <v>0</v>
      </c>
      <c r="L26" s="10">
        <f>+'A) Base RI'!J26</f>
        <v>149097.46</v>
      </c>
      <c r="M26" s="10">
        <f>+'A) Base RI'!K26</f>
        <v>14618.2</v>
      </c>
      <c r="N26" s="10">
        <f>+'A) Base RI'!Q26</f>
        <v>23735.45</v>
      </c>
      <c r="O26" s="10">
        <f t="shared" si="1"/>
        <v>201198.01724137933</v>
      </c>
      <c r="P26" s="10">
        <f>+'A) Base RI'!L26</f>
        <v>116694.85</v>
      </c>
      <c r="Q26" s="34">
        <f>'A) Base RI'!AS26</f>
        <v>0.57999999999999996</v>
      </c>
      <c r="R26" s="412">
        <f t="shared" si="2"/>
        <v>2766556.7872413797</v>
      </c>
      <c r="S26" s="33">
        <f>+'A) Base RI'!AN26</f>
        <v>70</v>
      </c>
      <c r="T26" s="412">
        <f t="shared" si="3"/>
        <v>2550740.5700000003</v>
      </c>
      <c r="U26" s="412">
        <f t="shared" si="4"/>
        <v>39522.239817733993</v>
      </c>
      <c r="V26" s="10">
        <f>+'A) Base RI'!O26</f>
        <v>29340.1</v>
      </c>
      <c r="W26" s="10">
        <f>+'A) Base RI'!P26</f>
        <v>215386.05</v>
      </c>
      <c r="X26" s="10">
        <f>+'A) Base RI'!R26</f>
        <v>59819.3</v>
      </c>
      <c r="Y26" s="412">
        <f t="shared" si="5"/>
        <v>304545.45</v>
      </c>
      <c r="Z26" s="10">
        <f>+'A) Base RI'!N26</f>
        <v>59876.55</v>
      </c>
      <c r="AA26" s="10">
        <f>'A) Base RI'!AO26</f>
        <v>1596</v>
      </c>
    </row>
    <row r="27" spans="1:27" x14ac:dyDescent="0.25">
      <c r="A27" s="8">
        <f>'A) Base RI'!A27</f>
        <v>5426</v>
      </c>
      <c r="B27" s="32" t="str">
        <f>'A) Base RI'!B27</f>
        <v>Bougy-Villars</v>
      </c>
      <c r="C27" s="10">
        <f>'A) Base RI'!C27+'A) Base RI'!D27</f>
        <v>2484391.2799999998</v>
      </c>
      <c r="D27" s="10">
        <f>'A) Base RI'!AP27</f>
        <v>-2403.56</v>
      </c>
      <c r="E27" s="31">
        <f>'A) Base RI'!AQ27</f>
        <v>0</v>
      </c>
      <c r="F27" s="31">
        <f>'A) Base RI'!AR27</f>
        <v>-4687.6000000000004</v>
      </c>
      <c r="G27" s="412">
        <f t="shared" si="0"/>
        <v>2477300.1199999996</v>
      </c>
      <c r="H27" s="10">
        <f>+'A) Base RI'!E27</f>
        <v>0</v>
      </c>
      <c r="I27" s="10">
        <f>+'A) Base RI'!F27</f>
        <v>0</v>
      </c>
      <c r="J27" s="10">
        <f>+'A) Base RI'!G27+'A) Base RI'!H27+'A) Base RI'!X27</f>
        <v>10384.85</v>
      </c>
      <c r="K27" s="10">
        <f>+'A) Base RI'!I27</f>
        <v>691095.95</v>
      </c>
      <c r="L27" s="10">
        <f>+'A) Base RI'!J27</f>
        <v>3803.67</v>
      </c>
      <c r="M27" s="10">
        <f>+'A) Base RI'!K27</f>
        <v>6336.3</v>
      </c>
      <c r="N27" s="10">
        <f>+'A) Base RI'!Q27</f>
        <v>7285.12</v>
      </c>
      <c r="O27" s="10">
        <f t="shared" si="1"/>
        <v>240622.58333333331</v>
      </c>
      <c r="P27" s="10">
        <f>+'A) Base RI'!L27</f>
        <v>288747.09999999998</v>
      </c>
      <c r="Q27" s="34">
        <f>'A) Base RI'!AS27</f>
        <v>1.2</v>
      </c>
      <c r="R27" s="412">
        <f t="shared" si="2"/>
        <v>3436828.5933333333</v>
      </c>
      <c r="S27" s="33">
        <f>+'A) Base RI'!AN27</f>
        <v>66</v>
      </c>
      <c r="T27" s="412">
        <f t="shared" si="3"/>
        <v>3189869.71</v>
      </c>
      <c r="U27" s="412">
        <f t="shared" si="4"/>
        <v>52073.160505050502</v>
      </c>
      <c r="V27" s="10">
        <f>+'A) Base RI'!O27</f>
        <v>54938.9</v>
      </c>
      <c r="W27" s="10">
        <f>+'A) Base RI'!P27</f>
        <v>126338.5</v>
      </c>
      <c r="X27" s="10">
        <f>+'A) Base RI'!R27</f>
        <v>134028.35</v>
      </c>
      <c r="Y27" s="412">
        <f t="shared" si="5"/>
        <v>315305.75</v>
      </c>
      <c r="Z27" s="10">
        <f>+'A) Base RI'!N27</f>
        <v>720.4</v>
      </c>
      <c r="AA27" s="10">
        <f>'A) Base RI'!AO27</f>
        <v>475</v>
      </c>
    </row>
    <row r="28" spans="1:27" x14ac:dyDescent="0.25">
      <c r="A28" s="8">
        <f>'A) Base RI'!A28</f>
        <v>5427</v>
      </c>
      <c r="B28" s="32" t="str">
        <f>'A) Base RI'!B28</f>
        <v>Féchy</v>
      </c>
      <c r="C28" s="10">
        <f>'A) Base RI'!C28+'A) Base RI'!D28</f>
        <v>4776492.21</v>
      </c>
      <c r="D28" s="10">
        <f>'A) Base RI'!AP28</f>
        <v>-6647.5</v>
      </c>
      <c r="E28" s="31">
        <f>'A) Base RI'!AQ28</f>
        <v>0</v>
      </c>
      <c r="F28" s="31">
        <f>'A) Base RI'!AR28</f>
        <v>0</v>
      </c>
      <c r="G28" s="412">
        <f t="shared" si="0"/>
        <v>4769844.71</v>
      </c>
      <c r="H28" s="10">
        <f>+'A) Base RI'!E28</f>
        <v>0</v>
      </c>
      <c r="I28" s="10">
        <f>+'A) Base RI'!F28</f>
        <v>0</v>
      </c>
      <c r="J28" s="10">
        <f>+'A) Base RI'!G28+'A) Base RI'!H28+'A) Base RI'!X28</f>
        <v>59552.1</v>
      </c>
      <c r="K28" s="10">
        <f>+'A) Base RI'!I28</f>
        <v>418429.95</v>
      </c>
      <c r="L28" s="10">
        <f>+'A) Base RI'!J28</f>
        <v>-49640.51</v>
      </c>
      <c r="M28" s="10">
        <f>+'A) Base RI'!K28</f>
        <v>3924.95</v>
      </c>
      <c r="N28" s="10">
        <f>+'A) Base RI'!Q28</f>
        <v>610.20000000000005</v>
      </c>
      <c r="O28" s="10">
        <f t="shared" si="1"/>
        <v>349242.76923076919</v>
      </c>
      <c r="P28" s="10">
        <f>+'A) Base RI'!L28</f>
        <v>454015.6</v>
      </c>
      <c r="Q28" s="34">
        <f>'A) Base RI'!AS28</f>
        <v>1.3</v>
      </c>
      <c r="R28" s="412">
        <f t="shared" si="2"/>
        <v>5551964.1692307694</v>
      </c>
      <c r="S28" s="33">
        <f>+'A) Base RI'!AN28</f>
        <v>64</v>
      </c>
      <c r="T28" s="412">
        <f t="shared" si="3"/>
        <v>5198796.45</v>
      </c>
      <c r="U28" s="412">
        <f t="shared" si="4"/>
        <v>86749.440144230772</v>
      </c>
      <c r="V28" s="10">
        <f>+'A) Base RI'!O28</f>
        <v>25012</v>
      </c>
      <c r="W28" s="10">
        <f>+'A) Base RI'!P28</f>
        <v>290164.34999999998</v>
      </c>
      <c r="X28" s="10">
        <f>+'A) Base RI'!R28</f>
        <v>145347</v>
      </c>
      <c r="Y28" s="412">
        <f t="shared" si="5"/>
        <v>460523.35</v>
      </c>
      <c r="Z28" s="10">
        <f>+'A) Base RI'!N28</f>
        <v>12002.5</v>
      </c>
      <c r="AA28" s="10">
        <f>'A) Base RI'!AO28</f>
        <v>861</v>
      </c>
    </row>
    <row r="29" spans="1:27" x14ac:dyDescent="0.25">
      <c r="A29" s="8">
        <f>'A) Base RI'!A29</f>
        <v>5428</v>
      </c>
      <c r="B29" s="32" t="str">
        <f>'A) Base RI'!B29</f>
        <v>Gimel</v>
      </c>
      <c r="C29" s="10">
        <f>'A) Base RI'!C29+'A) Base RI'!D29</f>
        <v>4202385.3899999997</v>
      </c>
      <c r="D29" s="10">
        <f>'A) Base RI'!AP29</f>
        <v>-80876.649999999994</v>
      </c>
      <c r="E29" s="31">
        <f>'A) Base RI'!AQ29</f>
        <v>0</v>
      </c>
      <c r="F29" s="31">
        <f>'A) Base RI'!AR29</f>
        <v>-547.26</v>
      </c>
      <c r="G29" s="412">
        <f t="shared" si="0"/>
        <v>4120961.48</v>
      </c>
      <c r="H29" s="10">
        <f>+'A) Base RI'!E29</f>
        <v>0</v>
      </c>
      <c r="I29" s="10">
        <f>+'A) Base RI'!F29</f>
        <v>0</v>
      </c>
      <c r="J29" s="10">
        <f>+'A) Base RI'!G29+'A) Base RI'!H29+'A) Base RI'!X29</f>
        <v>285449.25</v>
      </c>
      <c r="K29" s="10">
        <f>+'A) Base RI'!I29</f>
        <v>-21355</v>
      </c>
      <c r="L29" s="10">
        <f>+'A) Base RI'!J29</f>
        <v>158174.44</v>
      </c>
      <c r="M29" s="10">
        <f>+'A) Base RI'!K29</f>
        <v>11690.15</v>
      </c>
      <c r="N29" s="10">
        <f>+'A) Base RI'!Q29</f>
        <v>8131.04</v>
      </c>
      <c r="O29" s="10">
        <f t="shared" si="1"/>
        <v>366688.87500000006</v>
      </c>
      <c r="P29" s="10">
        <f>+'A) Base RI'!L29</f>
        <v>440026.65</v>
      </c>
      <c r="Q29" s="34">
        <f>'A) Base RI'!AS29</f>
        <v>1.2</v>
      </c>
      <c r="R29" s="412">
        <f t="shared" si="2"/>
        <v>4929740.2350000013</v>
      </c>
      <c r="S29" s="33">
        <f>+'A) Base RI'!AN29</f>
        <v>74.5</v>
      </c>
      <c r="T29" s="412">
        <f t="shared" si="3"/>
        <v>4551361.2100000009</v>
      </c>
      <c r="U29" s="412">
        <f t="shared" si="4"/>
        <v>66171.009865771834</v>
      </c>
      <c r="V29" s="10">
        <f>+'A) Base RI'!O29</f>
        <v>19249</v>
      </c>
      <c r="W29" s="10">
        <f>+'A) Base RI'!P29</f>
        <v>223194</v>
      </c>
      <c r="X29" s="10">
        <f>+'A) Base RI'!R29</f>
        <v>120076.25</v>
      </c>
      <c r="Y29" s="412">
        <f t="shared" si="5"/>
        <v>362519.25</v>
      </c>
      <c r="Z29" s="10">
        <f>+'A) Base RI'!N29</f>
        <v>226233.85</v>
      </c>
      <c r="AA29" s="10">
        <f>'A) Base RI'!AO29</f>
        <v>2238</v>
      </c>
    </row>
    <row r="30" spans="1:27" x14ac:dyDescent="0.25">
      <c r="A30" s="8">
        <f>'A) Base RI'!A30</f>
        <v>5429</v>
      </c>
      <c r="B30" s="32" t="str">
        <f>'A) Base RI'!B30</f>
        <v>Longirod</v>
      </c>
      <c r="C30" s="10">
        <f>'A) Base RI'!C30+'A) Base RI'!D30</f>
        <v>1135470</v>
      </c>
      <c r="D30" s="10">
        <f>'A) Base RI'!AP30</f>
        <v>-7575.32</v>
      </c>
      <c r="E30" s="31">
        <f>'A) Base RI'!AQ30</f>
        <v>0</v>
      </c>
      <c r="F30" s="31">
        <f>'A) Base RI'!AR30</f>
        <v>-38.270000000000003</v>
      </c>
      <c r="G30" s="412">
        <f t="shared" si="0"/>
        <v>1127856.4099999999</v>
      </c>
      <c r="H30" s="10">
        <f>+'A) Base RI'!E30</f>
        <v>0</v>
      </c>
      <c r="I30" s="10">
        <f>+'A) Base RI'!F30</f>
        <v>0</v>
      </c>
      <c r="J30" s="10">
        <f>+'A) Base RI'!G30+'A) Base RI'!H30+'A) Base RI'!X30</f>
        <v>5403.65</v>
      </c>
      <c r="K30" s="10">
        <f>+'A) Base RI'!I30</f>
        <v>0</v>
      </c>
      <c r="L30" s="10">
        <f>+'A) Base RI'!J30</f>
        <v>6679.09</v>
      </c>
      <c r="M30" s="10">
        <f>+'A) Base RI'!K30</f>
        <v>1954.8</v>
      </c>
      <c r="N30" s="10">
        <f>+'A) Base RI'!Q30</f>
        <v>0</v>
      </c>
      <c r="O30" s="10">
        <f t="shared" si="1"/>
        <v>98330.8</v>
      </c>
      <c r="P30" s="10">
        <f>+'A) Base RI'!L30</f>
        <v>98330.8</v>
      </c>
      <c r="Q30" s="34">
        <f>'A) Base RI'!AS30</f>
        <v>1</v>
      </c>
      <c r="R30" s="412">
        <f t="shared" si="2"/>
        <v>1240224.75</v>
      </c>
      <c r="S30" s="33">
        <f>+'A) Base RI'!AN30</f>
        <v>81</v>
      </c>
      <c r="T30" s="412">
        <f t="shared" si="3"/>
        <v>1139939.1499999999</v>
      </c>
      <c r="U30" s="412">
        <f t="shared" si="4"/>
        <v>15311.416666666666</v>
      </c>
      <c r="V30" s="10">
        <f>+'A) Base RI'!O30</f>
        <v>5504</v>
      </c>
      <c r="W30" s="10">
        <f>+'A) Base RI'!P30</f>
        <v>37475.699999999997</v>
      </c>
      <c r="X30" s="10">
        <f>+'A) Base RI'!R30</f>
        <v>33964.35</v>
      </c>
      <c r="Y30" s="412">
        <f t="shared" si="5"/>
        <v>76944.049999999988</v>
      </c>
      <c r="Z30" s="10">
        <f>+'A) Base RI'!N30</f>
        <v>0</v>
      </c>
      <c r="AA30" s="10">
        <f>'A) Base RI'!AO30</f>
        <v>482</v>
      </c>
    </row>
    <row r="31" spans="1:27" x14ac:dyDescent="0.25">
      <c r="A31" s="8">
        <f>'A) Base RI'!A31</f>
        <v>5430</v>
      </c>
      <c r="B31" s="32" t="str">
        <f>'A) Base RI'!B31</f>
        <v>Marchissy</v>
      </c>
      <c r="C31" s="10">
        <f>'A) Base RI'!C31+'A) Base RI'!D31</f>
        <v>1060437.33</v>
      </c>
      <c r="D31" s="10">
        <f>'A) Base RI'!AP31</f>
        <v>-37073.4</v>
      </c>
      <c r="E31" s="31">
        <f>'A) Base RI'!AQ31</f>
        <v>0</v>
      </c>
      <c r="F31" s="31">
        <f>'A) Base RI'!AR31</f>
        <v>-146.71</v>
      </c>
      <c r="G31" s="412">
        <f t="shared" si="0"/>
        <v>1023217.2200000001</v>
      </c>
      <c r="H31" s="10">
        <f>+'A) Base RI'!E31</f>
        <v>0</v>
      </c>
      <c r="I31" s="10">
        <f>+'A) Base RI'!F31</f>
        <v>0</v>
      </c>
      <c r="J31" s="10">
        <f>+'A) Base RI'!G31+'A) Base RI'!H31+'A) Base RI'!X31</f>
        <v>47912.6</v>
      </c>
      <c r="K31" s="10">
        <f>+'A) Base RI'!I31</f>
        <v>0</v>
      </c>
      <c r="L31" s="10">
        <f>+'A) Base RI'!J31</f>
        <v>11615.48</v>
      </c>
      <c r="M31" s="10">
        <f>+'A) Base RI'!K31</f>
        <v>1059.8</v>
      </c>
      <c r="N31" s="10">
        <f>+'A) Base RI'!Q31</f>
        <v>1302.25</v>
      </c>
      <c r="O31" s="10">
        <f t="shared" si="1"/>
        <v>86256.7</v>
      </c>
      <c r="P31" s="10">
        <f>+'A) Base RI'!L31</f>
        <v>86256.7</v>
      </c>
      <c r="Q31" s="34">
        <f>'A) Base RI'!AS31</f>
        <v>1</v>
      </c>
      <c r="R31" s="412">
        <f t="shared" si="2"/>
        <v>1171364.05</v>
      </c>
      <c r="S31" s="33">
        <f>+'A) Base RI'!AN31</f>
        <v>79</v>
      </c>
      <c r="T31" s="412">
        <f t="shared" si="3"/>
        <v>1084047.55</v>
      </c>
      <c r="U31" s="412">
        <f t="shared" si="4"/>
        <v>14827.393037974683</v>
      </c>
      <c r="V31" s="10">
        <f>+'A) Base RI'!O31</f>
        <v>0</v>
      </c>
      <c r="W31" s="10">
        <f>+'A) Base RI'!P31</f>
        <v>45692.45</v>
      </c>
      <c r="X31" s="10">
        <f>+'A) Base RI'!R31</f>
        <v>9945.85</v>
      </c>
      <c r="Y31" s="412">
        <f t="shared" si="5"/>
        <v>55638.299999999996</v>
      </c>
      <c r="Z31" s="10">
        <f>+'A) Base RI'!N31</f>
        <v>6850.45</v>
      </c>
      <c r="AA31" s="10">
        <f>'A) Base RI'!AO31</f>
        <v>472</v>
      </c>
    </row>
    <row r="32" spans="1:27" x14ac:dyDescent="0.25">
      <c r="A32" s="8">
        <f>'A) Base RI'!A32</f>
        <v>5431</v>
      </c>
      <c r="B32" s="32" t="str">
        <f>'A) Base RI'!B32</f>
        <v>Mollens</v>
      </c>
      <c r="C32" s="10">
        <f>'A) Base RI'!C32+'A) Base RI'!D32</f>
        <v>703797.43</v>
      </c>
      <c r="D32" s="10">
        <f>'A) Base RI'!AP32</f>
        <v>-4344.3999999999996</v>
      </c>
      <c r="E32" s="31">
        <f>'A) Base RI'!AQ32</f>
        <v>0</v>
      </c>
      <c r="F32" s="31">
        <f>'A) Base RI'!AR32</f>
        <v>-169.91</v>
      </c>
      <c r="G32" s="412">
        <f t="shared" si="0"/>
        <v>699283.12</v>
      </c>
      <c r="H32" s="10">
        <f>+'A) Base RI'!E32</f>
        <v>0</v>
      </c>
      <c r="I32" s="10">
        <f>+'A) Base RI'!F32</f>
        <v>0</v>
      </c>
      <c r="J32" s="10">
        <f>+'A) Base RI'!G32+'A) Base RI'!H32+'A) Base RI'!X32</f>
        <v>1642</v>
      </c>
      <c r="K32" s="10">
        <f>+'A) Base RI'!I32</f>
        <v>0</v>
      </c>
      <c r="L32" s="10">
        <f>+'A) Base RI'!J32</f>
        <v>32397.55</v>
      </c>
      <c r="M32" s="10">
        <f>+'A) Base RI'!K32</f>
        <v>833.85</v>
      </c>
      <c r="N32" s="10">
        <f>+'A) Base RI'!Q32</f>
        <v>1206.43</v>
      </c>
      <c r="O32" s="10">
        <f t="shared" si="1"/>
        <v>51016.95</v>
      </c>
      <c r="P32" s="10">
        <f>+'A) Base RI'!L32</f>
        <v>51016.95</v>
      </c>
      <c r="Q32" s="34">
        <f>'A) Base RI'!AS32</f>
        <v>1</v>
      </c>
      <c r="R32" s="412">
        <f t="shared" si="2"/>
        <v>786379.9</v>
      </c>
      <c r="S32" s="33">
        <f>+'A) Base RI'!AN32</f>
        <v>74</v>
      </c>
      <c r="T32" s="412">
        <f t="shared" si="3"/>
        <v>734529.10000000009</v>
      </c>
      <c r="U32" s="412">
        <f t="shared" si="4"/>
        <v>10626.755405405405</v>
      </c>
      <c r="V32" s="10">
        <f>+'A) Base RI'!O32</f>
        <v>0</v>
      </c>
      <c r="W32" s="10">
        <f>+'A) Base RI'!P32</f>
        <v>33492.400000000001</v>
      </c>
      <c r="X32" s="10">
        <f>+'A) Base RI'!R32</f>
        <v>82844.649999999994</v>
      </c>
      <c r="Y32" s="412">
        <f t="shared" si="5"/>
        <v>116337.04999999999</v>
      </c>
      <c r="Z32" s="10">
        <f>+'A) Base RI'!N32</f>
        <v>292.05</v>
      </c>
      <c r="AA32" s="10">
        <f>'A) Base RI'!AO32</f>
        <v>308</v>
      </c>
    </row>
    <row r="33" spans="1:27" x14ac:dyDescent="0.25">
      <c r="A33" s="8">
        <f>'A) Base RI'!A33</f>
        <v>5432</v>
      </c>
      <c r="B33" s="32" t="str">
        <f>'A) Base RI'!B33</f>
        <v>Montherod</v>
      </c>
      <c r="C33" s="10">
        <f>'A) Base RI'!C33+'A) Base RI'!D33</f>
        <v>1192006.92</v>
      </c>
      <c r="D33" s="10">
        <f>'A) Base RI'!AP33</f>
        <v>-48925.27</v>
      </c>
      <c r="E33" s="31">
        <f>'A) Base RI'!AQ33</f>
        <v>0</v>
      </c>
      <c r="F33" s="31">
        <f>'A) Base RI'!AR33</f>
        <v>-32.64</v>
      </c>
      <c r="G33" s="412">
        <f t="shared" si="0"/>
        <v>1143049.01</v>
      </c>
      <c r="H33" s="10">
        <f>+'A) Base RI'!E33</f>
        <v>0</v>
      </c>
      <c r="I33" s="10">
        <f>+'A) Base RI'!F33</f>
        <v>0</v>
      </c>
      <c r="J33" s="10">
        <f>+'A) Base RI'!G33+'A) Base RI'!H33+'A) Base RI'!X33</f>
        <v>-1018.6499999999996</v>
      </c>
      <c r="K33" s="10">
        <f>+'A) Base RI'!I33</f>
        <v>0</v>
      </c>
      <c r="L33" s="10">
        <f>+'A) Base RI'!J33</f>
        <v>11014.9</v>
      </c>
      <c r="M33" s="10">
        <f>+'A) Base RI'!K33</f>
        <v>5106.3</v>
      </c>
      <c r="N33" s="10">
        <f>+'A) Base RI'!Q33</f>
        <v>1908.85</v>
      </c>
      <c r="O33" s="10">
        <f t="shared" si="1"/>
        <v>94024.7</v>
      </c>
      <c r="P33" s="10">
        <f>+'A) Base RI'!L33</f>
        <v>94024.7</v>
      </c>
      <c r="Q33" s="34">
        <f>'A) Base RI'!AS33</f>
        <v>1</v>
      </c>
      <c r="R33" s="412">
        <f t="shared" si="2"/>
        <v>1254085.1100000001</v>
      </c>
      <c r="S33" s="33">
        <f>+'A) Base RI'!AN33</f>
        <v>78</v>
      </c>
      <c r="T33" s="412">
        <f t="shared" si="3"/>
        <v>1154954.1100000001</v>
      </c>
      <c r="U33" s="412">
        <f t="shared" si="4"/>
        <v>16078.014230769231</v>
      </c>
      <c r="V33" s="10">
        <f>+'A) Base RI'!O33</f>
        <v>2876.6</v>
      </c>
      <c r="W33" s="10">
        <f>+'A) Base RI'!P33</f>
        <v>28094</v>
      </c>
      <c r="X33" s="10">
        <f>+'A) Base RI'!R33</f>
        <v>10337.549999999999</v>
      </c>
      <c r="Y33" s="412">
        <f t="shared" si="5"/>
        <v>41308.149999999994</v>
      </c>
      <c r="Z33" s="10">
        <f>+'A) Base RI'!N33</f>
        <v>13497.2</v>
      </c>
      <c r="AA33" s="10">
        <f>'A) Base RI'!AO33</f>
        <v>541</v>
      </c>
    </row>
    <row r="34" spans="1:27" x14ac:dyDescent="0.25">
      <c r="A34" s="8">
        <f>'A) Base RI'!A34</f>
        <v>5434</v>
      </c>
      <c r="B34" s="32" t="str">
        <f>'A) Base RI'!B34</f>
        <v>Saint-George</v>
      </c>
      <c r="C34" s="10">
        <f>'A) Base RI'!C34+'A) Base RI'!D34</f>
        <v>2551543.2599999998</v>
      </c>
      <c r="D34" s="10">
        <f>'A) Base RI'!AP34</f>
        <v>-16799.5</v>
      </c>
      <c r="E34" s="31">
        <f>'A) Base RI'!AQ34</f>
        <v>0</v>
      </c>
      <c r="F34" s="31">
        <f>'A) Base RI'!AR34</f>
        <v>0</v>
      </c>
      <c r="G34" s="412">
        <f t="shared" si="0"/>
        <v>2534743.7599999998</v>
      </c>
      <c r="H34" s="10">
        <f>+'A) Base RI'!E34</f>
        <v>0</v>
      </c>
      <c r="I34" s="10">
        <f>+'A) Base RI'!F34</f>
        <v>0</v>
      </c>
      <c r="J34" s="10">
        <f>+'A) Base RI'!G34+'A) Base RI'!H34+'A) Base RI'!X34</f>
        <v>12333.45</v>
      </c>
      <c r="K34" s="10">
        <f>+'A) Base RI'!I34</f>
        <v>0</v>
      </c>
      <c r="L34" s="10">
        <f>+'A) Base RI'!J34</f>
        <v>52188.42</v>
      </c>
      <c r="M34" s="10">
        <f>+'A) Base RI'!K34</f>
        <v>3172.2</v>
      </c>
      <c r="N34" s="10">
        <f>+'A) Base RI'!Q34</f>
        <v>0</v>
      </c>
      <c r="O34" s="10">
        <f t="shared" si="1"/>
        <v>230885.45833333334</v>
      </c>
      <c r="P34" s="10">
        <f>+'A) Base RI'!L34</f>
        <v>277062.55</v>
      </c>
      <c r="Q34" s="34">
        <f>'A) Base RI'!AS34</f>
        <v>1.2</v>
      </c>
      <c r="R34" s="412">
        <f t="shared" si="2"/>
        <v>2833323.2883333336</v>
      </c>
      <c r="S34" s="33">
        <f>+'A) Base RI'!AN34</f>
        <v>71</v>
      </c>
      <c r="T34" s="412">
        <f t="shared" si="3"/>
        <v>2599265.63</v>
      </c>
      <c r="U34" s="412">
        <f t="shared" si="4"/>
        <v>39905.96180751174</v>
      </c>
      <c r="V34" s="10">
        <f>+'A) Base RI'!O34</f>
        <v>1000</v>
      </c>
      <c r="W34" s="10">
        <f>+'A) Base RI'!P34</f>
        <v>115494.5</v>
      </c>
      <c r="X34" s="10">
        <f>+'A) Base RI'!R34</f>
        <v>95482.75</v>
      </c>
      <c r="Y34" s="412">
        <f t="shared" si="5"/>
        <v>211977.25</v>
      </c>
      <c r="Z34" s="10">
        <f>+'A) Base RI'!N34</f>
        <v>31108.400000000001</v>
      </c>
      <c r="AA34" s="10">
        <f>'A) Base RI'!AO34</f>
        <v>1063</v>
      </c>
    </row>
    <row r="35" spans="1:27" x14ac:dyDescent="0.25">
      <c r="A35" s="8">
        <f>'A) Base RI'!A35</f>
        <v>5435</v>
      </c>
      <c r="B35" s="32" t="str">
        <f>'A) Base RI'!B35</f>
        <v>Saint-Livres</v>
      </c>
      <c r="C35" s="10">
        <f>'A) Base RI'!C35+'A) Base RI'!D35</f>
        <v>1533534.66</v>
      </c>
      <c r="D35" s="10">
        <f>'A) Base RI'!AP35</f>
        <v>-33838.49</v>
      </c>
      <c r="E35" s="31">
        <f>'A) Base RI'!AQ35</f>
        <v>0</v>
      </c>
      <c r="F35" s="31">
        <f>'A) Base RI'!AR35</f>
        <v>-214.69</v>
      </c>
      <c r="G35" s="412">
        <f t="shared" si="0"/>
        <v>1499481.48</v>
      </c>
      <c r="H35" s="10">
        <f>+'A) Base RI'!E35</f>
        <v>0</v>
      </c>
      <c r="I35" s="10">
        <f>+'A) Base RI'!F35</f>
        <v>0</v>
      </c>
      <c r="J35" s="10">
        <f>+'A) Base RI'!G35+'A) Base RI'!H35+'A) Base RI'!X35</f>
        <v>425.90000000000055</v>
      </c>
      <c r="K35" s="10">
        <f>+'A) Base RI'!I35</f>
        <v>0</v>
      </c>
      <c r="L35" s="10">
        <f>+'A) Base RI'!J35</f>
        <v>40445.19</v>
      </c>
      <c r="M35" s="10">
        <f>+'A) Base RI'!K35</f>
        <v>0</v>
      </c>
      <c r="N35" s="10">
        <f>+'A) Base RI'!Q35</f>
        <v>15215.4</v>
      </c>
      <c r="O35" s="10">
        <f t="shared" si="1"/>
        <v>123320.5</v>
      </c>
      <c r="P35" s="10">
        <f>+'A) Base RI'!L35</f>
        <v>123320.5</v>
      </c>
      <c r="Q35" s="34">
        <f>'A) Base RI'!AS35</f>
        <v>1</v>
      </c>
      <c r="R35" s="412">
        <f t="shared" si="2"/>
        <v>1678888.4699999997</v>
      </c>
      <c r="S35" s="33">
        <f>+'A) Base RI'!AN35</f>
        <v>69</v>
      </c>
      <c r="T35" s="412">
        <f t="shared" si="3"/>
        <v>1555567.9699999997</v>
      </c>
      <c r="U35" s="412">
        <f t="shared" si="4"/>
        <v>24331.716956521734</v>
      </c>
      <c r="V35" s="10">
        <f>+'A) Base RI'!O35</f>
        <v>0</v>
      </c>
      <c r="W35" s="10">
        <f>+'A) Base RI'!P35</f>
        <v>30489.4</v>
      </c>
      <c r="X35" s="10">
        <f>+'A) Base RI'!R35</f>
        <v>35673</v>
      </c>
      <c r="Y35" s="412">
        <f t="shared" si="5"/>
        <v>66162.399999999994</v>
      </c>
      <c r="Z35" s="10">
        <f>+'A) Base RI'!N35</f>
        <v>1807.7</v>
      </c>
      <c r="AA35" s="10">
        <f>'A) Base RI'!AO35</f>
        <v>691</v>
      </c>
    </row>
    <row r="36" spans="1:27" x14ac:dyDescent="0.25">
      <c r="A36" s="8">
        <f>'A) Base RI'!A36</f>
        <v>5436</v>
      </c>
      <c r="B36" s="32" t="str">
        <f>'A) Base RI'!B36</f>
        <v>Saint-Oyens</v>
      </c>
      <c r="C36" s="10">
        <f>'A) Base RI'!C36+'A) Base RI'!D36</f>
        <v>1234333.6499999999</v>
      </c>
      <c r="D36" s="10">
        <f>'A) Base RI'!AP36</f>
        <v>-43021.440000000002</v>
      </c>
      <c r="E36" s="31">
        <f>'A) Base RI'!AQ36</f>
        <v>0</v>
      </c>
      <c r="F36" s="31">
        <f>'A) Base RI'!AR36</f>
        <v>-787.67</v>
      </c>
      <c r="G36" s="412">
        <f t="shared" si="0"/>
        <v>1190524.54</v>
      </c>
      <c r="H36" s="10">
        <f>+'A) Base RI'!E36</f>
        <v>0</v>
      </c>
      <c r="I36" s="10">
        <f>+'A) Base RI'!F36</f>
        <v>0</v>
      </c>
      <c r="J36" s="10">
        <f>+'A) Base RI'!G36+'A) Base RI'!H36+'A) Base RI'!X36</f>
        <v>58520.5</v>
      </c>
      <c r="K36" s="10">
        <f>+'A) Base RI'!I36</f>
        <v>0</v>
      </c>
      <c r="L36" s="10">
        <f>+'A) Base RI'!J36</f>
        <v>-342.01</v>
      </c>
      <c r="M36" s="10">
        <f>+'A) Base RI'!K36</f>
        <v>0</v>
      </c>
      <c r="N36" s="10">
        <f>+'A) Base RI'!Q36</f>
        <v>12295.81</v>
      </c>
      <c r="O36" s="10">
        <f t="shared" si="1"/>
        <v>80753.25</v>
      </c>
      <c r="P36" s="10">
        <f>+'A) Base RI'!L36</f>
        <v>64602.6</v>
      </c>
      <c r="Q36" s="34">
        <f>'A) Base RI'!AS36</f>
        <v>0.8</v>
      </c>
      <c r="R36" s="412">
        <f t="shared" si="2"/>
        <v>1341752.0900000001</v>
      </c>
      <c r="S36" s="33">
        <f>+'A) Base RI'!AN36</f>
        <v>81</v>
      </c>
      <c r="T36" s="412">
        <f t="shared" si="3"/>
        <v>1260998.8400000001</v>
      </c>
      <c r="U36" s="412">
        <f t="shared" si="4"/>
        <v>16564.840617283953</v>
      </c>
      <c r="V36" s="10">
        <f>+'A) Base RI'!O36</f>
        <v>0</v>
      </c>
      <c r="W36" s="10">
        <f>+'A) Base RI'!P36</f>
        <v>10560</v>
      </c>
      <c r="X36" s="10">
        <f>+'A) Base RI'!R36</f>
        <v>36984.050000000003</v>
      </c>
      <c r="Y36" s="412">
        <f t="shared" si="5"/>
        <v>47544.05</v>
      </c>
      <c r="Z36" s="10">
        <f>+'A) Base RI'!N36</f>
        <v>1201.0999999999999</v>
      </c>
      <c r="AA36" s="10">
        <f>'A) Base RI'!AO36</f>
        <v>447</v>
      </c>
    </row>
    <row r="37" spans="1:27" x14ac:dyDescent="0.25">
      <c r="A37" s="8">
        <f>'A) Base RI'!A37</f>
        <v>5437</v>
      </c>
      <c r="B37" s="32" t="str">
        <f>'A) Base RI'!B37</f>
        <v>Saubraz</v>
      </c>
      <c r="C37" s="10">
        <f>'A) Base RI'!C37+'A) Base RI'!D37</f>
        <v>963696.5</v>
      </c>
      <c r="D37" s="10">
        <f>'A) Base RI'!AP37</f>
        <v>-10280.5</v>
      </c>
      <c r="E37" s="31">
        <f>'A) Base RI'!AQ37</f>
        <v>0</v>
      </c>
      <c r="F37" s="31">
        <f>'A) Base RI'!AR37</f>
        <v>-36.03</v>
      </c>
      <c r="G37" s="412">
        <f t="shared" si="0"/>
        <v>953379.97</v>
      </c>
      <c r="H37" s="10">
        <f>+'A) Base RI'!E37</f>
        <v>0</v>
      </c>
      <c r="I37" s="10">
        <f>+'A) Base RI'!F37</f>
        <v>0</v>
      </c>
      <c r="J37" s="10">
        <f>+'A) Base RI'!G37+'A) Base RI'!H37+'A) Base RI'!X37</f>
        <v>9808.75</v>
      </c>
      <c r="K37" s="10">
        <f>+'A) Base RI'!I37</f>
        <v>0</v>
      </c>
      <c r="L37" s="10">
        <f>+'A) Base RI'!J37</f>
        <v>21981.59</v>
      </c>
      <c r="M37" s="10">
        <f>+'A) Base RI'!K37</f>
        <v>746.35</v>
      </c>
      <c r="N37" s="10">
        <f>+'A) Base RI'!Q37</f>
        <v>0</v>
      </c>
      <c r="O37" s="10">
        <f t="shared" si="1"/>
        <v>66546.149999999994</v>
      </c>
      <c r="P37" s="10">
        <f>+'A) Base RI'!L37</f>
        <v>66546.149999999994</v>
      </c>
      <c r="Q37" s="34">
        <f>'A) Base RI'!AS37</f>
        <v>1</v>
      </c>
      <c r="R37" s="412">
        <f t="shared" si="2"/>
        <v>1052462.8099999998</v>
      </c>
      <c r="S37" s="33">
        <f>+'A) Base RI'!AN37</f>
        <v>80</v>
      </c>
      <c r="T37" s="412">
        <f t="shared" si="3"/>
        <v>985170.30999999994</v>
      </c>
      <c r="U37" s="412">
        <f t="shared" si="4"/>
        <v>13155.785124999999</v>
      </c>
      <c r="V37" s="10">
        <f>+'A) Base RI'!O37</f>
        <v>5326</v>
      </c>
      <c r="W37" s="10">
        <f>+'A) Base RI'!P37</f>
        <v>16835</v>
      </c>
      <c r="X37" s="10">
        <f>+'A) Base RI'!R37</f>
        <v>24357.75</v>
      </c>
      <c r="Y37" s="412">
        <f t="shared" si="5"/>
        <v>46518.75</v>
      </c>
      <c r="Z37" s="10">
        <f>+'A) Base RI'!N37</f>
        <v>0</v>
      </c>
      <c r="AA37" s="10">
        <f>'A) Base RI'!AO37</f>
        <v>423</v>
      </c>
    </row>
    <row r="38" spans="1:27" x14ac:dyDescent="0.25">
      <c r="A38" s="8">
        <f>'A) Base RI'!A38</f>
        <v>5451</v>
      </c>
      <c r="B38" s="32" t="str">
        <f>'A) Base RI'!B38</f>
        <v>Avenches</v>
      </c>
      <c r="C38" s="10">
        <f>'A) Base RI'!C38+'A) Base RI'!D38</f>
        <v>5973730.6000000099</v>
      </c>
      <c r="D38" s="10">
        <f>'A) Base RI'!AP38</f>
        <v>-301966.33</v>
      </c>
      <c r="E38" s="31">
        <f>'A) Base RI'!AQ38</f>
        <v>0</v>
      </c>
      <c r="F38" s="31">
        <f>'A) Base RI'!AR38</f>
        <v>-170.09</v>
      </c>
      <c r="G38" s="412">
        <f t="shared" si="0"/>
        <v>5671594.1800000099</v>
      </c>
      <c r="H38" s="10">
        <f>+'A) Base RI'!E38</f>
        <v>0</v>
      </c>
      <c r="I38" s="10">
        <f>+'A) Base RI'!F38</f>
        <v>0</v>
      </c>
      <c r="J38" s="10">
        <f>+'A) Base RI'!G38+'A) Base RI'!H38+'A) Base RI'!X38</f>
        <v>1554392.5999999999</v>
      </c>
      <c r="K38" s="10">
        <f>+'A) Base RI'!I38</f>
        <v>0</v>
      </c>
      <c r="L38" s="10">
        <f>+'A) Base RI'!J38</f>
        <v>464364.16</v>
      </c>
      <c r="M38" s="10">
        <f>+'A) Base RI'!K38</f>
        <v>91632.6</v>
      </c>
      <c r="N38" s="10">
        <f>+'A) Base RI'!Q38</f>
        <v>120910.04</v>
      </c>
      <c r="O38" s="10">
        <f t="shared" si="1"/>
        <v>894823.9</v>
      </c>
      <c r="P38" s="10">
        <f>+'A) Base RI'!L38</f>
        <v>1342235.85</v>
      </c>
      <c r="Q38" s="34">
        <f>'A) Base RI'!AS38</f>
        <v>1.5</v>
      </c>
      <c r="R38" s="412">
        <f t="shared" si="2"/>
        <v>8797717.4800000098</v>
      </c>
      <c r="S38" s="33">
        <f>+'A) Base RI'!AN38</f>
        <v>68</v>
      </c>
      <c r="T38" s="412">
        <f t="shared" si="3"/>
        <v>7811260.9800000098</v>
      </c>
      <c r="U38" s="412">
        <f t="shared" si="4"/>
        <v>129378.19823529426</v>
      </c>
      <c r="V38" s="10">
        <f>+'A) Base RI'!O38</f>
        <v>224785.7</v>
      </c>
      <c r="W38" s="10">
        <f>+'A) Base RI'!P38</f>
        <v>202624.35</v>
      </c>
      <c r="X38" s="10">
        <f>+'A) Base RI'!R38</f>
        <v>328947.95</v>
      </c>
      <c r="Y38" s="412">
        <f t="shared" si="5"/>
        <v>756358</v>
      </c>
      <c r="Z38" s="10">
        <f>+'A) Base RI'!N38</f>
        <v>402168.8</v>
      </c>
      <c r="AA38" s="10">
        <f>'A) Base RI'!AO38</f>
        <v>4305</v>
      </c>
    </row>
    <row r="39" spans="1:27" x14ac:dyDescent="0.25">
      <c r="A39" s="8">
        <f>'A) Base RI'!A39</f>
        <v>5456</v>
      </c>
      <c r="B39" s="32" t="str">
        <f>'A) Base RI'!B39</f>
        <v>Cudrefin</v>
      </c>
      <c r="C39" s="10">
        <f>'A) Base RI'!C39+'A) Base RI'!D39</f>
        <v>3083621.52</v>
      </c>
      <c r="D39" s="10">
        <f>'A) Base RI'!AP39</f>
        <v>-119613.65</v>
      </c>
      <c r="E39" s="31">
        <f>'A) Base RI'!AQ39</f>
        <v>0</v>
      </c>
      <c r="F39" s="31">
        <f>'A) Base RI'!AR39</f>
        <v>-47.91</v>
      </c>
      <c r="G39" s="412">
        <f t="shared" si="0"/>
        <v>2963959.96</v>
      </c>
      <c r="H39" s="10">
        <f>+'A) Base RI'!E39</f>
        <v>0</v>
      </c>
      <c r="I39" s="10">
        <f>+'A) Base RI'!F39</f>
        <v>0</v>
      </c>
      <c r="J39" s="10">
        <f>+'A) Base RI'!G39+'A) Base RI'!H39+'A) Base RI'!X39</f>
        <v>16018.800000000001</v>
      </c>
      <c r="K39" s="10">
        <f>+'A) Base RI'!I39</f>
        <v>0</v>
      </c>
      <c r="L39" s="10">
        <f>+'A) Base RI'!J39</f>
        <v>67135.63</v>
      </c>
      <c r="M39" s="10">
        <f>+'A) Base RI'!K39</f>
        <v>2771.55</v>
      </c>
      <c r="N39" s="10">
        <f>+'A) Base RI'!Q39</f>
        <v>38447.99</v>
      </c>
      <c r="O39" s="10">
        <f t="shared" si="1"/>
        <v>319225.86666666664</v>
      </c>
      <c r="P39" s="10">
        <f>+'A) Base RI'!L39</f>
        <v>478838.8</v>
      </c>
      <c r="Q39" s="34">
        <f>'A) Base RI'!AS39</f>
        <v>1.5</v>
      </c>
      <c r="R39" s="412">
        <f t="shared" si="2"/>
        <v>3407559.7966666664</v>
      </c>
      <c r="S39" s="33">
        <f>+'A) Base RI'!AN39</f>
        <v>59</v>
      </c>
      <c r="T39" s="412">
        <f t="shared" si="3"/>
        <v>3085562.38</v>
      </c>
      <c r="U39" s="412">
        <f t="shared" si="4"/>
        <v>57755.250790960446</v>
      </c>
      <c r="V39" s="10">
        <f>+'A) Base RI'!O39</f>
        <v>681046.3</v>
      </c>
      <c r="W39" s="10">
        <f>+'A) Base RI'!P39</f>
        <v>304460.90000000002</v>
      </c>
      <c r="X39" s="10">
        <f>+'A) Base RI'!R39</f>
        <v>162443.25</v>
      </c>
      <c r="Y39" s="412">
        <f t="shared" si="5"/>
        <v>1147950.4500000002</v>
      </c>
      <c r="Z39" s="10">
        <f>+'A) Base RI'!N39</f>
        <v>11939.5</v>
      </c>
      <c r="AA39" s="10">
        <f>'A) Base RI'!AO39</f>
        <v>1735</v>
      </c>
    </row>
    <row r="40" spans="1:27" x14ac:dyDescent="0.25">
      <c r="A40" s="8">
        <f>'A) Base RI'!A40</f>
        <v>5458</v>
      </c>
      <c r="B40" s="32" t="str">
        <f>'A) Base RI'!B40</f>
        <v>Faoug</v>
      </c>
      <c r="C40" s="10">
        <f>'A) Base RI'!C40+'A) Base RI'!D40</f>
        <v>1954193.49</v>
      </c>
      <c r="D40" s="10">
        <f>'A) Base RI'!AP40</f>
        <v>-24362.9</v>
      </c>
      <c r="E40" s="31">
        <f>'A) Base RI'!AQ40</f>
        <v>0</v>
      </c>
      <c r="F40" s="31">
        <f>'A) Base RI'!AR40</f>
        <v>-57.87</v>
      </c>
      <c r="G40" s="412">
        <f t="shared" si="0"/>
        <v>1929772.72</v>
      </c>
      <c r="H40" s="10">
        <f>+'A) Base RI'!E40</f>
        <v>0</v>
      </c>
      <c r="I40" s="10">
        <f>+'A) Base RI'!F40</f>
        <v>0</v>
      </c>
      <c r="J40" s="10">
        <f>+'A) Base RI'!G40+'A) Base RI'!H40+'A) Base RI'!X40</f>
        <v>46107.9</v>
      </c>
      <c r="K40" s="10">
        <f>+'A) Base RI'!I40</f>
        <v>0</v>
      </c>
      <c r="L40" s="10">
        <f>+'A) Base RI'!J40</f>
        <v>28629.64</v>
      </c>
      <c r="M40" s="10">
        <f>+'A) Base RI'!K40</f>
        <v>9743.9500000000007</v>
      </c>
      <c r="N40" s="10">
        <f>+'A) Base RI'!Q40</f>
        <v>184.73</v>
      </c>
      <c r="O40" s="10">
        <f t="shared" si="1"/>
        <v>173039.03333333333</v>
      </c>
      <c r="P40" s="10">
        <f>+'A) Base RI'!L40</f>
        <v>259558.55</v>
      </c>
      <c r="Q40" s="34">
        <f>'A) Base RI'!AS40</f>
        <v>1.5</v>
      </c>
      <c r="R40" s="412">
        <f t="shared" si="2"/>
        <v>2187477.9733333332</v>
      </c>
      <c r="S40" s="33">
        <f>+'A) Base RI'!AN40</f>
        <v>66</v>
      </c>
      <c r="T40" s="412">
        <f t="shared" si="3"/>
        <v>2004694.9899999998</v>
      </c>
      <c r="U40" s="412">
        <f t="shared" si="4"/>
        <v>33143.605656565654</v>
      </c>
      <c r="V40" s="10">
        <f>+'A) Base RI'!O40</f>
        <v>280454.40000000002</v>
      </c>
      <c r="W40" s="10">
        <f>+'A) Base RI'!P40</f>
        <v>104340.15</v>
      </c>
      <c r="X40" s="10">
        <f>+'A) Base RI'!R40</f>
        <v>64511.4</v>
      </c>
      <c r="Y40" s="412">
        <f t="shared" si="5"/>
        <v>449305.95000000007</v>
      </c>
      <c r="Z40" s="10">
        <f>+'A) Base RI'!N40</f>
        <v>0</v>
      </c>
      <c r="AA40" s="10">
        <f>'A) Base RI'!AO40</f>
        <v>884</v>
      </c>
    </row>
    <row r="41" spans="1:27" x14ac:dyDescent="0.25">
      <c r="A41" s="8">
        <f>'A) Base RI'!A41</f>
        <v>5464</v>
      </c>
      <c r="B41" s="32" t="str">
        <f>'A) Base RI'!B41</f>
        <v>Vully-les-Lacs</v>
      </c>
      <c r="C41" s="10">
        <f>'A) Base RI'!C41+'A) Base RI'!D41</f>
        <v>6752132.0700000003</v>
      </c>
      <c r="D41" s="10">
        <f>'A) Base RI'!AP41</f>
        <v>-118992.82</v>
      </c>
      <c r="E41" s="31">
        <f>'A) Base RI'!AQ41</f>
        <v>0</v>
      </c>
      <c r="F41" s="31">
        <f>'A) Base RI'!AR41</f>
        <v>-5168.91</v>
      </c>
      <c r="G41" s="412">
        <f t="shared" si="0"/>
        <v>6627970.3399999999</v>
      </c>
      <c r="H41" s="10">
        <f>+'A) Base RI'!E41</f>
        <v>0</v>
      </c>
      <c r="I41" s="10">
        <f>+'A) Base RI'!F41</f>
        <v>0</v>
      </c>
      <c r="J41" s="10">
        <f>+'A) Base RI'!G41+'A) Base RI'!H41+'A) Base RI'!X41</f>
        <v>76199.600000000006</v>
      </c>
      <c r="K41" s="10">
        <f>+'A) Base RI'!I41</f>
        <v>0</v>
      </c>
      <c r="L41" s="10">
        <f>+'A) Base RI'!J41</f>
        <v>160750.89000000001</v>
      </c>
      <c r="M41" s="10">
        <f>+'A) Base RI'!K41</f>
        <v>20222.349999999999</v>
      </c>
      <c r="N41" s="10">
        <f>+'A) Base RI'!Q41</f>
        <v>14133.69</v>
      </c>
      <c r="O41" s="10">
        <f t="shared" si="1"/>
        <v>654385.43333333335</v>
      </c>
      <c r="P41" s="10">
        <f>+'A) Base RI'!L41</f>
        <v>981578.15</v>
      </c>
      <c r="Q41" s="34">
        <f>'A) Base RI'!AS41</f>
        <v>1.5</v>
      </c>
      <c r="R41" s="412">
        <f t="shared" si="2"/>
        <v>7553662.3033333328</v>
      </c>
      <c r="S41" s="33">
        <f>+'A) Base RI'!AN41</f>
        <v>67</v>
      </c>
      <c r="T41" s="412">
        <f t="shared" si="3"/>
        <v>6879054.5199999996</v>
      </c>
      <c r="U41" s="412">
        <f t="shared" si="4"/>
        <v>112741.2284079602</v>
      </c>
      <c r="V41" s="10">
        <f>+'A) Base RI'!O41</f>
        <v>62828.1</v>
      </c>
      <c r="W41" s="10">
        <f>+'A) Base RI'!P41</f>
        <v>448485.55</v>
      </c>
      <c r="X41" s="10">
        <f>+'A) Base RI'!R41</f>
        <v>250527.75</v>
      </c>
      <c r="Y41" s="412">
        <f t="shared" si="5"/>
        <v>761841.39999999991</v>
      </c>
      <c r="Z41" s="10">
        <f>+'A) Base RI'!N41</f>
        <v>0</v>
      </c>
      <c r="AA41" s="10">
        <f>'A) Base RI'!AO41</f>
        <v>3278</v>
      </c>
    </row>
    <row r="42" spans="1:27" x14ac:dyDescent="0.25">
      <c r="A42" s="8">
        <f>'A) Base RI'!A42</f>
        <v>5471</v>
      </c>
      <c r="B42" s="32" t="str">
        <f>'A) Base RI'!B42</f>
        <v>Bettens</v>
      </c>
      <c r="C42" s="10">
        <f>'A) Base RI'!C42+'A) Base RI'!D42</f>
        <v>1348879.5999999999</v>
      </c>
      <c r="D42" s="10">
        <f>'A) Base RI'!AP42</f>
        <v>-2781.29</v>
      </c>
      <c r="E42" s="31">
        <f>'A) Base RI'!AQ42</f>
        <v>0</v>
      </c>
      <c r="F42" s="31">
        <f>'A) Base RI'!AR42</f>
        <v>-455.63</v>
      </c>
      <c r="G42" s="412">
        <f t="shared" si="0"/>
        <v>1345642.68</v>
      </c>
      <c r="H42" s="10">
        <f>+'A) Base RI'!E42</f>
        <v>0</v>
      </c>
      <c r="I42" s="10">
        <f>+'A) Base RI'!F42</f>
        <v>0</v>
      </c>
      <c r="J42" s="10">
        <f>+'A) Base RI'!G42+'A) Base RI'!H42+'A) Base RI'!X42</f>
        <v>7421.2500000000009</v>
      </c>
      <c r="K42" s="10">
        <f>+'A) Base RI'!I42</f>
        <v>0</v>
      </c>
      <c r="L42" s="10">
        <f>+'A) Base RI'!J42</f>
        <v>44654.19</v>
      </c>
      <c r="M42" s="10">
        <f>+'A) Base RI'!K42</f>
        <v>3613.25</v>
      </c>
      <c r="N42" s="10">
        <f>+'A) Base RI'!Q42</f>
        <v>1540.64</v>
      </c>
      <c r="O42" s="10">
        <f t="shared" si="1"/>
        <v>116689.38888888888</v>
      </c>
      <c r="P42" s="10">
        <f>+'A) Base RI'!L42</f>
        <v>105020.45</v>
      </c>
      <c r="Q42" s="34">
        <f>'A) Base RI'!AS42</f>
        <v>0.9</v>
      </c>
      <c r="R42" s="412">
        <f t="shared" si="2"/>
        <v>1519561.3988888888</v>
      </c>
      <c r="S42" s="33">
        <f>+'A) Base RI'!AN42</f>
        <v>70</v>
      </c>
      <c r="T42" s="412">
        <f t="shared" si="3"/>
        <v>1399258.7599999998</v>
      </c>
      <c r="U42" s="412">
        <f t="shared" si="4"/>
        <v>21708.019984126982</v>
      </c>
      <c r="V42" s="10">
        <f>+'A) Base RI'!O42</f>
        <v>0</v>
      </c>
      <c r="W42" s="10">
        <f>+'A) Base RI'!P42</f>
        <v>28213.9</v>
      </c>
      <c r="X42" s="10">
        <f>+'A) Base RI'!R42</f>
        <v>5701.55</v>
      </c>
      <c r="Y42" s="412">
        <f t="shared" si="5"/>
        <v>33915.450000000004</v>
      </c>
      <c r="Z42" s="10">
        <f>+'A) Base RI'!N42</f>
        <v>45443.55</v>
      </c>
      <c r="AA42" s="10">
        <f>'A) Base RI'!AO42</f>
        <v>650</v>
      </c>
    </row>
    <row r="43" spans="1:27" x14ac:dyDescent="0.25">
      <c r="A43" s="8">
        <f>'A) Base RI'!A43</f>
        <v>5472</v>
      </c>
      <c r="B43" s="32" t="str">
        <f>'A) Base RI'!B43</f>
        <v>Bournens</v>
      </c>
      <c r="C43" s="10">
        <f>'A) Base RI'!C43+'A) Base RI'!D43</f>
        <v>1040526.11</v>
      </c>
      <c r="D43" s="10">
        <f>'A) Base RI'!AP43</f>
        <v>-21571.81</v>
      </c>
      <c r="E43" s="31">
        <f>'A) Base RI'!AQ43</f>
        <v>0</v>
      </c>
      <c r="F43" s="31">
        <f>'A) Base RI'!AR43</f>
        <v>-598.23</v>
      </c>
      <c r="G43" s="412">
        <f t="shared" si="0"/>
        <v>1018356.07</v>
      </c>
      <c r="H43" s="10">
        <f>+'A) Base RI'!E43</f>
        <v>0</v>
      </c>
      <c r="I43" s="10">
        <f>+'A) Base RI'!F43</f>
        <v>0</v>
      </c>
      <c r="J43" s="10">
        <f>+'A) Base RI'!G43+'A) Base RI'!H43+'A) Base RI'!X43</f>
        <v>5602.85</v>
      </c>
      <c r="K43" s="10">
        <f>+'A) Base RI'!I43</f>
        <v>0</v>
      </c>
      <c r="L43" s="10">
        <f>+'A) Base RI'!J43</f>
        <v>28961.4</v>
      </c>
      <c r="M43" s="10">
        <f>+'A) Base RI'!K43</f>
        <v>1226</v>
      </c>
      <c r="N43" s="10">
        <f>+'A) Base RI'!Q43</f>
        <v>528.5</v>
      </c>
      <c r="O43" s="10">
        <f t="shared" si="1"/>
        <v>90315.35</v>
      </c>
      <c r="P43" s="10">
        <f>+'A) Base RI'!L43</f>
        <v>90315.35</v>
      </c>
      <c r="Q43" s="34">
        <f>'A) Base RI'!AS43</f>
        <v>1</v>
      </c>
      <c r="R43" s="412">
        <f t="shared" si="2"/>
        <v>1144990.17</v>
      </c>
      <c r="S43" s="33">
        <f>+'A) Base RI'!AN43</f>
        <v>76</v>
      </c>
      <c r="T43" s="412">
        <f t="shared" si="3"/>
        <v>1053448.8199999998</v>
      </c>
      <c r="U43" s="412">
        <f t="shared" si="4"/>
        <v>15065.660131578947</v>
      </c>
      <c r="V43" s="10">
        <f>+'A) Base RI'!O43</f>
        <v>0</v>
      </c>
      <c r="W43" s="10">
        <f>+'A) Base RI'!P43</f>
        <v>56723.15</v>
      </c>
      <c r="X43" s="10">
        <f>+'A) Base RI'!R43</f>
        <v>3524.15</v>
      </c>
      <c r="Y43" s="412">
        <f t="shared" si="5"/>
        <v>60247.3</v>
      </c>
      <c r="Z43" s="10">
        <f>+'A) Base RI'!N43</f>
        <v>0</v>
      </c>
      <c r="AA43" s="10">
        <f>'A) Base RI'!AO43</f>
        <v>422</v>
      </c>
    </row>
    <row r="44" spans="1:27" x14ac:dyDescent="0.25">
      <c r="A44" s="8">
        <f>'A) Base RI'!A44</f>
        <v>5473</v>
      </c>
      <c r="B44" s="32" t="str">
        <f>'A) Base RI'!B44</f>
        <v>Boussens</v>
      </c>
      <c r="C44" s="10">
        <f>'A) Base RI'!C44+'A) Base RI'!D44</f>
        <v>2171863.66</v>
      </c>
      <c r="D44" s="10">
        <f>'A) Base RI'!AP44</f>
        <v>-31230.52</v>
      </c>
      <c r="E44" s="31">
        <f>'A) Base RI'!AQ44</f>
        <v>0</v>
      </c>
      <c r="F44" s="31">
        <f>'A) Base RI'!AR44</f>
        <v>-92.89</v>
      </c>
      <c r="G44" s="412">
        <f t="shared" si="0"/>
        <v>2140540.25</v>
      </c>
      <c r="H44" s="10">
        <f>+'A) Base RI'!E44</f>
        <v>0</v>
      </c>
      <c r="I44" s="10">
        <f>+'A) Base RI'!F44</f>
        <v>0</v>
      </c>
      <c r="J44" s="10">
        <f>+'A) Base RI'!G44+'A) Base RI'!H44+'A) Base RI'!X44</f>
        <v>38197.050000000003</v>
      </c>
      <c r="K44" s="10">
        <f>+'A) Base RI'!I44</f>
        <v>0</v>
      </c>
      <c r="L44" s="10">
        <f>+'A) Base RI'!J44</f>
        <v>1623.33</v>
      </c>
      <c r="M44" s="10">
        <f>+'A) Base RI'!K44</f>
        <v>6149.2</v>
      </c>
      <c r="N44" s="10">
        <f>+'A) Base RI'!Q44</f>
        <v>7184.7</v>
      </c>
      <c r="O44" s="10">
        <f t="shared" si="1"/>
        <v>176502.7</v>
      </c>
      <c r="P44" s="10">
        <f>+'A) Base RI'!L44</f>
        <v>176502.7</v>
      </c>
      <c r="Q44" s="34">
        <f>'A) Base RI'!AS44</f>
        <v>1</v>
      </c>
      <c r="R44" s="412">
        <f t="shared" si="2"/>
        <v>2370197.2300000004</v>
      </c>
      <c r="S44" s="33">
        <f>+'A) Base RI'!AN44</f>
        <v>69</v>
      </c>
      <c r="T44" s="412">
        <f t="shared" si="3"/>
        <v>2187545.33</v>
      </c>
      <c r="U44" s="412">
        <f t="shared" si="4"/>
        <v>34350.684492753629</v>
      </c>
      <c r="V44" s="10">
        <f>+'A) Base RI'!O44</f>
        <v>0</v>
      </c>
      <c r="W44" s="10">
        <f>+'A) Base RI'!P44</f>
        <v>74223.199999999997</v>
      </c>
      <c r="X44" s="10">
        <f>+'A) Base RI'!R44</f>
        <v>16353.8</v>
      </c>
      <c r="Y44" s="412">
        <f t="shared" si="5"/>
        <v>90577</v>
      </c>
      <c r="Z44" s="10">
        <f>+'A) Base RI'!N44</f>
        <v>329.95</v>
      </c>
      <c r="AA44" s="10">
        <f>'A) Base RI'!AO44</f>
        <v>993</v>
      </c>
    </row>
    <row r="45" spans="1:27" x14ac:dyDescent="0.25">
      <c r="A45" s="8">
        <f>'A) Base RI'!A45</f>
        <v>5474</v>
      </c>
      <c r="B45" s="32" t="str">
        <f>'A) Base RI'!B45</f>
        <v>La Chaux (Cossonay)</v>
      </c>
      <c r="C45" s="10">
        <f>'A) Base RI'!C45+'A) Base RI'!D45</f>
        <v>1088784.4500000002</v>
      </c>
      <c r="D45" s="10">
        <f>'A) Base RI'!AP45</f>
        <v>-13043.6</v>
      </c>
      <c r="E45" s="31">
        <f>'A) Base RI'!AQ45</f>
        <v>0</v>
      </c>
      <c r="F45" s="31">
        <f>'A) Base RI'!AR45</f>
        <v>-3.75</v>
      </c>
      <c r="G45" s="412">
        <f t="shared" si="0"/>
        <v>1075737.1000000001</v>
      </c>
      <c r="H45" s="10">
        <f>+'A) Base RI'!E45</f>
        <v>0</v>
      </c>
      <c r="I45" s="10">
        <f>+'A) Base RI'!F45</f>
        <v>0</v>
      </c>
      <c r="J45" s="10">
        <f>+'A) Base RI'!G45+'A) Base RI'!H45+'A) Base RI'!X45</f>
        <v>551.44999999999993</v>
      </c>
      <c r="K45" s="10">
        <f>+'A) Base RI'!I45</f>
        <v>39282.400000000001</v>
      </c>
      <c r="L45" s="10">
        <f>+'A) Base RI'!J45</f>
        <v>-6348.54</v>
      </c>
      <c r="M45" s="10">
        <f>+'A) Base RI'!K45</f>
        <v>665</v>
      </c>
      <c r="N45" s="10">
        <f>+'A) Base RI'!Q45</f>
        <v>0</v>
      </c>
      <c r="O45" s="10">
        <f t="shared" si="1"/>
        <v>70016.166666666672</v>
      </c>
      <c r="P45" s="10">
        <f>+'A) Base RI'!L45</f>
        <v>84019.4</v>
      </c>
      <c r="Q45" s="34">
        <f>'A) Base RI'!AS45</f>
        <v>1.2</v>
      </c>
      <c r="R45" s="412">
        <f t="shared" si="2"/>
        <v>1179903.5766666667</v>
      </c>
      <c r="S45" s="33">
        <f>+'A) Base RI'!AN45</f>
        <v>77</v>
      </c>
      <c r="T45" s="412">
        <f t="shared" si="3"/>
        <v>1109222.4099999999</v>
      </c>
      <c r="U45" s="412">
        <f t="shared" si="4"/>
        <v>15323.423073593074</v>
      </c>
      <c r="V45" s="10">
        <f>+'A) Base RI'!O45</f>
        <v>47196.9</v>
      </c>
      <c r="W45" s="10">
        <f>+'A) Base RI'!P45</f>
        <v>42106.7</v>
      </c>
      <c r="X45" s="10">
        <f>+'A) Base RI'!R45</f>
        <v>11852.5</v>
      </c>
      <c r="Y45" s="412">
        <f t="shared" si="5"/>
        <v>101156.1</v>
      </c>
      <c r="Z45" s="10">
        <f>+'A) Base RI'!N45</f>
        <v>2824.35</v>
      </c>
      <c r="AA45" s="10">
        <f>'A) Base RI'!AO45</f>
        <v>395</v>
      </c>
    </row>
    <row r="46" spans="1:27" x14ac:dyDescent="0.25">
      <c r="A46" s="8">
        <f>'A) Base RI'!A46</f>
        <v>5475</v>
      </c>
      <c r="B46" s="32" t="str">
        <f>'A) Base RI'!B46</f>
        <v>Chavannes-le-Veyron</v>
      </c>
      <c r="C46" s="10">
        <f>'A) Base RI'!C46+'A) Base RI'!D46</f>
        <v>255534.81</v>
      </c>
      <c r="D46" s="10">
        <f>'A) Base RI'!AP46</f>
        <v>-57483.12</v>
      </c>
      <c r="E46" s="31">
        <f>'A) Base RI'!AQ46</f>
        <v>0</v>
      </c>
      <c r="F46" s="31">
        <f>'A) Base RI'!AR46</f>
        <v>0</v>
      </c>
      <c r="G46" s="412">
        <f t="shared" si="0"/>
        <v>198051.69</v>
      </c>
      <c r="H46" s="10">
        <f>+'A) Base RI'!E46</f>
        <v>0</v>
      </c>
      <c r="I46" s="10">
        <f>+'A) Base RI'!F46</f>
        <v>0</v>
      </c>
      <c r="J46" s="10">
        <f>+'A) Base RI'!G46+'A) Base RI'!H46+'A) Base RI'!X46</f>
        <v>-341.9</v>
      </c>
      <c r="K46" s="10">
        <f>+'A) Base RI'!I46</f>
        <v>0</v>
      </c>
      <c r="L46" s="10">
        <f>+'A) Base RI'!J46</f>
        <v>6656.56</v>
      </c>
      <c r="M46" s="10">
        <f>+'A) Base RI'!K46</f>
        <v>0</v>
      </c>
      <c r="N46" s="10">
        <f>+'A) Base RI'!Q46</f>
        <v>7620.32</v>
      </c>
      <c r="O46" s="10">
        <f t="shared" si="1"/>
        <v>22550.3</v>
      </c>
      <c r="P46" s="10">
        <f>+'A) Base RI'!L46</f>
        <v>22550.3</v>
      </c>
      <c r="Q46" s="34">
        <f>'A) Base RI'!AS46</f>
        <v>1</v>
      </c>
      <c r="R46" s="412">
        <f t="shared" si="2"/>
        <v>234536.97</v>
      </c>
      <c r="S46" s="33">
        <f>+'A) Base RI'!AN46</f>
        <v>77</v>
      </c>
      <c r="T46" s="412">
        <f t="shared" si="3"/>
        <v>211986.67</v>
      </c>
      <c r="U46" s="412">
        <f t="shared" si="4"/>
        <v>3045.9346753246755</v>
      </c>
      <c r="V46" s="10">
        <f>+'A) Base RI'!O46</f>
        <v>0</v>
      </c>
      <c r="W46" s="10">
        <f>+'A) Base RI'!P46</f>
        <v>20647</v>
      </c>
      <c r="X46" s="10">
        <f>+'A) Base RI'!R46</f>
        <v>4993.8999999999996</v>
      </c>
      <c r="Y46" s="412">
        <f t="shared" si="5"/>
        <v>25640.9</v>
      </c>
      <c r="Z46" s="10">
        <f>+'A) Base RI'!N46</f>
        <v>0</v>
      </c>
      <c r="AA46" s="10">
        <f>'A) Base RI'!AO46</f>
        <v>152</v>
      </c>
    </row>
    <row r="47" spans="1:27" x14ac:dyDescent="0.25">
      <c r="A47" s="8">
        <f>'A) Base RI'!A47</f>
        <v>5476</v>
      </c>
      <c r="B47" s="32" t="str">
        <f>'A) Base RI'!B47</f>
        <v>Chevilly</v>
      </c>
      <c r="C47" s="10">
        <f>'A) Base RI'!C47+'A) Base RI'!D47</f>
        <v>865179.5199999999</v>
      </c>
      <c r="D47" s="10">
        <f>'A) Base RI'!AP47</f>
        <v>-6646.67</v>
      </c>
      <c r="E47" s="31">
        <f>'A) Base RI'!AQ47</f>
        <v>0</v>
      </c>
      <c r="F47" s="31">
        <f>'A) Base RI'!AR47</f>
        <v>-76.180000000000007</v>
      </c>
      <c r="G47" s="412">
        <f t="shared" si="0"/>
        <v>858456.66999999981</v>
      </c>
      <c r="H47" s="10">
        <f>+'A) Base RI'!E47</f>
        <v>0</v>
      </c>
      <c r="I47" s="10">
        <f>+'A) Base RI'!F47</f>
        <v>0</v>
      </c>
      <c r="J47" s="10">
        <f>+'A) Base RI'!G47+'A) Base RI'!H47+'A) Base RI'!X47</f>
        <v>8206.5</v>
      </c>
      <c r="K47" s="10">
        <f>+'A) Base RI'!I47</f>
        <v>0</v>
      </c>
      <c r="L47" s="10">
        <f>+'A) Base RI'!J47</f>
        <v>9859.86</v>
      </c>
      <c r="M47" s="10">
        <f>+'A) Base RI'!K47</f>
        <v>0</v>
      </c>
      <c r="N47" s="10">
        <f>+'A) Base RI'!Q47</f>
        <v>-953.4</v>
      </c>
      <c r="O47" s="10">
        <f t="shared" si="1"/>
        <v>59238.7</v>
      </c>
      <c r="P47" s="10">
        <f>+'A) Base RI'!L47</f>
        <v>59238.7</v>
      </c>
      <c r="Q47" s="34">
        <f>'A) Base RI'!AS47</f>
        <v>1</v>
      </c>
      <c r="R47" s="412">
        <f t="shared" si="2"/>
        <v>934808.32999999973</v>
      </c>
      <c r="S47" s="33">
        <f>+'A) Base RI'!AN47</f>
        <v>74</v>
      </c>
      <c r="T47" s="412">
        <f t="shared" si="3"/>
        <v>875569.62999999977</v>
      </c>
      <c r="U47" s="412">
        <f t="shared" si="4"/>
        <v>12632.544999999996</v>
      </c>
      <c r="V47" s="10">
        <f>+'A) Base RI'!O47</f>
        <v>0</v>
      </c>
      <c r="W47" s="10">
        <f>+'A) Base RI'!P47</f>
        <v>0</v>
      </c>
      <c r="X47" s="10">
        <f>+'A) Base RI'!R47</f>
        <v>0</v>
      </c>
      <c r="Y47" s="412">
        <f t="shared" si="5"/>
        <v>0</v>
      </c>
      <c r="Z47" s="10">
        <f>+'A) Base RI'!N47</f>
        <v>0</v>
      </c>
      <c r="AA47" s="10">
        <f>'A) Base RI'!AO47</f>
        <v>317</v>
      </c>
    </row>
    <row r="48" spans="1:27" x14ac:dyDescent="0.25">
      <c r="A48" s="8">
        <f>'A) Base RI'!A48</f>
        <v>5477</v>
      </c>
      <c r="B48" s="32" t="str">
        <f>'A) Base RI'!B48</f>
        <v>Cossonay</v>
      </c>
      <c r="C48" s="10">
        <f>'A) Base RI'!C48+'A) Base RI'!D48</f>
        <v>8848783.9000000004</v>
      </c>
      <c r="D48" s="10">
        <f>'A) Base RI'!AP48</f>
        <v>-58674.95</v>
      </c>
      <c r="E48" s="31">
        <f>'A) Base RI'!AQ48</f>
        <v>0</v>
      </c>
      <c r="F48" s="31">
        <f>'A) Base RI'!AR48</f>
        <v>-1652.27</v>
      </c>
      <c r="G48" s="412">
        <f t="shared" si="0"/>
        <v>8788456.6800000016</v>
      </c>
      <c r="H48" s="10">
        <f>+'A) Base RI'!E48</f>
        <v>0</v>
      </c>
      <c r="I48" s="10">
        <f>+'A) Base RI'!F48</f>
        <v>0</v>
      </c>
      <c r="J48" s="10">
        <f>+'A) Base RI'!G48+'A) Base RI'!H48+'A) Base RI'!X48</f>
        <v>573071.85</v>
      </c>
      <c r="K48" s="10">
        <f>+'A) Base RI'!I48</f>
        <v>0</v>
      </c>
      <c r="L48" s="10">
        <f>+'A) Base RI'!J48</f>
        <v>190554.98</v>
      </c>
      <c r="M48" s="10">
        <f>+'A) Base RI'!K48</f>
        <v>29786.65</v>
      </c>
      <c r="N48" s="10">
        <f>+'A) Base RI'!Q48</f>
        <v>18381.79</v>
      </c>
      <c r="O48" s="10">
        <f t="shared" si="1"/>
        <v>651385.15</v>
      </c>
      <c r="P48" s="10">
        <f>+'A) Base RI'!L48</f>
        <v>651385.15</v>
      </c>
      <c r="Q48" s="34">
        <f>'A) Base RI'!AS48</f>
        <v>1</v>
      </c>
      <c r="R48" s="412">
        <f t="shared" si="2"/>
        <v>10251637.100000001</v>
      </c>
      <c r="S48" s="33">
        <f>+'A) Base RI'!AN48</f>
        <v>71</v>
      </c>
      <c r="T48" s="412">
        <f t="shared" si="3"/>
        <v>9570465.3000000007</v>
      </c>
      <c r="U48" s="412">
        <f t="shared" si="4"/>
        <v>144389.2549295775</v>
      </c>
      <c r="V48" s="10">
        <f>+'A) Base RI'!O48</f>
        <v>2864.4</v>
      </c>
      <c r="W48" s="10">
        <f>+'A) Base RI'!P48</f>
        <v>305863.84999999998</v>
      </c>
      <c r="X48" s="10">
        <f>+'A) Base RI'!R48</f>
        <v>158034.20000000001</v>
      </c>
      <c r="Y48" s="412">
        <f t="shared" si="5"/>
        <v>466762.45</v>
      </c>
      <c r="Z48" s="10">
        <f>+'A) Base RI'!N48</f>
        <v>71916.55</v>
      </c>
      <c r="AA48" s="10">
        <f>'A) Base RI'!AO48</f>
        <v>4045</v>
      </c>
    </row>
    <row r="49" spans="1:27" x14ac:dyDescent="0.25">
      <c r="A49" s="8">
        <f>'A) Base RI'!A49</f>
        <v>5478</v>
      </c>
      <c r="B49" s="32" t="str">
        <f>'A) Base RI'!B49</f>
        <v>Cottens</v>
      </c>
      <c r="C49" s="10">
        <f>'A) Base RI'!C49+'A) Base RI'!D49</f>
        <v>1194093.67</v>
      </c>
      <c r="D49" s="10">
        <f>'A) Base RI'!AP49</f>
        <v>-9840.49</v>
      </c>
      <c r="E49" s="31">
        <f>'A) Base RI'!AQ49</f>
        <v>0</v>
      </c>
      <c r="F49" s="31">
        <f>'A) Base RI'!AR49</f>
        <v>-1.71</v>
      </c>
      <c r="G49" s="412">
        <f t="shared" si="0"/>
        <v>1184251.47</v>
      </c>
      <c r="H49" s="10">
        <f>+'A) Base RI'!E49</f>
        <v>0</v>
      </c>
      <c r="I49" s="10">
        <f>+'A) Base RI'!F49</f>
        <v>0</v>
      </c>
      <c r="J49" s="10">
        <f>+'A) Base RI'!G49+'A) Base RI'!H49+'A) Base RI'!X49</f>
        <v>11978.65</v>
      </c>
      <c r="K49" s="10">
        <f>+'A) Base RI'!I49</f>
        <v>0</v>
      </c>
      <c r="L49" s="10">
        <f>+'A) Base RI'!J49</f>
        <v>23370.23</v>
      </c>
      <c r="M49" s="10">
        <f>+'A) Base RI'!K49</f>
        <v>250</v>
      </c>
      <c r="N49" s="10">
        <f>+'A) Base RI'!Q49</f>
        <v>0</v>
      </c>
      <c r="O49" s="10">
        <f t="shared" si="1"/>
        <v>80059.25</v>
      </c>
      <c r="P49" s="10">
        <f>+'A) Base RI'!L49</f>
        <v>80059.25</v>
      </c>
      <c r="Q49" s="34">
        <f>'A) Base RI'!AS49</f>
        <v>1</v>
      </c>
      <c r="R49" s="412">
        <f t="shared" si="2"/>
        <v>1299909.5999999999</v>
      </c>
      <c r="S49" s="33">
        <f>+'A) Base RI'!AN49</f>
        <v>74</v>
      </c>
      <c r="T49" s="412">
        <f t="shared" si="3"/>
        <v>1219600.3499999999</v>
      </c>
      <c r="U49" s="412">
        <f t="shared" si="4"/>
        <v>17566.345945945945</v>
      </c>
      <c r="V49" s="10">
        <f>+'A) Base RI'!O49</f>
        <v>0</v>
      </c>
      <c r="W49" s="10">
        <f>+'A) Base RI'!P49</f>
        <v>57615.75</v>
      </c>
      <c r="X49" s="10">
        <f>+'A) Base RI'!R49</f>
        <v>47468.35</v>
      </c>
      <c r="Y49" s="412">
        <f t="shared" si="5"/>
        <v>105084.1</v>
      </c>
      <c r="Z49" s="10">
        <f>+'A) Base RI'!N49</f>
        <v>0</v>
      </c>
      <c r="AA49" s="10">
        <f>'A) Base RI'!AO49</f>
        <v>487</v>
      </c>
    </row>
    <row r="50" spans="1:27" x14ac:dyDescent="0.25">
      <c r="A50" s="8">
        <f>'A) Base RI'!A50</f>
        <v>5479</v>
      </c>
      <c r="B50" s="32" t="str">
        <f>'A) Base RI'!B50</f>
        <v>Cuarnens</v>
      </c>
      <c r="C50" s="10">
        <f>'A) Base RI'!C50+'A) Base RI'!D50</f>
        <v>1051954.3600000001</v>
      </c>
      <c r="D50" s="10">
        <f>'A) Base RI'!AP50</f>
        <v>-23324.34</v>
      </c>
      <c r="E50" s="31">
        <f>'A) Base RI'!AQ50</f>
        <v>0</v>
      </c>
      <c r="F50" s="31">
        <f>'A) Base RI'!AR50</f>
        <v>0</v>
      </c>
      <c r="G50" s="412">
        <f t="shared" si="0"/>
        <v>1028630.0200000001</v>
      </c>
      <c r="H50" s="10">
        <f>+'A) Base RI'!E50</f>
        <v>0</v>
      </c>
      <c r="I50" s="10">
        <f>+'A) Base RI'!F50</f>
        <v>0</v>
      </c>
      <c r="J50" s="10">
        <f>+'A) Base RI'!G50+'A) Base RI'!H50+'A) Base RI'!X50</f>
        <v>7894.5999999999995</v>
      </c>
      <c r="K50" s="10">
        <f>+'A) Base RI'!I50</f>
        <v>202768</v>
      </c>
      <c r="L50" s="10">
        <f>+'A) Base RI'!J50</f>
        <v>6401.87</v>
      </c>
      <c r="M50" s="10">
        <f>+'A) Base RI'!K50</f>
        <v>1768</v>
      </c>
      <c r="N50" s="10">
        <f>+'A) Base RI'!Q50</f>
        <v>875.68</v>
      </c>
      <c r="O50" s="10">
        <f t="shared" si="1"/>
        <v>81992.649999999994</v>
      </c>
      <c r="P50" s="10">
        <f>+'A) Base RI'!L50</f>
        <v>81992.649999999994</v>
      </c>
      <c r="Q50" s="34">
        <f>'A) Base RI'!AS50</f>
        <v>1</v>
      </c>
      <c r="R50" s="412">
        <f t="shared" si="2"/>
        <v>1330330.82</v>
      </c>
      <c r="S50" s="33">
        <f>+'A) Base RI'!AN50</f>
        <v>77</v>
      </c>
      <c r="T50" s="412">
        <f t="shared" si="3"/>
        <v>1246570.1700000002</v>
      </c>
      <c r="U50" s="412">
        <f t="shared" si="4"/>
        <v>17277.023636363636</v>
      </c>
      <c r="V50" s="10">
        <f>+'A) Base RI'!O50</f>
        <v>12338.1</v>
      </c>
      <c r="W50" s="10">
        <f>+'A) Base RI'!P50</f>
        <v>49843.05</v>
      </c>
      <c r="X50" s="10">
        <f>+'A) Base RI'!R50</f>
        <v>-16270.85</v>
      </c>
      <c r="Y50" s="412">
        <f t="shared" si="5"/>
        <v>45910.3</v>
      </c>
      <c r="Z50" s="10">
        <f>+'A) Base RI'!N50</f>
        <v>6580.5</v>
      </c>
      <c r="AA50" s="10">
        <f>'A) Base RI'!AO50</f>
        <v>486</v>
      </c>
    </row>
    <row r="51" spans="1:27" x14ac:dyDescent="0.25">
      <c r="A51" s="8">
        <f>'A) Base RI'!A51</f>
        <v>5480</v>
      </c>
      <c r="B51" s="32" t="str">
        <f>'A) Base RI'!B51</f>
        <v>Daillens</v>
      </c>
      <c r="C51" s="10">
        <f>'A) Base RI'!C51+'A) Base RI'!D51</f>
        <v>2380764.6999999997</v>
      </c>
      <c r="D51" s="10">
        <f>'A) Base RI'!AP51</f>
        <v>-11703.86</v>
      </c>
      <c r="E51" s="31">
        <f>'A) Base RI'!AQ51</f>
        <v>0</v>
      </c>
      <c r="F51" s="31">
        <f>'A) Base RI'!AR51</f>
        <v>-4766.63</v>
      </c>
      <c r="G51" s="412">
        <f t="shared" si="0"/>
        <v>2364294.21</v>
      </c>
      <c r="H51" s="10">
        <f>+'A) Base RI'!E51</f>
        <v>0</v>
      </c>
      <c r="I51" s="10">
        <f>+'A) Base RI'!F51</f>
        <v>0</v>
      </c>
      <c r="J51" s="10">
        <f>+'A) Base RI'!G51+'A) Base RI'!H51+'A) Base RI'!X51</f>
        <v>-8077.0499999999993</v>
      </c>
      <c r="K51" s="10">
        <f>+'A) Base RI'!I51</f>
        <v>0</v>
      </c>
      <c r="L51" s="10">
        <f>+'A) Base RI'!J51</f>
        <v>25542.68</v>
      </c>
      <c r="M51" s="10">
        <f>+'A) Base RI'!K51</f>
        <v>-23704.85</v>
      </c>
      <c r="N51" s="10">
        <f>+'A) Base RI'!Q51</f>
        <v>18225.18</v>
      </c>
      <c r="O51" s="10">
        <f t="shared" si="1"/>
        <v>301260.91666666669</v>
      </c>
      <c r="P51" s="10">
        <f>+'A) Base RI'!L51</f>
        <v>361513.1</v>
      </c>
      <c r="Q51" s="34">
        <f>'A) Base RI'!AS51</f>
        <v>1.2</v>
      </c>
      <c r="R51" s="412">
        <f t="shared" si="2"/>
        <v>2677541.0866666669</v>
      </c>
      <c r="S51" s="33">
        <f>+'A) Base RI'!AN51</f>
        <v>66</v>
      </c>
      <c r="T51" s="412">
        <f t="shared" si="3"/>
        <v>2399985.0200000005</v>
      </c>
      <c r="U51" s="412">
        <f t="shared" si="4"/>
        <v>40568.804343434349</v>
      </c>
      <c r="V51" s="10">
        <f>+'A) Base RI'!O51</f>
        <v>0</v>
      </c>
      <c r="W51" s="10">
        <f>+'A) Base RI'!P51</f>
        <v>51315</v>
      </c>
      <c r="X51" s="10">
        <f>+'A) Base RI'!R51</f>
        <v>83477.55</v>
      </c>
      <c r="Y51" s="412">
        <f t="shared" si="5"/>
        <v>134792.54999999999</v>
      </c>
      <c r="Z51" s="10">
        <f>+'A) Base RI'!N51</f>
        <v>124620.8</v>
      </c>
      <c r="AA51" s="10">
        <f>'A) Base RI'!AO51</f>
        <v>1034</v>
      </c>
    </row>
    <row r="52" spans="1:27" x14ac:dyDescent="0.25">
      <c r="A52" s="8">
        <f>'A) Base RI'!A52</f>
        <v>5481</v>
      </c>
      <c r="B52" s="32" t="str">
        <f>'A) Base RI'!B52</f>
        <v>Dizy</v>
      </c>
      <c r="C52" s="10">
        <f>'A) Base RI'!C52+'A) Base RI'!D52</f>
        <v>665726.70000000007</v>
      </c>
      <c r="D52" s="10">
        <f>'A) Base RI'!AP52</f>
        <v>-3961.46</v>
      </c>
      <c r="E52" s="31">
        <f>'A) Base RI'!AQ52</f>
        <v>0</v>
      </c>
      <c r="F52" s="31">
        <f>'A) Base RI'!AR52</f>
        <v>0</v>
      </c>
      <c r="G52" s="412">
        <f t="shared" si="0"/>
        <v>661765.24000000011</v>
      </c>
      <c r="H52" s="10">
        <f>+'A) Base RI'!E52</f>
        <v>0</v>
      </c>
      <c r="I52" s="10">
        <f>+'A) Base RI'!F52</f>
        <v>0</v>
      </c>
      <c r="J52" s="10">
        <f>+'A) Base RI'!G52+'A) Base RI'!H52+'A) Base RI'!X52</f>
        <v>53498.05</v>
      </c>
      <c r="K52" s="10">
        <f>+'A) Base RI'!I52</f>
        <v>0</v>
      </c>
      <c r="L52" s="10">
        <f>+'A) Base RI'!J52</f>
        <v>9876.1200000000008</v>
      </c>
      <c r="M52" s="10">
        <f>+'A) Base RI'!K52</f>
        <v>0</v>
      </c>
      <c r="N52" s="10">
        <f>+'A) Base RI'!Q52</f>
        <v>1558.25</v>
      </c>
      <c r="O52" s="10">
        <f t="shared" si="1"/>
        <v>36349.65</v>
      </c>
      <c r="P52" s="10">
        <f>+'A) Base RI'!L52</f>
        <v>36349.65</v>
      </c>
      <c r="Q52" s="34">
        <f>'A) Base RI'!AS52</f>
        <v>1</v>
      </c>
      <c r="R52" s="412">
        <f t="shared" si="2"/>
        <v>763047.31000000017</v>
      </c>
      <c r="S52" s="33">
        <f>+'A) Base RI'!AN52</f>
        <v>79</v>
      </c>
      <c r="T52" s="412">
        <f t="shared" si="3"/>
        <v>726697.66000000015</v>
      </c>
      <c r="U52" s="412">
        <f t="shared" si="4"/>
        <v>9658.8267088607608</v>
      </c>
      <c r="V52" s="10">
        <f>+'A) Base RI'!O52</f>
        <v>0</v>
      </c>
      <c r="W52" s="10">
        <f>+'A) Base RI'!P52</f>
        <v>135.65</v>
      </c>
      <c r="X52" s="10">
        <f>+'A) Base RI'!R52</f>
        <v>0</v>
      </c>
      <c r="Y52" s="412">
        <f t="shared" si="5"/>
        <v>135.65</v>
      </c>
      <c r="Z52" s="10">
        <f>+'A) Base RI'!N52</f>
        <v>0</v>
      </c>
      <c r="AA52" s="10">
        <f>'A) Base RI'!AO52</f>
        <v>234</v>
      </c>
    </row>
    <row r="53" spans="1:27" x14ac:dyDescent="0.25">
      <c r="A53" s="8">
        <f>'A) Base RI'!A53</f>
        <v>5482</v>
      </c>
      <c r="B53" s="32" t="str">
        <f>'A) Base RI'!B53</f>
        <v>Eclépens</v>
      </c>
      <c r="C53" s="10">
        <f>'A) Base RI'!C53+'A) Base RI'!D53</f>
        <v>1604683.81</v>
      </c>
      <c r="D53" s="10">
        <f>'A) Base RI'!AP53</f>
        <v>-9374.34</v>
      </c>
      <c r="E53" s="31">
        <f>'A) Base RI'!AQ53</f>
        <v>0</v>
      </c>
      <c r="F53" s="31">
        <f>'A) Base RI'!AR53</f>
        <v>-368.21</v>
      </c>
      <c r="G53" s="412">
        <f t="shared" si="0"/>
        <v>1594941.26</v>
      </c>
      <c r="H53" s="10">
        <f>+'A) Base RI'!E53</f>
        <v>0</v>
      </c>
      <c r="I53" s="10">
        <f>+'A) Base RI'!F53</f>
        <v>0</v>
      </c>
      <c r="J53" s="10">
        <f>+'A) Base RI'!G53+'A) Base RI'!H53+'A) Base RI'!X53</f>
        <v>571577.19999999995</v>
      </c>
      <c r="K53" s="10">
        <f>+'A) Base RI'!I53</f>
        <v>0</v>
      </c>
      <c r="L53" s="10">
        <f>+'A) Base RI'!J53</f>
        <v>125724.95</v>
      </c>
      <c r="M53" s="10">
        <f>+'A) Base RI'!K53</f>
        <v>44205.9</v>
      </c>
      <c r="N53" s="10">
        <f>+'A) Base RI'!Q53</f>
        <v>3492.72</v>
      </c>
      <c r="O53" s="10">
        <f t="shared" si="1"/>
        <v>425425.95</v>
      </c>
      <c r="P53" s="10">
        <f>+'A) Base RI'!L53</f>
        <v>425425.95</v>
      </c>
      <c r="Q53" s="34">
        <f>'A) Base RI'!AS53</f>
        <v>1</v>
      </c>
      <c r="R53" s="412">
        <f t="shared" si="2"/>
        <v>2765367.9800000004</v>
      </c>
      <c r="S53" s="33">
        <f>+'A) Base RI'!AN53</f>
        <v>46</v>
      </c>
      <c r="T53" s="412">
        <f t="shared" si="3"/>
        <v>2295736.1300000004</v>
      </c>
      <c r="U53" s="412">
        <f t="shared" si="4"/>
        <v>60116.695217391316</v>
      </c>
      <c r="V53" s="10">
        <f>+'A) Base RI'!O53</f>
        <v>38895.4</v>
      </c>
      <c r="W53" s="10">
        <f>+'A) Base RI'!P53</f>
        <v>38336.75</v>
      </c>
      <c r="X53" s="10">
        <f>+'A) Base RI'!R53</f>
        <v>28800.15</v>
      </c>
      <c r="Y53" s="412">
        <f t="shared" si="5"/>
        <v>106032.29999999999</v>
      </c>
      <c r="Z53" s="10">
        <f>+'A) Base RI'!N53</f>
        <v>339856.8</v>
      </c>
      <c r="AA53" s="10">
        <f>'A) Base RI'!AO53</f>
        <v>1222</v>
      </c>
    </row>
    <row r="54" spans="1:27" x14ac:dyDescent="0.25">
      <c r="A54" s="8">
        <f>'A) Base RI'!A54</f>
        <v>5483</v>
      </c>
      <c r="B54" s="32" t="str">
        <f>'A) Base RI'!B54</f>
        <v>Ferreyres</v>
      </c>
      <c r="C54" s="10">
        <f>'A) Base RI'!C54+'A) Base RI'!D54</f>
        <v>779503.91</v>
      </c>
      <c r="D54" s="10">
        <f>'A) Base RI'!AP54</f>
        <v>384.11</v>
      </c>
      <c r="E54" s="31">
        <f>'A) Base RI'!AQ54</f>
        <v>0</v>
      </c>
      <c r="F54" s="31">
        <f>'A) Base RI'!AR54</f>
        <v>0</v>
      </c>
      <c r="G54" s="412">
        <f t="shared" si="0"/>
        <v>779888.02</v>
      </c>
      <c r="H54" s="10">
        <f>+'A) Base RI'!E54</f>
        <v>0</v>
      </c>
      <c r="I54" s="10">
        <f>+'A) Base RI'!F54</f>
        <v>0</v>
      </c>
      <c r="J54" s="10">
        <f>+'A) Base RI'!G54+'A) Base RI'!H54+'A) Base RI'!X54</f>
        <v>9928.35</v>
      </c>
      <c r="K54" s="10">
        <f>+'A) Base RI'!I54</f>
        <v>0</v>
      </c>
      <c r="L54" s="10">
        <f>+'A) Base RI'!J54</f>
        <v>5010.99</v>
      </c>
      <c r="M54" s="10">
        <f>+'A) Base RI'!K54</f>
        <v>0</v>
      </c>
      <c r="N54" s="10">
        <f>+'A) Base RI'!Q54</f>
        <v>0</v>
      </c>
      <c r="O54" s="10">
        <f t="shared" si="1"/>
        <v>53939.15</v>
      </c>
      <c r="P54" s="10">
        <f>+'A) Base RI'!L54</f>
        <v>53939.15</v>
      </c>
      <c r="Q54" s="34">
        <f>'A) Base RI'!AS54</f>
        <v>1</v>
      </c>
      <c r="R54" s="412">
        <f t="shared" si="2"/>
        <v>848766.51</v>
      </c>
      <c r="S54" s="33">
        <f>+'A) Base RI'!AN54</f>
        <v>76</v>
      </c>
      <c r="T54" s="412">
        <f t="shared" si="3"/>
        <v>794827.36</v>
      </c>
      <c r="U54" s="412">
        <f t="shared" si="4"/>
        <v>11167.980394736842</v>
      </c>
      <c r="V54" s="10">
        <f>+'A) Base RI'!O54</f>
        <v>0</v>
      </c>
      <c r="W54" s="10">
        <f>+'A) Base RI'!P54</f>
        <v>-4070.4</v>
      </c>
      <c r="X54" s="10">
        <f>+'A) Base RI'!R54</f>
        <v>63917.7</v>
      </c>
      <c r="Y54" s="412">
        <f t="shared" si="5"/>
        <v>59847.299999999996</v>
      </c>
      <c r="Z54" s="10">
        <f>+'A) Base RI'!N54</f>
        <v>0</v>
      </c>
      <c r="AA54" s="10">
        <f>'A) Base RI'!AO54</f>
        <v>320</v>
      </c>
    </row>
    <row r="55" spans="1:27" x14ac:dyDescent="0.25">
      <c r="A55" s="8">
        <f>'A) Base RI'!A55</f>
        <v>5484</v>
      </c>
      <c r="B55" s="32" t="str">
        <f>'A) Base RI'!B55</f>
        <v>Gollion</v>
      </c>
      <c r="C55" s="10">
        <f>'A) Base RI'!C55+'A) Base RI'!D55</f>
        <v>2312003.08</v>
      </c>
      <c r="D55" s="10">
        <f>'A) Base RI'!AP55</f>
        <v>-47868.38</v>
      </c>
      <c r="E55" s="31">
        <f>'A) Base RI'!AQ55</f>
        <v>0</v>
      </c>
      <c r="F55" s="31">
        <f>'A) Base RI'!AR55</f>
        <v>-124.71</v>
      </c>
      <c r="G55" s="412">
        <f t="shared" si="0"/>
        <v>2264009.9900000002</v>
      </c>
      <c r="H55" s="10">
        <f>+'A) Base RI'!E55</f>
        <v>0</v>
      </c>
      <c r="I55" s="10">
        <f>+'A) Base RI'!F55</f>
        <v>0</v>
      </c>
      <c r="J55" s="10">
        <f>+'A) Base RI'!G55+'A) Base RI'!H55+'A) Base RI'!X55</f>
        <v>26555.749999999989</v>
      </c>
      <c r="K55" s="10">
        <f>+'A) Base RI'!I55</f>
        <v>0</v>
      </c>
      <c r="L55" s="10">
        <f>+'A) Base RI'!J55</f>
        <v>34740.699999999997</v>
      </c>
      <c r="M55" s="10">
        <f>+'A) Base RI'!K55</f>
        <v>7312.15</v>
      </c>
      <c r="N55" s="10">
        <f>+'A) Base RI'!Q55</f>
        <v>7285.35</v>
      </c>
      <c r="O55" s="10">
        <f t="shared" si="1"/>
        <v>175766.3</v>
      </c>
      <c r="P55" s="10">
        <f>+'A) Base RI'!L55</f>
        <v>175766.3</v>
      </c>
      <c r="Q55" s="34">
        <f>'A) Base RI'!AS55</f>
        <v>1</v>
      </c>
      <c r="R55" s="412">
        <f t="shared" si="2"/>
        <v>2515670.2400000002</v>
      </c>
      <c r="S55" s="33">
        <f>+'A) Base RI'!AN55</f>
        <v>74</v>
      </c>
      <c r="T55" s="412">
        <f t="shared" si="3"/>
        <v>2332591.7900000005</v>
      </c>
      <c r="U55" s="412">
        <f t="shared" si="4"/>
        <v>33995.543783783789</v>
      </c>
      <c r="V55" s="10">
        <f>+'A) Base RI'!O55</f>
        <v>1445.9</v>
      </c>
      <c r="W55" s="10">
        <f>+'A) Base RI'!P55</f>
        <v>154587</v>
      </c>
      <c r="X55" s="10">
        <f>+'A) Base RI'!R55</f>
        <v>115139.95</v>
      </c>
      <c r="Y55" s="412">
        <f t="shared" si="5"/>
        <v>271172.84999999998</v>
      </c>
      <c r="Z55" s="10">
        <f>+'A) Base RI'!N55</f>
        <v>16240.15</v>
      </c>
      <c r="AA55" s="10">
        <f>'A) Base RI'!AO55</f>
        <v>939</v>
      </c>
    </row>
    <row r="56" spans="1:27" x14ac:dyDescent="0.25">
      <c r="A56" s="8">
        <f>'A) Base RI'!A56</f>
        <v>5485</v>
      </c>
      <c r="B56" s="32" t="str">
        <f>'A) Base RI'!B56</f>
        <v>Grancy</v>
      </c>
      <c r="C56" s="10">
        <f>'A) Base RI'!C56+'A) Base RI'!D56</f>
        <v>1104607.25</v>
      </c>
      <c r="D56" s="10">
        <f>'A) Base RI'!AP56</f>
        <v>-9583.86</v>
      </c>
      <c r="E56" s="31">
        <f>'A) Base RI'!AQ56</f>
        <v>0</v>
      </c>
      <c r="F56" s="31">
        <f>'A) Base RI'!AR56</f>
        <v>-345.3</v>
      </c>
      <c r="G56" s="412">
        <f t="shared" si="0"/>
        <v>1094678.0899999999</v>
      </c>
      <c r="H56" s="10">
        <f>+'A) Base RI'!E56</f>
        <v>0</v>
      </c>
      <c r="I56" s="10">
        <f>+'A) Base RI'!F56</f>
        <v>0</v>
      </c>
      <c r="J56" s="10">
        <f>+'A) Base RI'!G56+'A) Base RI'!H56+'A) Base RI'!X56</f>
        <v>8433.4</v>
      </c>
      <c r="K56" s="10">
        <f>+'A) Base RI'!I56</f>
        <v>0</v>
      </c>
      <c r="L56" s="10">
        <f>+'A) Base RI'!J56</f>
        <v>10419.08</v>
      </c>
      <c r="M56" s="10">
        <f>+'A) Base RI'!K56</f>
        <v>0</v>
      </c>
      <c r="N56" s="10">
        <f>+'A) Base RI'!Q56</f>
        <v>0</v>
      </c>
      <c r="O56" s="10">
        <f t="shared" si="1"/>
        <v>73462.850000000006</v>
      </c>
      <c r="P56" s="10">
        <f>+'A) Base RI'!L56</f>
        <v>73462.850000000006</v>
      </c>
      <c r="Q56" s="34">
        <f>'A) Base RI'!AS56</f>
        <v>1</v>
      </c>
      <c r="R56" s="412">
        <f t="shared" si="2"/>
        <v>1186993.42</v>
      </c>
      <c r="S56" s="33">
        <f>+'A) Base RI'!AN56</f>
        <v>70</v>
      </c>
      <c r="T56" s="412">
        <f t="shared" si="3"/>
        <v>1113530.5699999998</v>
      </c>
      <c r="U56" s="412">
        <f t="shared" si="4"/>
        <v>16957.048857142858</v>
      </c>
      <c r="V56" s="10">
        <f>+'A) Base RI'!O56</f>
        <v>19303.900000000001</v>
      </c>
      <c r="W56" s="10">
        <f>+'A) Base RI'!P56</f>
        <v>53043.35</v>
      </c>
      <c r="X56" s="10">
        <f>+'A) Base RI'!R56</f>
        <v>12904.55</v>
      </c>
      <c r="Y56" s="412">
        <f t="shared" si="5"/>
        <v>85251.8</v>
      </c>
      <c r="Z56" s="10">
        <f>+'A) Base RI'!N56</f>
        <v>6450.2</v>
      </c>
      <c r="AA56" s="10">
        <f>'A) Base RI'!AO56</f>
        <v>397</v>
      </c>
    </row>
    <row r="57" spans="1:27" x14ac:dyDescent="0.25">
      <c r="A57" s="8">
        <f>'A) Base RI'!A57</f>
        <v>5486</v>
      </c>
      <c r="B57" s="32" t="str">
        <f>'A) Base RI'!B57</f>
        <v>L'Isle</v>
      </c>
      <c r="C57" s="10">
        <f>'A) Base RI'!C57+'A) Base RI'!D57</f>
        <v>2297233.77</v>
      </c>
      <c r="D57" s="10">
        <f>'A) Base RI'!AP57</f>
        <v>-22295.27</v>
      </c>
      <c r="E57" s="31">
        <f>'A) Base RI'!AQ57</f>
        <v>0</v>
      </c>
      <c r="F57" s="31">
        <f>'A) Base RI'!AR57</f>
        <v>-195.17</v>
      </c>
      <c r="G57" s="412">
        <f t="shared" si="0"/>
        <v>2274743.33</v>
      </c>
      <c r="H57" s="10">
        <f>+'A) Base RI'!E57</f>
        <v>0</v>
      </c>
      <c r="I57" s="10">
        <f>+'A) Base RI'!F57</f>
        <v>0</v>
      </c>
      <c r="J57" s="10">
        <f>+'A) Base RI'!G57+'A) Base RI'!H57+'A) Base RI'!X57</f>
        <v>180797.6</v>
      </c>
      <c r="K57" s="10">
        <f>+'A) Base RI'!I57</f>
        <v>34900.199999999997</v>
      </c>
      <c r="L57" s="10">
        <f>+'A) Base RI'!J57</f>
        <v>19241.990000000002</v>
      </c>
      <c r="M57" s="10">
        <f>+'A) Base RI'!K57</f>
        <v>7888.8</v>
      </c>
      <c r="N57" s="10">
        <f>+'A) Base RI'!Q57</f>
        <v>10598.58</v>
      </c>
      <c r="O57" s="10">
        <f t="shared" si="1"/>
        <v>182570.75</v>
      </c>
      <c r="P57" s="10">
        <f>+'A) Base RI'!L57</f>
        <v>182570.75</v>
      </c>
      <c r="Q57" s="34">
        <f>'A) Base RI'!AS57</f>
        <v>1</v>
      </c>
      <c r="R57" s="412">
        <f t="shared" si="2"/>
        <v>2710741.2500000005</v>
      </c>
      <c r="S57" s="33">
        <f>+'A) Base RI'!AN57</f>
        <v>76</v>
      </c>
      <c r="T57" s="412">
        <f t="shared" si="3"/>
        <v>2520281.7000000007</v>
      </c>
      <c r="U57" s="412">
        <f t="shared" si="4"/>
        <v>35667.648026315794</v>
      </c>
      <c r="V57" s="10">
        <f>+'A) Base RI'!O57</f>
        <v>258862.5</v>
      </c>
      <c r="W57" s="10">
        <f>+'A) Base RI'!P57</f>
        <v>159535.70000000001</v>
      </c>
      <c r="X57" s="10">
        <f>+'A) Base RI'!R57</f>
        <v>189195.6</v>
      </c>
      <c r="Y57" s="412">
        <f t="shared" si="5"/>
        <v>607593.80000000005</v>
      </c>
      <c r="Z57" s="10">
        <f>+'A) Base RI'!N57</f>
        <v>53112.2</v>
      </c>
      <c r="AA57" s="10">
        <f>'A) Base RI'!AO57</f>
        <v>1011</v>
      </c>
    </row>
    <row r="58" spans="1:27" x14ac:dyDescent="0.25">
      <c r="A58" s="8">
        <f>'A) Base RI'!A58</f>
        <v>5487</v>
      </c>
      <c r="B58" s="32" t="str">
        <f>'A) Base RI'!B58</f>
        <v>Lussery-Villars</v>
      </c>
      <c r="C58" s="10">
        <f>'A) Base RI'!C58+'A) Base RI'!D58</f>
        <v>1085238.5799999998</v>
      </c>
      <c r="D58" s="10">
        <f>'A) Base RI'!AP58</f>
        <v>-8785.9699999999993</v>
      </c>
      <c r="E58" s="31">
        <f>'A) Base RI'!AQ58</f>
        <v>0</v>
      </c>
      <c r="F58" s="31">
        <f>'A) Base RI'!AR58</f>
        <v>-62.59</v>
      </c>
      <c r="G58" s="412">
        <f t="shared" si="0"/>
        <v>1076390.0199999998</v>
      </c>
      <c r="H58" s="10">
        <f>+'A) Base RI'!E58</f>
        <v>0</v>
      </c>
      <c r="I58" s="10">
        <f>+'A) Base RI'!F58</f>
        <v>0</v>
      </c>
      <c r="J58" s="10">
        <f>+'A) Base RI'!G58+'A) Base RI'!H58+'A) Base RI'!X58</f>
        <v>4694.5499999999993</v>
      </c>
      <c r="K58" s="10">
        <f>+'A) Base RI'!I58</f>
        <v>0</v>
      </c>
      <c r="L58" s="10">
        <f>+'A) Base RI'!J58</f>
        <v>4292.26</v>
      </c>
      <c r="M58" s="10">
        <f>+'A) Base RI'!K58</f>
        <v>992.5</v>
      </c>
      <c r="N58" s="10">
        <f>+'A) Base RI'!Q58</f>
        <v>0</v>
      </c>
      <c r="O58" s="10">
        <f t="shared" si="1"/>
        <v>76437.8</v>
      </c>
      <c r="P58" s="10">
        <f>+'A) Base RI'!L58</f>
        <v>76437.8</v>
      </c>
      <c r="Q58" s="34">
        <f>'A) Base RI'!AS58</f>
        <v>1</v>
      </c>
      <c r="R58" s="412">
        <f t="shared" si="2"/>
        <v>1162807.1299999999</v>
      </c>
      <c r="S58" s="33">
        <f>+'A) Base RI'!AN58</f>
        <v>75</v>
      </c>
      <c r="T58" s="412">
        <f t="shared" si="3"/>
        <v>1085376.8299999998</v>
      </c>
      <c r="U58" s="412">
        <f t="shared" si="4"/>
        <v>15504.095066666665</v>
      </c>
      <c r="V58" s="10">
        <f>+'A) Base RI'!O58</f>
        <v>32528.6</v>
      </c>
      <c r="W58" s="10">
        <f>+'A) Base RI'!P58</f>
        <v>31405</v>
      </c>
      <c r="X58" s="10">
        <f>+'A) Base RI'!R58</f>
        <v>6280.05</v>
      </c>
      <c r="Y58" s="412">
        <f t="shared" si="5"/>
        <v>70213.649999999994</v>
      </c>
      <c r="Z58" s="10">
        <f>+'A) Base RI'!N58</f>
        <v>0</v>
      </c>
      <c r="AA58" s="10">
        <f>'A) Base RI'!AO58</f>
        <v>459</v>
      </c>
    </row>
    <row r="59" spans="1:27" x14ac:dyDescent="0.25">
      <c r="A59" s="8">
        <f>'A) Base RI'!A59</f>
        <v>5488</v>
      </c>
      <c r="B59" s="32" t="str">
        <f>'A) Base RI'!B59</f>
        <v>Mauraz</v>
      </c>
      <c r="C59" s="10">
        <f>'A) Base RI'!C59+'A) Base RI'!D59</f>
        <v>130089.82</v>
      </c>
      <c r="D59" s="10">
        <f>'A) Base RI'!AP59</f>
        <v>-1830.47</v>
      </c>
      <c r="E59" s="31">
        <f>'A) Base RI'!AQ59</f>
        <v>0</v>
      </c>
      <c r="F59" s="31">
        <f>'A) Base RI'!AR59</f>
        <v>0</v>
      </c>
      <c r="G59" s="412">
        <f t="shared" si="0"/>
        <v>128259.35</v>
      </c>
      <c r="H59" s="10">
        <f>+'A) Base RI'!E59</f>
        <v>0</v>
      </c>
      <c r="I59" s="10">
        <f>+'A) Base RI'!F59</f>
        <v>0</v>
      </c>
      <c r="J59" s="10">
        <f>+'A) Base RI'!G59+'A) Base RI'!H59+'A) Base RI'!X59</f>
        <v>-55.899999999999991</v>
      </c>
      <c r="K59" s="10">
        <f>+'A) Base RI'!I59</f>
        <v>0</v>
      </c>
      <c r="L59" s="10">
        <f>+'A) Base RI'!J59</f>
        <v>15.8</v>
      </c>
      <c r="M59" s="10">
        <f>+'A) Base RI'!K59</f>
        <v>0</v>
      </c>
      <c r="N59" s="10">
        <f>+'A) Base RI'!Q59</f>
        <v>0</v>
      </c>
      <c r="O59" s="10">
        <f t="shared" si="1"/>
        <v>8426</v>
      </c>
      <c r="P59" s="10">
        <f>+'A) Base RI'!L59</f>
        <v>8426</v>
      </c>
      <c r="Q59" s="34">
        <f>'A) Base RI'!AS59</f>
        <v>1</v>
      </c>
      <c r="R59" s="412">
        <f t="shared" si="2"/>
        <v>136645.25</v>
      </c>
      <c r="S59" s="33">
        <f>+'A) Base RI'!AN59</f>
        <v>78</v>
      </c>
      <c r="T59" s="412">
        <f t="shared" si="3"/>
        <v>128219.25000000001</v>
      </c>
      <c r="U59" s="412">
        <f t="shared" si="4"/>
        <v>1751.8621794871794</v>
      </c>
      <c r="V59" s="10">
        <f>+'A) Base RI'!O59</f>
        <v>0</v>
      </c>
      <c r="W59" s="10">
        <f>+'A) Base RI'!P59</f>
        <v>0</v>
      </c>
      <c r="X59" s="10">
        <f>+'A) Base RI'!R59</f>
        <v>0</v>
      </c>
      <c r="Y59" s="412">
        <f t="shared" si="5"/>
        <v>0</v>
      </c>
      <c r="Z59" s="10">
        <f>+'A) Base RI'!N59</f>
        <v>0</v>
      </c>
      <c r="AA59" s="10">
        <f>'A) Base RI'!AO59</f>
        <v>57</v>
      </c>
    </row>
    <row r="60" spans="1:27" x14ac:dyDescent="0.25">
      <c r="A60" s="8">
        <f>'A) Base RI'!A60</f>
        <v>5489</v>
      </c>
      <c r="B60" s="32" t="str">
        <f>'A) Base RI'!B60</f>
        <v>Mex</v>
      </c>
      <c r="C60" s="10">
        <f>'A) Base RI'!C60+'A) Base RI'!D60</f>
        <v>2378028.14</v>
      </c>
      <c r="D60" s="10">
        <f>'A) Base RI'!AP60</f>
        <v>-13158.24</v>
      </c>
      <c r="E60" s="31">
        <f>'A) Base RI'!AQ60</f>
        <v>0</v>
      </c>
      <c r="F60" s="31">
        <f>'A) Base RI'!AR60</f>
        <v>-1021.17</v>
      </c>
      <c r="G60" s="412">
        <f t="shared" si="0"/>
        <v>2363848.73</v>
      </c>
      <c r="H60" s="10">
        <f>+'A) Base RI'!E60</f>
        <v>0</v>
      </c>
      <c r="I60" s="10">
        <f>+'A) Base RI'!F60</f>
        <v>0</v>
      </c>
      <c r="J60" s="10">
        <f>+'A) Base RI'!G60+'A) Base RI'!H60+'A) Base RI'!X60</f>
        <v>1075085.8500000001</v>
      </c>
      <c r="K60" s="10">
        <f>+'A) Base RI'!I60</f>
        <v>0</v>
      </c>
      <c r="L60" s="10">
        <f>+'A) Base RI'!J60</f>
        <v>107093.58</v>
      </c>
      <c r="M60" s="10">
        <f>+'A) Base RI'!K60</f>
        <v>6591.5</v>
      </c>
      <c r="N60" s="10">
        <f>+'A) Base RI'!Q60</f>
        <v>2220.9499999999998</v>
      </c>
      <c r="O60" s="10">
        <f t="shared" si="1"/>
        <v>285308.75</v>
      </c>
      <c r="P60" s="10">
        <f>+'A) Base RI'!L60</f>
        <v>285308.75</v>
      </c>
      <c r="Q60" s="34">
        <f>'A) Base RI'!AS60</f>
        <v>1</v>
      </c>
      <c r="R60" s="412">
        <f t="shared" si="2"/>
        <v>3840149.3600000003</v>
      </c>
      <c r="S60" s="33">
        <f>+'A) Base RI'!AN60</f>
        <v>61</v>
      </c>
      <c r="T60" s="412">
        <f t="shared" si="3"/>
        <v>3548249.1100000003</v>
      </c>
      <c r="U60" s="412">
        <f t="shared" si="4"/>
        <v>62953.268196721314</v>
      </c>
      <c r="V60" s="10">
        <f>+'A) Base RI'!O60</f>
        <v>0</v>
      </c>
      <c r="W60" s="10">
        <f>+'A) Base RI'!P60</f>
        <v>45107.35</v>
      </c>
      <c r="X60" s="10">
        <f>+'A) Base RI'!R60</f>
        <v>26931.7</v>
      </c>
      <c r="Y60" s="412">
        <f t="shared" si="5"/>
        <v>72039.05</v>
      </c>
      <c r="Z60" s="10">
        <f>+'A) Base RI'!N60</f>
        <v>144968</v>
      </c>
      <c r="AA60" s="10">
        <f>'A) Base RI'!AO60</f>
        <v>718</v>
      </c>
    </row>
    <row r="61" spans="1:27" x14ac:dyDescent="0.25">
      <c r="A61" s="8">
        <f>'A) Base RI'!A61</f>
        <v>5490</v>
      </c>
      <c r="B61" s="32" t="str">
        <f>'A) Base RI'!B61</f>
        <v>Moiry</v>
      </c>
      <c r="C61" s="10">
        <f>'A) Base RI'!C61+'A) Base RI'!D61</f>
        <v>615796.33000000019</v>
      </c>
      <c r="D61" s="10">
        <f>'A) Base RI'!AP61</f>
        <v>-23373.06</v>
      </c>
      <c r="E61" s="31">
        <f>'A) Base RI'!AQ61</f>
        <v>0</v>
      </c>
      <c r="F61" s="31">
        <f>'A) Base RI'!AR61</f>
        <v>-714.55</v>
      </c>
      <c r="G61" s="412">
        <f t="shared" si="0"/>
        <v>591708.72000000009</v>
      </c>
      <c r="H61" s="10">
        <f>+'A) Base RI'!E61</f>
        <v>0</v>
      </c>
      <c r="I61" s="10">
        <f>+'A) Base RI'!F61</f>
        <v>0</v>
      </c>
      <c r="J61" s="10">
        <f>+'A) Base RI'!G61+'A) Base RI'!H61+'A) Base RI'!X61</f>
        <v>2334.25</v>
      </c>
      <c r="K61" s="10">
        <f>+'A) Base RI'!I61</f>
        <v>0</v>
      </c>
      <c r="L61" s="10">
        <f>+'A) Base RI'!J61</f>
        <v>3922.89</v>
      </c>
      <c r="M61" s="10">
        <f>+'A) Base RI'!K61</f>
        <v>0</v>
      </c>
      <c r="N61" s="10">
        <f>+'A) Base RI'!Q61</f>
        <v>12153.32</v>
      </c>
      <c r="O61" s="10">
        <f t="shared" si="1"/>
        <v>45067.25</v>
      </c>
      <c r="P61" s="10">
        <f>+'A) Base RI'!L61</f>
        <v>45067.25</v>
      </c>
      <c r="Q61" s="34">
        <f>'A) Base RI'!AS61</f>
        <v>1</v>
      </c>
      <c r="R61" s="412">
        <f t="shared" si="2"/>
        <v>655186.43000000005</v>
      </c>
      <c r="S61" s="33">
        <f>+'A) Base RI'!AN61</f>
        <v>78.5</v>
      </c>
      <c r="T61" s="412">
        <f t="shared" si="3"/>
        <v>610119.18000000005</v>
      </c>
      <c r="U61" s="412">
        <f t="shared" si="4"/>
        <v>8346.3239490445867</v>
      </c>
      <c r="V61" s="10">
        <f>+'A) Base RI'!O61</f>
        <v>0</v>
      </c>
      <c r="W61" s="10">
        <f>+'A) Base RI'!P61</f>
        <v>5258</v>
      </c>
      <c r="X61" s="10">
        <f>+'A) Base RI'!R61</f>
        <v>13264.35</v>
      </c>
      <c r="Y61" s="412">
        <f t="shared" si="5"/>
        <v>18522.349999999999</v>
      </c>
      <c r="Z61" s="10">
        <f>+'A) Base RI'!N61</f>
        <v>0</v>
      </c>
      <c r="AA61" s="10">
        <f>'A) Base RI'!AO61</f>
        <v>310</v>
      </c>
    </row>
    <row r="62" spans="1:27" x14ac:dyDescent="0.25">
      <c r="A62" s="8">
        <f>'A) Base RI'!A62</f>
        <v>5491</v>
      </c>
      <c r="B62" s="32" t="str">
        <f>'A) Base RI'!B62</f>
        <v>Mont-la-Ville</v>
      </c>
      <c r="C62" s="10">
        <f>'A) Base RI'!C62+'A) Base RI'!D62</f>
        <v>959876.57999999984</v>
      </c>
      <c r="D62" s="10">
        <f>'A) Base RI'!AP62</f>
        <v>-8335.15</v>
      </c>
      <c r="E62" s="31">
        <f>'A) Base RI'!AQ62</f>
        <v>0</v>
      </c>
      <c r="F62" s="31">
        <f>'A) Base RI'!AR62</f>
        <v>0.01</v>
      </c>
      <c r="G62" s="412">
        <f t="shared" si="0"/>
        <v>951541.43999999983</v>
      </c>
      <c r="H62" s="10">
        <f>+'A) Base RI'!E62</f>
        <v>0</v>
      </c>
      <c r="I62" s="10">
        <f>+'A) Base RI'!F62</f>
        <v>0</v>
      </c>
      <c r="J62" s="10">
        <f>+'A) Base RI'!G62+'A) Base RI'!H62+'A) Base RI'!X62</f>
        <v>25413.550000000003</v>
      </c>
      <c r="K62" s="10">
        <f>+'A) Base RI'!I62</f>
        <v>0</v>
      </c>
      <c r="L62" s="10">
        <f>+'A) Base RI'!J62</f>
        <v>10466.219999999999</v>
      </c>
      <c r="M62" s="10">
        <f>+'A) Base RI'!K62</f>
        <v>986.75</v>
      </c>
      <c r="N62" s="10">
        <f>+'A) Base RI'!Q62</f>
        <v>2209.84</v>
      </c>
      <c r="O62" s="10">
        <f t="shared" si="1"/>
        <v>81407.850000000006</v>
      </c>
      <c r="P62" s="10">
        <f>+'A) Base RI'!L62</f>
        <v>81407.850000000006</v>
      </c>
      <c r="Q62" s="34">
        <f>'A) Base RI'!AS62</f>
        <v>1</v>
      </c>
      <c r="R62" s="412">
        <f t="shared" si="2"/>
        <v>1072025.6499999999</v>
      </c>
      <c r="S62" s="33">
        <f>+'A) Base RI'!AN62</f>
        <v>76</v>
      </c>
      <c r="T62" s="412">
        <f t="shared" si="3"/>
        <v>989631.04999999981</v>
      </c>
      <c r="U62" s="412">
        <f t="shared" si="4"/>
        <v>14105.600657894736</v>
      </c>
      <c r="V62" s="10">
        <f>+'A) Base RI'!O62</f>
        <v>0</v>
      </c>
      <c r="W62" s="10">
        <f>+'A) Base RI'!P62</f>
        <v>12867.8</v>
      </c>
      <c r="X62" s="10">
        <f>+'A) Base RI'!R62</f>
        <v>12585.7</v>
      </c>
      <c r="Y62" s="412">
        <f t="shared" si="5"/>
        <v>25453.5</v>
      </c>
      <c r="Z62" s="10">
        <f>+'A) Base RI'!N62</f>
        <v>1991.25</v>
      </c>
      <c r="AA62" s="10">
        <f>'A) Base RI'!AO62</f>
        <v>478</v>
      </c>
    </row>
    <row r="63" spans="1:27" x14ac:dyDescent="0.25">
      <c r="A63" s="8">
        <f>'A) Base RI'!A63</f>
        <v>5492</v>
      </c>
      <c r="B63" s="32" t="str">
        <f>'A) Base RI'!B63</f>
        <v>Montricher</v>
      </c>
      <c r="C63" s="10">
        <f>'A) Base RI'!C63+'A) Base RI'!D63</f>
        <v>11858127.24</v>
      </c>
      <c r="D63" s="10">
        <f>'A) Base RI'!AP63</f>
        <v>-15069.2</v>
      </c>
      <c r="E63" s="31">
        <f>'A) Base RI'!AQ63</f>
        <v>0</v>
      </c>
      <c r="F63" s="31">
        <f>'A) Base RI'!AR63</f>
        <v>-10136.86</v>
      </c>
      <c r="G63" s="412">
        <f t="shared" si="0"/>
        <v>11832921.180000002</v>
      </c>
      <c r="H63" s="10">
        <f>+'A) Base RI'!E63</f>
        <v>0</v>
      </c>
      <c r="I63" s="10">
        <f>+'A) Base RI'!F63</f>
        <v>0</v>
      </c>
      <c r="J63" s="10">
        <f>+'A) Base RI'!G63+'A) Base RI'!H63+'A) Base RI'!X63</f>
        <v>7814.7999999999975</v>
      </c>
      <c r="K63" s="10">
        <f>+'A) Base RI'!I63</f>
        <v>0</v>
      </c>
      <c r="L63" s="10">
        <f>+'A) Base RI'!J63</f>
        <v>61592.37</v>
      </c>
      <c r="M63" s="10">
        <f>+'A) Base RI'!K63</f>
        <v>4136.95</v>
      </c>
      <c r="N63" s="10">
        <f>+'A) Base RI'!Q63</f>
        <v>19146.689999999999</v>
      </c>
      <c r="O63" s="10">
        <f t="shared" si="1"/>
        <v>240330.83333333334</v>
      </c>
      <c r="P63" s="10">
        <f>+'A) Base RI'!L63</f>
        <v>72099.25</v>
      </c>
      <c r="Q63" s="34">
        <f>'A) Base RI'!AS63</f>
        <v>0.3</v>
      </c>
      <c r="R63" s="412">
        <f t="shared" si="2"/>
        <v>12165942.823333334</v>
      </c>
      <c r="S63" s="33">
        <f>+'A) Base RI'!AN63</f>
        <v>64</v>
      </c>
      <c r="T63" s="412">
        <f t="shared" si="3"/>
        <v>11921475.040000001</v>
      </c>
      <c r="U63" s="412">
        <f t="shared" si="4"/>
        <v>190092.85661458335</v>
      </c>
      <c r="V63" s="10">
        <f>+'A) Base RI'!O63</f>
        <v>0</v>
      </c>
      <c r="W63" s="10">
        <f>+'A) Base RI'!P63</f>
        <v>81997.55</v>
      </c>
      <c r="X63" s="10">
        <f>+'A) Base RI'!R63</f>
        <v>51307.7</v>
      </c>
      <c r="Y63" s="412">
        <f t="shared" si="5"/>
        <v>133305.25</v>
      </c>
      <c r="Z63" s="10">
        <f>+'A) Base RI'!N63</f>
        <v>4397.25</v>
      </c>
      <c r="AA63" s="10">
        <f>'A) Base RI'!AO63</f>
        <v>964</v>
      </c>
    </row>
    <row r="64" spans="1:27" x14ac:dyDescent="0.25">
      <c r="A64" s="8">
        <f>'A) Base RI'!A64</f>
        <v>5493</v>
      </c>
      <c r="B64" s="32" t="str">
        <f>'A) Base RI'!B64</f>
        <v>Orny</v>
      </c>
      <c r="C64" s="10">
        <f>'A) Base RI'!C64+'A) Base RI'!D64</f>
        <v>739996.08000000007</v>
      </c>
      <c r="D64" s="10">
        <f>'A) Base RI'!AP64</f>
        <v>-10640.7</v>
      </c>
      <c r="E64" s="31">
        <f>'A) Base RI'!AQ64</f>
        <v>0</v>
      </c>
      <c r="F64" s="31">
        <f>'A) Base RI'!AR64</f>
        <v>-10.91</v>
      </c>
      <c r="G64" s="412">
        <f t="shared" si="0"/>
        <v>729344.47000000009</v>
      </c>
      <c r="H64" s="10">
        <f>+'A) Base RI'!E64</f>
        <v>0</v>
      </c>
      <c r="I64" s="10">
        <f>+'A) Base RI'!F64</f>
        <v>0</v>
      </c>
      <c r="J64" s="10">
        <f>+'A) Base RI'!G64+'A) Base RI'!H64+'A) Base RI'!X64</f>
        <v>7421.85</v>
      </c>
      <c r="K64" s="10">
        <f>+'A) Base RI'!I64</f>
        <v>0</v>
      </c>
      <c r="L64" s="10">
        <f>+'A) Base RI'!J64</f>
        <v>535</v>
      </c>
      <c r="M64" s="10">
        <f>+'A) Base RI'!K64</f>
        <v>493.85</v>
      </c>
      <c r="N64" s="10">
        <f>+'A) Base RI'!Q64</f>
        <v>-13295.07</v>
      </c>
      <c r="O64" s="10">
        <f t="shared" si="1"/>
        <v>54370.307692307688</v>
      </c>
      <c r="P64" s="10">
        <f>+'A) Base RI'!L64</f>
        <v>35340.699999999997</v>
      </c>
      <c r="Q64" s="34">
        <f>'A) Base RI'!AS64</f>
        <v>0.65</v>
      </c>
      <c r="R64" s="412">
        <f t="shared" si="2"/>
        <v>778870.40769230784</v>
      </c>
      <c r="S64" s="33">
        <f>+'A) Base RI'!AN64</f>
        <v>73</v>
      </c>
      <c r="T64" s="412">
        <f t="shared" si="3"/>
        <v>724006.25000000012</v>
      </c>
      <c r="U64" s="412">
        <f t="shared" si="4"/>
        <v>10669.457639620656</v>
      </c>
      <c r="V64" s="10">
        <f>+'A) Base RI'!O64</f>
        <v>0</v>
      </c>
      <c r="W64" s="10">
        <f>+'A) Base RI'!P64</f>
        <v>68974.399999999994</v>
      </c>
      <c r="X64" s="10">
        <f>+'A) Base RI'!R64</f>
        <v>65216.95</v>
      </c>
      <c r="Y64" s="412">
        <f t="shared" si="5"/>
        <v>134191.34999999998</v>
      </c>
      <c r="Z64" s="10">
        <f>+'A) Base RI'!N64</f>
        <v>60984.2</v>
      </c>
      <c r="AA64" s="10">
        <f>'A) Base RI'!AO64</f>
        <v>416</v>
      </c>
    </row>
    <row r="65" spans="1:27" x14ac:dyDescent="0.25">
      <c r="A65" s="8">
        <f>'A) Base RI'!A65</f>
        <v>5494</v>
      </c>
      <c r="B65" s="32" t="str">
        <f>'A) Base RI'!B65</f>
        <v>Pampigny</v>
      </c>
      <c r="C65" s="10">
        <f>'A) Base RI'!C65+'A) Base RI'!D65</f>
        <v>2506439.7999999998</v>
      </c>
      <c r="D65" s="10">
        <f>'A) Base RI'!AP65</f>
        <v>-34901.949999999997</v>
      </c>
      <c r="E65" s="31">
        <f>'A) Base RI'!AQ65</f>
        <v>0</v>
      </c>
      <c r="F65" s="31">
        <f>'A) Base RI'!AR65</f>
        <v>-571.75</v>
      </c>
      <c r="G65" s="412">
        <f t="shared" si="0"/>
        <v>2470966.0999999996</v>
      </c>
      <c r="H65" s="10">
        <f>+'A) Base RI'!E65</f>
        <v>0</v>
      </c>
      <c r="I65" s="10">
        <f>+'A) Base RI'!F65</f>
        <v>0</v>
      </c>
      <c r="J65" s="10">
        <f>+'A) Base RI'!G65+'A) Base RI'!H65+'A) Base RI'!X65</f>
        <v>31787.399999999998</v>
      </c>
      <c r="K65" s="10">
        <f>+'A) Base RI'!I65</f>
        <v>0</v>
      </c>
      <c r="L65" s="10">
        <f>+'A) Base RI'!J65</f>
        <v>57927.27</v>
      </c>
      <c r="M65" s="10">
        <f>+'A) Base RI'!K65</f>
        <v>2544.5500000000002</v>
      </c>
      <c r="N65" s="10">
        <f>+'A) Base RI'!Q65</f>
        <v>469.33</v>
      </c>
      <c r="O65" s="10">
        <f t="shared" si="1"/>
        <v>211976.09523809524</v>
      </c>
      <c r="P65" s="10">
        <f>+'A) Base RI'!L65</f>
        <v>222574.9</v>
      </c>
      <c r="Q65" s="34">
        <f>'A) Base RI'!AS65</f>
        <v>1.05</v>
      </c>
      <c r="R65" s="412">
        <f t="shared" si="2"/>
        <v>2775670.7452380946</v>
      </c>
      <c r="S65" s="33">
        <f>+'A) Base RI'!AN65</f>
        <v>75</v>
      </c>
      <c r="T65" s="412">
        <f t="shared" si="3"/>
        <v>2561150.0999999996</v>
      </c>
      <c r="U65" s="412">
        <f t="shared" si="4"/>
        <v>37008.943269841264</v>
      </c>
      <c r="V65" s="10">
        <f>+'A) Base RI'!O65</f>
        <v>112000</v>
      </c>
      <c r="W65" s="10">
        <f>+'A) Base RI'!P65</f>
        <v>58784.3</v>
      </c>
      <c r="X65" s="10">
        <f>+'A) Base RI'!R65</f>
        <v>8655.5</v>
      </c>
      <c r="Y65" s="412">
        <f t="shared" si="5"/>
        <v>179439.8</v>
      </c>
      <c r="Z65" s="10">
        <f>+'A) Base RI'!N65</f>
        <v>30402.1</v>
      </c>
      <c r="AA65" s="10">
        <f>'A) Base RI'!AO65</f>
        <v>1103</v>
      </c>
    </row>
    <row r="66" spans="1:27" x14ac:dyDescent="0.25">
      <c r="A66" s="8">
        <f>'A) Base RI'!A66</f>
        <v>5495</v>
      </c>
      <c r="B66" s="32" t="str">
        <f>'A) Base RI'!B66</f>
        <v>Penthalaz</v>
      </c>
      <c r="C66" s="10">
        <f>'A) Base RI'!C66+'A) Base RI'!D66</f>
        <v>6142098.21</v>
      </c>
      <c r="D66" s="10">
        <f>'A) Base RI'!AP66</f>
        <v>-138234.69</v>
      </c>
      <c r="E66" s="31">
        <f>'A) Base RI'!AQ66</f>
        <v>0</v>
      </c>
      <c r="F66" s="31">
        <f>'A) Base RI'!AR66</f>
        <v>-1455.81</v>
      </c>
      <c r="G66" s="412">
        <f t="shared" si="0"/>
        <v>6002407.71</v>
      </c>
      <c r="H66" s="10">
        <f>+'A) Base RI'!E66</f>
        <v>0</v>
      </c>
      <c r="I66" s="10">
        <f>+'A) Base RI'!F66</f>
        <v>0</v>
      </c>
      <c r="J66" s="10">
        <f>+'A) Base RI'!G66+'A) Base RI'!H66+'A) Base RI'!X66</f>
        <v>170125</v>
      </c>
      <c r="K66" s="10">
        <f>+'A) Base RI'!I66</f>
        <v>74140.240000000005</v>
      </c>
      <c r="L66" s="10">
        <f>+'A) Base RI'!J66</f>
        <v>191151.18</v>
      </c>
      <c r="M66" s="10">
        <f>+'A) Base RI'!K66</f>
        <v>73744.45</v>
      </c>
      <c r="N66" s="10">
        <f>+'A) Base RI'!Q66</f>
        <v>62267.76</v>
      </c>
      <c r="O66" s="10">
        <f t="shared" si="1"/>
        <v>480901.45</v>
      </c>
      <c r="P66" s="10">
        <f>+'A) Base RI'!L66</f>
        <v>480901.45</v>
      </c>
      <c r="Q66" s="34">
        <f>'A) Base RI'!AS66</f>
        <v>1</v>
      </c>
      <c r="R66" s="412">
        <f t="shared" si="2"/>
        <v>7054737.79</v>
      </c>
      <c r="S66" s="33">
        <f>+'A) Base RI'!AN66</f>
        <v>74</v>
      </c>
      <c r="T66" s="412">
        <f t="shared" si="3"/>
        <v>6500091.8899999997</v>
      </c>
      <c r="U66" s="412">
        <f t="shared" si="4"/>
        <v>95334.294459459459</v>
      </c>
      <c r="V66" s="10">
        <f>+'A) Base RI'!O66</f>
        <v>61758.3</v>
      </c>
      <c r="W66" s="10">
        <f>+'A) Base RI'!P66</f>
        <v>193102.2</v>
      </c>
      <c r="X66" s="10">
        <f>+'A) Base RI'!R66</f>
        <v>64511.6</v>
      </c>
      <c r="Y66" s="412">
        <f t="shared" si="5"/>
        <v>319372.09999999998</v>
      </c>
      <c r="Z66" s="10">
        <f>+'A) Base RI'!N66</f>
        <v>195025.4</v>
      </c>
      <c r="AA66" s="10">
        <f>'A) Base RI'!AO66</f>
        <v>3257</v>
      </c>
    </row>
    <row r="67" spans="1:27" x14ac:dyDescent="0.25">
      <c r="A67" s="8">
        <f>'A) Base RI'!A67</f>
        <v>5496</v>
      </c>
      <c r="B67" s="32" t="str">
        <f>'A) Base RI'!B67</f>
        <v>Penthaz</v>
      </c>
      <c r="C67" s="10">
        <f>'A) Base RI'!C67+'A) Base RI'!D67</f>
        <v>3762963.61</v>
      </c>
      <c r="D67" s="10">
        <f>'A) Base RI'!AP67</f>
        <v>-112333.43</v>
      </c>
      <c r="E67" s="31">
        <f>'A) Base RI'!AQ67</f>
        <v>0</v>
      </c>
      <c r="F67" s="31">
        <f>'A) Base RI'!AR67</f>
        <v>-332.66</v>
      </c>
      <c r="G67" s="412">
        <f t="shared" si="0"/>
        <v>3650297.5199999996</v>
      </c>
      <c r="H67" s="10">
        <f>+'A) Base RI'!E67</f>
        <v>0</v>
      </c>
      <c r="I67" s="10">
        <f>+'A) Base RI'!F67</f>
        <v>0</v>
      </c>
      <c r="J67" s="10">
        <f>+'A) Base RI'!G67+'A) Base RI'!H67+'A) Base RI'!X67</f>
        <v>129168.54999999999</v>
      </c>
      <c r="K67" s="10">
        <f>+'A) Base RI'!I67</f>
        <v>0</v>
      </c>
      <c r="L67" s="10">
        <f>+'A) Base RI'!J67</f>
        <v>99718.43</v>
      </c>
      <c r="M67" s="10">
        <f>+'A) Base RI'!K67</f>
        <v>19664.349999999999</v>
      </c>
      <c r="N67" s="10">
        <f>+'A) Base RI'!Q67</f>
        <v>6115.95</v>
      </c>
      <c r="O67" s="10">
        <f t="shared" si="1"/>
        <v>317459.15000000002</v>
      </c>
      <c r="P67" s="10">
        <f>+'A) Base RI'!L67</f>
        <v>317459.15000000002</v>
      </c>
      <c r="Q67" s="34">
        <f>'A) Base RI'!AS67</f>
        <v>1</v>
      </c>
      <c r="R67" s="412">
        <f t="shared" si="2"/>
        <v>4222423.95</v>
      </c>
      <c r="S67" s="33">
        <f>+'A) Base RI'!AN67</f>
        <v>71</v>
      </c>
      <c r="T67" s="412">
        <f t="shared" si="3"/>
        <v>3885300.4499999997</v>
      </c>
      <c r="U67" s="412">
        <f t="shared" si="4"/>
        <v>59470.759859154932</v>
      </c>
      <c r="V67" s="10">
        <f>+'A) Base RI'!O67</f>
        <v>3099.4</v>
      </c>
      <c r="W67" s="10">
        <f>+'A) Base RI'!P67</f>
        <v>206416.85</v>
      </c>
      <c r="X67" s="10">
        <f>+'A) Base RI'!R67</f>
        <v>176577.95</v>
      </c>
      <c r="Y67" s="412">
        <f t="shared" si="5"/>
        <v>386094.2</v>
      </c>
      <c r="Z67" s="10">
        <f>+'A) Base RI'!N67</f>
        <v>81094.8</v>
      </c>
      <c r="AA67" s="10">
        <f>'A) Base RI'!AO67</f>
        <v>1760</v>
      </c>
    </row>
    <row r="68" spans="1:27" x14ac:dyDescent="0.25">
      <c r="A68" s="8">
        <f>'A) Base RI'!A68</f>
        <v>5497</v>
      </c>
      <c r="B68" s="32" t="str">
        <f>'A) Base RI'!B68</f>
        <v>Pompaples</v>
      </c>
      <c r="C68" s="10">
        <f>'A) Base RI'!C68+'A) Base RI'!D68</f>
        <v>1169033.1600000001</v>
      </c>
      <c r="D68" s="10">
        <f>'A) Base RI'!AP68</f>
        <v>-46507.19</v>
      </c>
      <c r="E68" s="31">
        <f>'A) Base RI'!AQ68</f>
        <v>0</v>
      </c>
      <c r="F68" s="31">
        <f>'A) Base RI'!AR68</f>
        <v>-48.89</v>
      </c>
      <c r="G68" s="412">
        <f t="shared" si="0"/>
        <v>1122477.0800000003</v>
      </c>
      <c r="H68" s="10">
        <f>+'A) Base RI'!E68</f>
        <v>0</v>
      </c>
      <c r="I68" s="10">
        <f>+'A) Base RI'!F68</f>
        <v>0</v>
      </c>
      <c r="J68" s="10">
        <f>+'A) Base RI'!G68+'A) Base RI'!H68+'A) Base RI'!X68</f>
        <v>205165.34999999998</v>
      </c>
      <c r="K68" s="10">
        <f>+'A) Base RI'!I68</f>
        <v>0</v>
      </c>
      <c r="L68" s="10">
        <f>+'A) Base RI'!J68</f>
        <v>33423.17</v>
      </c>
      <c r="M68" s="10">
        <f>+'A) Base RI'!K68</f>
        <v>-19719.25</v>
      </c>
      <c r="N68" s="10">
        <f>+'A) Base RI'!Q68</f>
        <v>2138.46</v>
      </c>
      <c r="O68" s="10">
        <f t="shared" si="1"/>
        <v>128371.85</v>
      </c>
      <c r="P68" s="10">
        <f>+'A) Base RI'!L68</f>
        <v>128371.85</v>
      </c>
      <c r="Q68" s="34">
        <f>'A) Base RI'!AS68</f>
        <v>1</v>
      </c>
      <c r="R68" s="412">
        <f t="shared" si="2"/>
        <v>1471856.6600000001</v>
      </c>
      <c r="S68" s="33">
        <f>+'A) Base RI'!AN68</f>
        <v>66</v>
      </c>
      <c r="T68" s="412">
        <f t="shared" si="3"/>
        <v>1363204.06</v>
      </c>
      <c r="U68" s="412">
        <f t="shared" si="4"/>
        <v>22300.858484848486</v>
      </c>
      <c r="V68" s="10">
        <f>+'A) Base RI'!O68</f>
        <v>25970.9</v>
      </c>
      <c r="W68" s="10">
        <f>+'A) Base RI'!P68</f>
        <v>21630.5</v>
      </c>
      <c r="X68" s="10">
        <f>+'A) Base RI'!R68</f>
        <v>74622.350000000006</v>
      </c>
      <c r="Y68" s="412">
        <f t="shared" si="5"/>
        <v>122223.75</v>
      </c>
      <c r="Z68" s="10">
        <f>+'A) Base RI'!N68</f>
        <v>197354.2</v>
      </c>
      <c r="AA68" s="10">
        <f>'A) Base RI'!AO68</f>
        <v>851</v>
      </c>
    </row>
    <row r="69" spans="1:27" x14ac:dyDescent="0.25">
      <c r="A69" s="8">
        <f>'A) Base RI'!A69</f>
        <v>5498</v>
      </c>
      <c r="B69" s="32" t="str">
        <f>'A) Base RI'!B69</f>
        <v>La Sarraz</v>
      </c>
      <c r="C69" s="10">
        <f>'A) Base RI'!C69+'A) Base RI'!D69</f>
        <v>4600503.1500000004</v>
      </c>
      <c r="D69" s="10">
        <f>'A) Base RI'!AP69</f>
        <v>-109867.94</v>
      </c>
      <c r="E69" s="31">
        <f>'A) Base RI'!AQ69</f>
        <v>0</v>
      </c>
      <c r="F69" s="31">
        <f>'A) Base RI'!AR69</f>
        <v>-469.77</v>
      </c>
      <c r="G69" s="412">
        <f t="shared" si="0"/>
        <v>4490165.4400000004</v>
      </c>
      <c r="H69" s="10">
        <f>+'A) Base RI'!E69</f>
        <v>0</v>
      </c>
      <c r="I69" s="10">
        <f>+'A) Base RI'!F69</f>
        <v>0</v>
      </c>
      <c r="J69" s="10">
        <f>+'A) Base RI'!G69+'A) Base RI'!H69+'A) Base RI'!X69</f>
        <v>91787.95</v>
      </c>
      <c r="K69" s="10">
        <f>+'A) Base RI'!I69</f>
        <v>0</v>
      </c>
      <c r="L69" s="10">
        <f>+'A) Base RI'!J69</f>
        <v>119831.07</v>
      </c>
      <c r="M69" s="10">
        <f>+'A) Base RI'!K69</f>
        <v>17932.150000000001</v>
      </c>
      <c r="N69" s="10">
        <f>+'A) Base RI'!Q69</f>
        <v>15298.33</v>
      </c>
      <c r="O69" s="10">
        <f t="shared" si="1"/>
        <v>389845.35</v>
      </c>
      <c r="P69" s="10">
        <f>+'A) Base RI'!L69</f>
        <v>389845.35</v>
      </c>
      <c r="Q69" s="34">
        <f>'A) Base RI'!AS69</f>
        <v>1</v>
      </c>
      <c r="R69" s="412">
        <f t="shared" si="2"/>
        <v>5124860.290000001</v>
      </c>
      <c r="S69" s="33">
        <f>+'A) Base RI'!AN69</f>
        <v>66</v>
      </c>
      <c r="T69" s="412">
        <f t="shared" si="3"/>
        <v>4717082.790000001</v>
      </c>
      <c r="U69" s="412">
        <f t="shared" si="4"/>
        <v>77649.398333333345</v>
      </c>
      <c r="V69" s="10">
        <f>+'A) Base RI'!O69</f>
        <v>0</v>
      </c>
      <c r="W69" s="10">
        <f>+'A) Base RI'!P69</f>
        <v>240098.25</v>
      </c>
      <c r="X69" s="10">
        <f>+'A) Base RI'!R69</f>
        <v>278979.7</v>
      </c>
      <c r="Y69" s="412">
        <f t="shared" si="5"/>
        <v>519077.95</v>
      </c>
      <c r="Z69" s="10">
        <f>+'A) Base RI'!N69</f>
        <v>75092.25</v>
      </c>
      <c r="AA69" s="10">
        <f>'A) Base RI'!AO69</f>
        <v>2651</v>
      </c>
    </row>
    <row r="70" spans="1:27" x14ac:dyDescent="0.25">
      <c r="A70" s="8">
        <f>'A) Base RI'!A70</f>
        <v>5499</v>
      </c>
      <c r="B70" s="32" t="str">
        <f>'A) Base RI'!B70</f>
        <v>Senarclens</v>
      </c>
      <c r="C70" s="10">
        <f>'A) Base RI'!C70+'A) Base RI'!D70</f>
        <v>1200655.8400000001</v>
      </c>
      <c r="D70" s="10">
        <f>'A) Base RI'!AP70</f>
        <v>-234.76</v>
      </c>
      <c r="E70" s="31">
        <f>'A) Base RI'!AQ70</f>
        <v>0</v>
      </c>
      <c r="F70" s="31">
        <f>'A) Base RI'!AR70</f>
        <v>-451.45</v>
      </c>
      <c r="G70" s="412">
        <f t="shared" si="0"/>
        <v>1199969.6300000001</v>
      </c>
      <c r="H70" s="10">
        <f>+'A) Base RI'!E70</f>
        <v>0</v>
      </c>
      <c r="I70" s="10">
        <f>+'A) Base RI'!F70</f>
        <v>0</v>
      </c>
      <c r="J70" s="10">
        <f>+'A) Base RI'!G70+'A) Base RI'!H70+'A) Base RI'!X70</f>
        <v>26695.3</v>
      </c>
      <c r="K70" s="10">
        <f>+'A) Base RI'!I70</f>
        <v>0</v>
      </c>
      <c r="L70" s="10">
        <f>+'A) Base RI'!J70</f>
        <v>14365.9</v>
      </c>
      <c r="M70" s="10">
        <f>+'A) Base RI'!K70</f>
        <v>0</v>
      </c>
      <c r="N70" s="10">
        <f>+'A) Base RI'!Q70</f>
        <v>1395.65</v>
      </c>
      <c r="O70" s="10">
        <f t="shared" si="1"/>
        <v>94513.600000000006</v>
      </c>
      <c r="P70" s="10">
        <f>+'A) Base RI'!L70</f>
        <v>94513.600000000006</v>
      </c>
      <c r="Q70" s="34">
        <f>'A) Base RI'!AS70</f>
        <v>1</v>
      </c>
      <c r="R70" s="412">
        <f t="shared" si="2"/>
        <v>1336940.08</v>
      </c>
      <c r="S70" s="33">
        <f>+'A) Base RI'!AN70</f>
        <v>68.5</v>
      </c>
      <c r="T70" s="412">
        <f t="shared" si="3"/>
        <v>1242426.48</v>
      </c>
      <c r="U70" s="412">
        <f t="shared" si="4"/>
        <v>19517.373430656935</v>
      </c>
      <c r="V70" s="10">
        <f>+'A) Base RI'!O70</f>
        <v>30687.8</v>
      </c>
      <c r="W70" s="10">
        <f>+'A) Base RI'!P70</f>
        <v>49534.15</v>
      </c>
      <c r="X70" s="10">
        <f>+'A) Base RI'!R70</f>
        <v>35226.699999999997</v>
      </c>
      <c r="Y70" s="412">
        <f t="shared" si="5"/>
        <v>115448.65</v>
      </c>
      <c r="Z70" s="10">
        <f>+'A) Base RI'!N70</f>
        <v>8008.2</v>
      </c>
      <c r="AA70" s="10">
        <f>'A) Base RI'!AO70</f>
        <v>477</v>
      </c>
    </row>
    <row r="71" spans="1:27" x14ac:dyDescent="0.25">
      <c r="A71" s="8">
        <f>'A) Base RI'!A71</f>
        <v>5500</v>
      </c>
      <c r="B71" s="32" t="str">
        <f>'A) Base RI'!B71</f>
        <v>Sévery</v>
      </c>
      <c r="C71" s="10">
        <f>'A) Base RI'!C71+'A) Base RI'!D71</f>
        <v>482208.33</v>
      </c>
      <c r="D71" s="10">
        <f>'A) Base RI'!AP71</f>
        <v>-8113.74</v>
      </c>
      <c r="E71" s="31">
        <f>'A) Base RI'!AQ71</f>
        <v>0</v>
      </c>
      <c r="F71" s="31">
        <f>'A) Base RI'!AR71</f>
        <v>0</v>
      </c>
      <c r="G71" s="412">
        <f t="shared" si="0"/>
        <v>474094.59</v>
      </c>
      <c r="H71" s="10">
        <f>+'A) Base RI'!E71</f>
        <v>0</v>
      </c>
      <c r="I71" s="10">
        <f>+'A) Base RI'!F71</f>
        <v>0</v>
      </c>
      <c r="J71" s="10">
        <f>+'A) Base RI'!G71+'A) Base RI'!H71+'A) Base RI'!X71</f>
        <v>-125.89999999999986</v>
      </c>
      <c r="K71" s="10">
        <f>+'A) Base RI'!I71</f>
        <v>0</v>
      </c>
      <c r="L71" s="10">
        <f>+'A) Base RI'!J71</f>
        <v>8545.81</v>
      </c>
      <c r="M71" s="10">
        <f>+'A) Base RI'!K71</f>
        <v>153.94999999999999</v>
      </c>
      <c r="N71" s="10">
        <f>+'A) Base RI'!Q71</f>
        <v>0</v>
      </c>
      <c r="O71" s="10">
        <f t="shared" si="1"/>
        <v>42258.416666666664</v>
      </c>
      <c r="P71" s="10">
        <f>+'A) Base RI'!L71</f>
        <v>50710.1</v>
      </c>
      <c r="Q71" s="34">
        <f>'A) Base RI'!AS71</f>
        <v>1.2</v>
      </c>
      <c r="R71" s="412">
        <f t="shared" si="2"/>
        <v>524926.8666666667</v>
      </c>
      <c r="S71" s="33">
        <f>+'A) Base RI'!AN71</f>
        <v>75</v>
      </c>
      <c r="T71" s="412">
        <f t="shared" si="3"/>
        <v>482514.5</v>
      </c>
      <c r="U71" s="412">
        <f t="shared" si="4"/>
        <v>6999.0248888888891</v>
      </c>
      <c r="V71" s="10">
        <f>+'A) Base RI'!O71</f>
        <v>0</v>
      </c>
      <c r="W71" s="10">
        <f>+'A) Base RI'!P71</f>
        <v>23221</v>
      </c>
      <c r="X71" s="10">
        <f>+'A) Base RI'!R71</f>
        <v>8574.25</v>
      </c>
      <c r="Y71" s="412">
        <f t="shared" si="5"/>
        <v>31795.25</v>
      </c>
      <c r="Z71" s="10">
        <f>+'A) Base RI'!N71</f>
        <v>0</v>
      </c>
      <c r="AA71" s="10">
        <f>'A) Base RI'!AO71</f>
        <v>227</v>
      </c>
    </row>
    <row r="72" spans="1:27" x14ac:dyDescent="0.25">
      <c r="A72" s="8">
        <f>'A) Base RI'!A72</f>
        <v>5501</v>
      </c>
      <c r="B72" s="32" t="str">
        <f>'A) Base RI'!B72</f>
        <v>Sullens</v>
      </c>
      <c r="C72" s="10">
        <f>'A) Base RI'!C72+'A) Base RI'!D72</f>
        <v>2554053.65</v>
      </c>
      <c r="D72" s="10">
        <f>'A) Base RI'!AP72</f>
        <v>-28998.23</v>
      </c>
      <c r="E72" s="31">
        <f>'A) Base RI'!AQ72</f>
        <v>0</v>
      </c>
      <c r="F72" s="31">
        <f>'A) Base RI'!AR72</f>
        <v>-355.29</v>
      </c>
      <c r="G72" s="412">
        <f t="shared" ref="G72:G135" si="6">SUM(C72:F72)</f>
        <v>2524700.13</v>
      </c>
      <c r="H72" s="10">
        <f>+'A) Base RI'!E72</f>
        <v>0</v>
      </c>
      <c r="I72" s="10">
        <f>+'A) Base RI'!F72</f>
        <v>0</v>
      </c>
      <c r="J72" s="10">
        <f>+'A) Base RI'!G72+'A) Base RI'!H72+'A) Base RI'!X72</f>
        <v>18171.650000000001</v>
      </c>
      <c r="K72" s="10">
        <f>+'A) Base RI'!I72</f>
        <v>38474.65</v>
      </c>
      <c r="L72" s="10">
        <f>+'A) Base RI'!J72</f>
        <v>26794.66</v>
      </c>
      <c r="M72" s="10">
        <f>+'A) Base RI'!K72</f>
        <v>0</v>
      </c>
      <c r="N72" s="10">
        <f>+'A) Base RI'!Q72</f>
        <v>3221.46</v>
      </c>
      <c r="O72" s="10">
        <f t="shared" ref="O72:O135" si="7">(P72/Q72)*1</f>
        <v>221797.75</v>
      </c>
      <c r="P72" s="10">
        <f>+'A) Base RI'!L72</f>
        <v>221797.75</v>
      </c>
      <c r="Q72" s="34">
        <f>'A) Base RI'!AS72</f>
        <v>1</v>
      </c>
      <c r="R72" s="412">
        <f t="shared" ref="R72:R135" si="8">SUM(G72:O72)</f>
        <v>2833160.3</v>
      </c>
      <c r="S72" s="33">
        <f>+'A) Base RI'!AN72</f>
        <v>70</v>
      </c>
      <c r="T72" s="412">
        <f t="shared" ref="T72:T135" si="9">(G72+H72+J72+K72+L72+N72)</f>
        <v>2611362.5499999998</v>
      </c>
      <c r="U72" s="412">
        <f t="shared" ref="U72:U135" si="10">R72/S72</f>
        <v>40473.718571428566</v>
      </c>
      <c r="V72" s="10">
        <f>+'A) Base RI'!O72</f>
        <v>0</v>
      </c>
      <c r="W72" s="10">
        <f>+'A) Base RI'!P72</f>
        <v>97828.7</v>
      </c>
      <c r="X72" s="10">
        <f>+'A) Base RI'!R72</f>
        <v>79520.3</v>
      </c>
      <c r="Y72" s="412">
        <f t="shared" ref="Y72:Y135" si="11">SUM(V72:X72)</f>
        <v>177349</v>
      </c>
      <c r="Z72" s="10">
        <f>+'A) Base RI'!N72</f>
        <v>5708.9</v>
      </c>
      <c r="AA72" s="10">
        <f>'A) Base RI'!AO72</f>
        <v>1035</v>
      </c>
    </row>
    <row r="73" spans="1:27" x14ac:dyDescent="0.25">
      <c r="A73" s="8">
        <f>'A) Base RI'!A73</f>
        <v>5503</v>
      </c>
      <c r="B73" s="32" t="str">
        <f>'A) Base RI'!B73</f>
        <v>Vufflens-la-Ville</v>
      </c>
      <c r="C73" s="10">
        <f>'A) Base RI'!C73+'A) Base RI'!D73</f>
        <v>4558576.4800000004</v>
      </c>
      <c r="D73" s="10">
        <f>'A) Base RI'!AP73</f>
        <v>-20664.37</v>
      </c>
      <c r="E73" s="31">
        <f>'A) Base RI'!AQ73</f>
        <v>0</v>
      </c>
      <c r="F73" s="31">
        <f>'A) Base RI'!AR73</f>
        <v>-674.01</v>
      </c>
      <c r="G73" s="412">
        <f t="shared" si="6"/>
        <v>4537238.1000000006</v>
      </c>
      <c r="H73" s="10">
        <f>+'A) Base RI'!E73</f>
        <v>0</v>
      </c>
      <c r="I73" s="10">
        <f>+'A) Base RI'!F73</f>
        <v>0</v>
      </c>
      <c r="J73" s="10">
        <f>+'A) Base RI'!G73+'A) Base RI'!H73+'A) Base RI'!X73</f>
        <v>974404.7</v>
      </c>
      <c r="K73" s="10">
        <f>+'A) Base RI'!I73</f>
        <v>0</v>
      </c>
      <c r="L73" s="10">
        <f>+'A) Base RI'!J73</f>
        <v>-6530.17</v>
      </c>
      <c r="M73" s="10">
        <f>+'A) Base RI'!K73</f>
        <v>14177.8</v>
      </c>
      <c r="N73" s="10">
        <f>+'A) Base RI'!Q73</f>
        <v>1740.47</v>
      </c>
      <c r="O73" s="10">
        <f t="shared" si="7"/>
        <v>370039</v>
      </c>
      <c r="P73" s="10">
        <f>+'A) Base RI'!L73</f>
        <v>444046.8</v>
      </c>
      <c r="Q73" s="34">
        <f>'A) Base RI'!AS73</f>
        <v>1.2</v>
      </c>
      <c r="R73" s="412">
        <f t="shared" si="8"/>
        <v>5891069.9000000004</v>
      </c>
      <c r="S73" s="33">
        <f>+'A) Base RI'!AN73</f>
        <v>67</v>
      </c>
      <c r="T73" s="412">
        <f t="shared" si="9"/>
        <v>5506853.1000000006</v>
      </c>
      <c r="U73" s="412">
        <f t="shared" si="10"/>
        <v>87926.416417910455</v>
      </c>
      <c r="V73" s="10">
        <f>+'A) Base RI'!O73</f>
        <v>8647</v>
      </c>
      <c r="W73" s="10">
        <f>+'A) Base RI'!P73</f>
        <v>108087.95</v>
      </c>
      <c r="X73" s="10">
        <f>+'A) Base RI'!R73</f>
        <v>244724.9</v>
      </c>
      <c r="Y73" s="412">
        <f t="shared" si="11"/>
        <v>361459.85</v>
      </c>
      <c r="Z73" s="10">
        <f>+'A) Base RI'!N73</f>
        <v>86713.7</v>
      </c>
      <c r="AA73" s="10">
        <f>'A) Base RI'!AO73</f>
        <v>1295</v>
      </c>
    </row>
    <row r="74" spans="1:27" x14ac:dyDescent="0.25">
      <c r="A74" s="8">
        <f>'A) Base RI'!A74</f>
        <v>5511</v>
      </c>
      <c r="B74" s="32" t="str">
        <f>'A) Base RI'!B74</f>
        <v>Assens</v>
      </c>
      <c r="C74" s="10">
        <f>'A) Base RI'!C74+'A) Base RI'!D74</f>
        <v>2776350.96</v>
      </c>
      <c r="D74" s="10">
        <f>'A) Base RI'!AP74</f>
        <v>-11264.89</v>
      </c>
      <c r="E74" s="31">
        <f>'A) Base RI'!AQ74</f>
        <v>0</v>
      </c>
      <c r="F74" s="31">
        <f>'A) Base RI'!AR74</f>
        <v>-107.75</v>
      </c>
      <c r="G74" s="412">
        <f t="shared" si="6"/>
        <v>2764978.32</v>
      </c>
      <c r="H74" s="10">
        <f>+'A) Base RI'!E74</f>
        <v>0</v>
      </c>
      <c r="I74" s="10">
        <f>+'A) Base RI'!F74</f>
        <v>0</v>
      </c>
      <c r="J74" s="10">
        <f>+'A) Base RI'!G74+'A) Base RI'!H74+'A) Base RI'!X74</f>
        <v>458816.05</v>
      </c>
      <c r="K74" s="10">
        <f>+'A) Base RI'!I74</f>
        <v>0</v>
      </c>
      <c r="L74" s="10">
        <f>+'A) Base RI'!J74</f>
        <v>38822.199999999997</v>
      </c>
      <c r="M74" s="10">
        <f>+'A) Base RI'!K74</f>
        <v>2421</v>
      </c>
      <c r="N74" s="10">
        <f>+'A) Base RI'!Q74</f>
        <v>2401.69</v>
      </c>
      <c r="O74" s="10">
        <f t="shared" si="7"/>
        <v>237314.05</v>
      </c>
      <c r="P74" s="10">
        <f>+'A) Base RI'!L74</f>
        <v>237314.05</v>
      </c>
      <c r="Q74" s="34">
        <f>'A) Base RI'!AS74</f>
        <v>1</v>
      </c>
      <c r="R74" s="412">
        <f t="shared" si="8"/>
        <v>3504753.3099999996</v>
      </c>
      <c r="S74" s="33">
        <f>+'A) Base RI'!AN74</f>
        <v>70</v>
      </c>
      <c r="T74" s="412">
        <f t="shared" si="9"/>
        <v>3265018.26</v>
      </c>
      <c r="U74" s="412">
        <f t="shared" si="10"/>
        <v>50067.904428571426</v>
      </c>
      <c r="V74" s="10">
        <f>+'A) Base RI'!O74</f>
        <v>0</v>
      </c>
      <c r="W74" s="10">
        <f>+'A) Base RI'!P74</f>
        <v>142023.45000000001</v>
      </c>
      <c r="X74" s="10">
        <f>+'A) Base RI'!R74</f>
        <v>97499.9</v>
      </c>
      <c r="Y74" s="412">
        <f t="shared" si="11"/>
        <v>239523.35</v>
      </c>
      <c r="Z74" s="10">
        <f>+'A) Base RI'!N74</f>
        <v>11964.55</v>
      </c>
      <c r="AA74" s="10">
        <f>'A) Base RI'!AO74</f>
        <v>1074</v>
      </c>
    </row>
    <row r="75" spans="1:27" x14ac:dyDescent="0.25">
      <c r="A75" s="8">
        <f>'A) Base RI'!A75</f>
        <v>5512</v>
      </c>
      <c r="B75" s="32" t="str">
        <f>'A) Base RI'!B75</f>
        <v>Bercher</v>
      </c>
      <c r="C75" s="10">
        <f>'A) Base RI'!C75+'A) Base RI'!D75</f>
        <v>2780440.13</v>
      </c>
      <c r="D75" s="10">
        <f>'A) Base RI'!AP75</f>
        <v>-29974.03</v>
      </c>
      <c r="E75" s="31">
        <f>'A) Base RI'!AQ75</f>
        <v>0</v>
      </c>
      <c r="F75" s="31">
        <f>'A) Base RI'!AR75</f>
        <v>-903.29</v>
      </c>
      <c r="G75" s="412">
        <f t="shared" si="6"/>
        <v>2749562.81</v>
      </c>
      <c r="H75" s="10">
        <f>+'A) Base RI'!E75</f>
        <v>0</v>
      </c>
      <c r="I75" s="10">
        <f>+'A) Base RI'!F75</f>
        <v>0</v>
      </c>
      <c r="J75" s="10">
        <f>+'A) Base RI'!G75+'A) Base RI'!H75+'A) Base RI'!X75</f>
        <v>77677.400000000009</v>
      </c>
      <c r="K75" s="10">
        <f>+'A) Base RI'!I75</f>
        <v>0</v>
      </c>
      <c r="L75" s="10">
        <f>+'A) Base RI'!J75</f>
        <v>64914.23</v>
      </c>
      <c r="M75" s="10">
        <f>+'A) Base RI'!K75</f>
        <v>7584.7</v>
      </c>
      <c r="N75" s="10">
        <f>+'A) Base RI'!Q75</f>
        <v>10670.15</v>
      </c>
      <c r="O75" s="10">
        <f t="shared" si="7"/>
        <v>250033</v>
      </c>
      <c r="P75" s="10">
        <f>+'A) Base RI'!L75</f>
        <v>250033</v>
      </c>
      <c r="Q75" s="34">
        <f>'A) Base RI'!AS75</f>
        <v>1</v>
      </c>
      <c r="R75" s="412">
        <f t="shared" si="8"/>
        <v>3160442.29</v>
      </c>
      <c r="S75" s="33">
        <f>+'A) Base RI'!AN75</f>
        <v>79</v>
      </c>
      <c r="T75" s="412">
        <f t="shared" si="9"/>
        <v>2902824.59</v>
      </c>
      <c r="U75" s="412">
        <f t="shared" si="10"/>
        <v>40005.59860759494</v>
      </c>
      <c r="V75" s="10">
        <f>+'A) Base RI'!O75</f>
        <v>4694.5</v>
      </c>
      <c r="W75" s="10">
        <f>+'A) Base RI'!P75</f>
        <v>82116.75</v>
      </c>
      <c r="X75" s="10">
        <f>+'A) Base RI'!R75</f>
        <v>56380.95</v>
      </c>
      <c r="Y75" s="412">
        <f t="shared" si="11"/>
        <v>143192.20000000001</v>
      </c>
      <c r="Z75" s="10">
        <f>+'A) Base RI'!N75</f>
        <v>54197.25</v>
      </c>
      <c r="AA75" s="10">
        <f>'A) Base RI'!AO75</f>
        <v>1280</v>
      </c>
    </row>
    <row r="76" spans="1:27" x14ac:dyDescent="0.25">
      <c r="A76" s="8">
        <f>'A) Base RI'!A76</f>
        <v>5513</v>
      </c>
      <c r="B76" s="32" t="str">
        <f>'A) Base RI'!B76</f>
        <v>Bioley-Orjulaz</v>
      </c>
      <c r="C76" s="10">
        <f>'A) Base RI'!C76+'A) Base RI'!D76</f>
        <v>1146514.6800000002</v>
      </c>
      <c r="D76" s="10">
        <f>'A) Base RI'!AP76</f>
        <v>-26769.8</v>
      </c>
      <c r="E76" s="31">
        <f>'A) Base RI'!AQ76</f>
        <v>0</v>
      </c>
      <c r="F76" s="31">
        <f>'A) Base RI'!AR76</f>
        <v>-7.0000000000000007E-2</v>
      </c>
      <c r="G76" s="412">
        <f t="shared" si="6"/>
        <v>1119744.81</v>
      </c>
      <c r="H76" s="10">
        <f>+'A) Base RI'!E76</f>
        <v>0</v>
      </c>
      <c r="I76" s="10">
        <f>+'A) Base RI'!F76</f>
        <v>0</v>
      </c>
      <c r="J76" s="10">
        <f>+'A) Base RI'!G76+'A) Base RI'!H76+'A) Base RI'!X76</f>
        <v>187310.25000000009</v>
      </c>
      <c r="K76" s="10">
        <f>+'A) Base RI'!I76</f>
        <v>0</v>
      </c>
      <c r="L76" s="10">
        <f>+'A) Base RI'!J76</f>
        <v>60903.24</v>
      </c>
      <c r="M76" s="10">
        <f>+'A) Base RI'!K76</f>
        <v>10166.75</v>
      </c>
      <c r="N76" s="10">
        <f>+'A) Base RI'!Q76</f>
        <v>5329.29</v>
      </c>
      <c r="O76" s="10">
        <f t="shared" si="7"/>
        <v>115071.6</v>
      </c>
      <c r="P76" s="10">
        <f>+'A) Base RI'!L76</f>
        <v>57535.8</v>
      </c>
      <c r="Q76" s="34">
        <f>'A) Base RI'!AS76</f>
        <v>0.5</v>
      </c>
      <c r="R76" s="412">
        <f t="shared" si="8"/>
        <v>1498525.9400000002</v>
      </c>
      <c r="S76" s="33">
        <f>+'A) Base RI'!AN76</f>
        <v>68</v>
      </c>
      <c r="T76" s="412">
        <f t="shared" si="9"/>
        <v>1373287.59</v>
      </c>
      <c r="U76" s="412">
        <f t="shared" si="10"/>
        <v>22037.146176470589</v>
      </c>
      <c r="V76" s="10">
        <f>+'A) Base RI'!O76</f>
        <v>6159.8</v>
      </c>
      <c r="W76" s="10">
        <f>+'A) Base RI'!P76</f>
        <v>34142.35</v>
      </c>
      <c r="X76" s="10">
        <f>+'A) Base RI'!R76</f>
        <v>7883.9</v>
      </c>
      <c r="Y76" s="412">
        <f t="shared" si="11"/>
        <v>48186.05</v>
      </c>
      <c r="Z76" s="10">
        <f>+'A) Base RI'!N76</f>
        <v>131251.35</v>
      </c>
      <c r="AA76" s="10">
        <f>'A) Base RI'!AO76</f>
        <v>521</v>
      </c>
    </row>
    <row r="77" spans="1:27" x14ac:dyDescent="0.25">
      <c r="A77" s="8">
        <f>'A) Base RI'!A77</f>
        <v>5514</v>
      </c>
      <c r="B77" s="32" t="str">
        <f>'A) Base RI'!B77</f>
        <v>Bottens</v>
      </c>
      <c r="C77" s="10">
        <f>'A) Base RI'!C77+'A) Base RI'!D77</f>
        <v>2634482.5599999996</v>
      </c>
      <c r="D77" s="10">
        <f>'A) Base RI'!AP77</f>
        <v>-33981.769999999997</v>
      </c>
      <c r="E77" s="31">
        <f>'A) Base RI'!AQ77</f>
        <v>0</v>
      </c>
      <c r="F77" s="31">
        <f>'A) Base RI'!AR77</f>
        <v>-27.07</v>
      </c>
      <c r="G77" s="412">
        <f t="shared" si="6"/>
        <v>2600473.7199999997</v>
      </c>
      <c r="H77" s="10">
        <f>+'A) Base RI'!E77</f>
        <v>0</v>
      </c>
      <c r="I77" s="10">
        <f>+'A) Base RI'!F77</f>
        <v>0</v>
      </c>
      <c r="J77" s="10">
        <f>+'A) Base RI'!G77+'A) Base RI'!H77+'A) Base RI'!X77</f>
        <v>58269.75</v>
      </c>
      <c r="K77" s="10">
        <f>+'A) Base RI'!I77</f>
        <v>36479.1</v>
      </c>
      <c r="L77" s="10">
        <f>+'A) Base RI'!J77</f>
        <v>66329.039999999994</v>
      </c>
      <c r="M77" s="10">
        <f>+'A) Base RI'!K77</f>
        <v>9875.5</v>
      </c>
      <c r="N77" s="10">
        <f>+'A) Base RI'!Q77</f>
        <v>16240.68</v>
      </c>
      <c r="O77" s="10">
        <f t="shared" si="7"/>
        <v>230359.8</v>
      </c>
      <c r="P77" s="10">
        <f>+'A) Base RI'!L77</f>
        <v>230359.8</v>
      </c>
      <c r="Q77" s="34">
        <f>'A) Base RI'!AS77</f>
        <v>1</v>
      </c>
      <c r="R77" s="412">
        <f t="shared" si="8"/>
        <v>3018027.59</v>
      </c>
      <c r="S77" s="33">
        <f>+'A) Base RI'!AN77</f>
        <v>74</v>
      </c>
      <c r="T77" s="412">
        <f t="shared" si="9"/>
        <v>2777792.29</v>
      </c>
      <c r="U77" s="412">
        <f t="shared" si="10"/>
        <v>40784.156621621616</v>
      </c>
      <c r="V77" s="10">
        <f>+'A) Base RI'!O77</f>
        <v>0</v>
      </c>
      <c r="W77" s="10">
        <f>+'A) Base RI'!P77</f>
        <v>57619.85</v>
      </c>
      <c r="X77" s="10">
        <f>+'A) Base RI'!R77</f>
        <v>65627.399999999994</v>
      </c>
      <c r="Y77" s="412">
        <f t="shared" si="11"/>
        <v>123247.25</v>
      </c>
      <c r="Z77" s="10">
        <f>+'A) Base RI'!N77</f>
        <v>5546.8</v>
      </c>
      <c r="AA77" s="10">
        <f>'A) Base RI'!AO77</f>
        <v>1299</v>
      </c>
    </row>
    <row r="78" spans="1:27" x14ac:dyDescent="0.25">
      <c r="A78" s="8">
        <f>'A) Base RI'!A78</f>
        <v>5515</v>
      </c>
      <c r="B78" s="32" t="str">
        <f>'A) Base RI'!B78</f>
        <v>Bretigny-sur-Morrens</v>
      </c>
      <c r="C78" s="10">
        <f>'A) Base RI'!C78+'A) Base RI'!D78</f>
        <v>2194091.0699999998</v>
      </c>
      <c r="D78" s="10">
        <f>'A) Base RI'!AP78</f>
        <v>-92741.65</v>
      </c>
      <c r="E78" s="31">
        <f>'A) Base RI'!AQ78</f>
        <v>-855.55</v>
      </c>
      <c r="F78" s="31">
        <f>'A) Base RI'!AR78</f>
        <v>0.05</v>
      </c>
      <c r="G78" s="412">
        <f t="shared" si="6"/>
        <v>2100493.92</v>
      </c>
      <c r="H78" s="10">
        <f>+'A) Base RI'!E78</f>
        <v>0</v>
      </c>
      <c r="I78" s="10">
        <f>+'A) Base RI'!F78</f>
        <v>0</v>
      </c>
      <c r="J78" s="10">
        <f>+'A) Base RI'!G78+'A) Base RI'!H78+'A) Base RI'!X78</f>
        <v>6119.35</v>
      </c>
      <c r="K78" s="10">
        <f>+'A) Base RI'!I78</f>
        <v>0</v>
      </c>
      <c r="L78" s="10">
        <f>+'A) Base RI'!J78</f>
        <v>60964.72</v>
      </c>
      <c r="M78" s="10">
        <f>+'A) Base RI'!K78</f>
        <v>4856.05</v>
      </c>
      <c r="N78" s="10">
        <f>+'A) Base RI'!Q78</f>
        <v>645.6</v>
      </c>
      <c r="O78" s="10">
        <f t="shared" si="7"/>
        <v>161813.95000000001</v>
      </c>
      <c r="P78" s="10">
        <f>+'A) Base RI'!L78</f>
        <v>161813.95000000001</v>
      </c>
      <c r="Q78" s="34">
        <f>'A) Base RI'!AS78</f>
        <v>1</v>
      </c>
      <c r="R78" s="412">
        <f t="shared" si="8"/>
        <v>2334893.5900000003</v>
      </c>
      <c r="S78" s="33">
        <f>+'A) Base RI'!AN78</f>
        <v>81</v>
      </c>
      <c r="T78" s="412">
        <f t="shared" si="9"/>
        <v>2168223.5900000003</v>
      </c>
      <c r="U78" s="412">
        <f t="shared" si="10"/>
        <v>28825.846790123462</v>
      </c>
      <c r="V78" s="10">
        <f>+'A) Base RI'!O78</f>
        <v>0</v>
      </c>
      <c r="W78" s="10">
        <f>+'A) Base RI'!P78</f>
        <v>162427.6</v>
      </c>
      <c r="X78" s="10">
        <f>+'A) Base RI'!R78</f>
        <v>24956.5</v>
      </c>
      <c r="Y78" s="412">
        <f t="shared" si="11"/>
        <v>187384.1</v>
      </c>
      <c r="Z78" s="10">
        <f>+'A) Base RI'!N78</f>
        <v>8303</v>
      </c>
      <c r="AA78" s="10">
        <f>'A) Base RI'!AO78</f>
        <v>861</v>
      </c>
    </row>
    <row r="79" spans="1:27" x14ac:dyDescent="0.25">
      <c r="A79" s="8">
        <f>'A) Base RI'!A79</f>
        <v>5516</v>
      </c>
      <c r="B79" s="32" t="str">
        <f>'A) Base RI'!B79</f>
        <v>Cugy</v>
      </c>
      <c r="C79" s="10">
        <f>'A) Base RI'!C79+'A) Base RI'!D79</f>
        <v>7884996.7599999998</v>
      </c>
      <c r="D79" s="10">
        <f>'A) Base RI'!AP79</f>
        <v>-144740.09</v>
      </c>
      <c r="E79" s="31">
        <f>'A) Base RI'!AQ79</f>
        <v>0</v>
      </c>
      <c r="F79" s="31">
        <f>'A) Base RI'!AR79</f>
        <v>-2180.11</v>
      </c>
      <c r="G79" s="412">
        <f t="shared" si="6"/>
        <v>7738076.5599999996</v>
      </c>
      <c r="H79" s="10">
        <f>+'A) Base RI'!E79</f>
        <v>0</v>
      </c>
      <c r="I79" s="10">
        <f>+'A) Base RI'!F79</f>
        <v>0</v>
      </c>
      <c r="J79" s="10">
        <f>+'A) Base RI'!G79+'A) Base RI'!H79+'A) Base RI'!X79</f>
        <v>162582.45000000001</v>
      </c>
      <c r="K79" s="10">
        <f>+'A) Base RI'!I79</f>
        <v>804.45</v>
      </c>
      <c r="L79" s="10">
        <f>+'A) Base RI'!J79</f>
        <v>119548.36</v>
      </c>
      <c r="M79" s="10">
        <f>+'A) Base RI'!K79</f>
        <v>26829.7</v>
      </c>
      <c r="N79" s="10">
        <f>+'A) Base RI'!Q79</f>
        <v>46876.55</v>
      </c>
      <c r="O79" s="10">
        <f t="shared" si="7"/>
        <v>576002.20833333337</v>
      </c>
      <c r="P79" s="10">
        <f>+'A) Base RI'!L79</f>
        <v>691202.65</v>
      </c>
      <c r="Q79" s="34">
        <f>'A) Base RI'!AS79</f>
        <v>1.2</v>
      </c>
      <c r="R79" s="412">
        <f t="shared" si="8"/>
        <v>8670720.2783333343</v>
      </c>
      <c r="S79" s="33">
        <f>+'A) Base RI'!AN79</f>
        <v>78</v>
      </c>
      <c r="T79" s="412">
        <f t="shared" si="9"/>
        <v>8067888.3700000001</v>
      </c>
      <c r="U79" s="412">
        <f t="shared" si="10"/>
        <v>111163.080491453</v>
      </c>
      <c r="V79" s="10">
        <f>+'A) Base RI'!O79</f>
        <v>0</v>
      </c>
      <c r="W79" s="10">
        <f>+'A) Base RI'!P79</f>
        <v>166230.79999999999</v>
      </c>
      <c r="X79" s="10">
        <f>+'A) Base RI'!R79</f>
        <v>80093.95</v>
      </c>
      <c r="Y79" s="412">
        <f t="shared" si="11"/>
        <v>246324.75</v>
      </c>
      <c r="Z79" s="10">
        <f>+'A) Base RI'!N79</f>
        <v>81623.75</v>
      </c>
      <c r="AA79" s="10">
        <f>'A) Base RI'!AO79</f>
        <v>2768</v>
      </c>
    </row>
    <row r="80" spans="1:27" x14ac:dyDescent="0.25">
      <c r="A80" s="8">
        <f>'A) Base RI'!A80</f>
        <v>5518</v>
      </c>
      <c r="B80" s="32" t="str">
        <f>'A) Base RI'!B80</f>
        <v>Echallens</v>
      </c>
      <c r="C80" s="10">
        <f>'A) Base RI'!C80+'A) Base RI'!D80</f>
        <v>12117174.18</v>
      </c>
      <c r="D80" s="10">
        <f>'A) Base RI'!AP80</f>
        <v>-326551.06</v>
      </c>
      <c r="E80" s="31">
        <f>'A) Base RI'!AQ80</f>
        <v>0</v>
      </c>
      <c r="F80" s="31">
        <f>'A) Base RI'!AR80</f>
        <v>-1447.36</v>
      </c>
      <c r="G80" s="412">
        <f t="shared" si="6"/>
        <v>11789175.76</v>
      </c>
      <c r="H80" s="10">
        <f>+'A) Base RI'!E80</f>
        <v>0</v>
      </c>
      <c r="I80" s="10">
        <f>+'A) Base RI'!F80</f>
        <v>0</v>
      </c>
      <c r="J80" s="10">
        <f>+'A) Base RI'!G80+'A) Base RI'!H80+'A) Base RI'!X80</f>
        <v>715168.65</v>
      </c>
      <c r="K80" s="10">
        <f>+'A) Base RI'!I80</f>
        <v>0</v>
      </c>
      <c r="L80" s="10">
        <f>+'A) Base RI'!J80</f>
        <v>220538.18</v>
      </c>
      <c r="M80" s="10">
        <f>+'A) Base RI'!K80</f>
        <v>55525.4</v>
      </c>
      <c r="N80" s="10">
        <f>+'A) Base RI'!Q80</f>
        <v>70193.87</v>
      </c>
      <c r="O80" s="10">
        <f t="shared" si="7"/>
        <v>1047812.85</v>
      </c>
      <c r="P80" s="10">
        <f>+'A) Base RI'!L80</f>
        <v>1047812.85</v>
      </c>
      <c r="Q80" s="34">
        <f>'A) Base RI'!AS80</f>
        <v>1</v>
      </c>
      <c r="R80" s="412">
        <f t="shared" si="8"/>
        <v>13898414.709999999</v>
      </c>
      <c r="S80" s="33">
        <f>+'A) Base RI'!AN80</f>
        <v>74</v>
      </c>
      <c r="T80" s="412">
        <f t="shared" si="9"/>
        <v>12795076.459999999</v>
      </c>
      <c r="U80" s="412">
        <f t="shared" si="10"/>
        <v>187816.41499999998</v>
      </c>
      <c r="V80" s="10">
        <f>+'A) Base RI'!O80</f>
        <v>64299.6</v>
      </c>
      <c r="W80" s="10">
        <f>+'A) Base RI'!P80</f>
        <v>1137846.8</v>
      </c>
      <c r="X80" s="10">
        <f>+'A) Base RI'!R80</f>
        <v>233674.95</v>
      </c>
      <c r="Y80" s="412">
        <f t="shared" si="11"/>
        <v>1435821.35</v>
      </c>
      <c r="Z80" s="10">
        <f>+'A) Base RI'!N80</f>
        <v>155319.45000000001</v>
      </c>
      <c r="AA80" s="10">
        <f>'A) Base RI'!AO80</f>
        <v>5725</v>
      </c>
    </row>
    <row r="81" spans="1:27" x14ac:dyDescent="0.25">
      <c r="A81" s="8">
        <f>'A) Base RI'!A81</f>
        <v>5520</v>
      </c>
      <c r="B81" s="32" t="str">
        <f>'A) Base RI'!B81</f>
        <v>Essertines-sur-Yverdon</v>
      </c>
      <c r="C81" s="10">
        <f>'A) Base RI'!C81+'A) Base RI'!D81</f>
        <v>1963426.9700000002</v>
      </c>
      <c r="D81" s="10">
        <f>'A) Base RI'!AP81</f>
        <v>-24676.41</v>
      </c>
      <c r="E81" s="31">
        <f>'A) Base RI'!AQ81</f>
        <v>0</v>
      </c>
      <c r="F81" s="31">
        <f>'A) Base RI'!AR81</f>
        <v>-141.34</v>
      </c>
      <c r="G81" s="412">
        <f t="shared" si="6"/>
        <v>1938609.2200000002</v>
      </c>
      <c r="H81" s="10">
        <f>+'A) Base RI'!E81</f>
        <v>0</v>
      </c>
      <c r="I81" s="10">
        <f>+'A) Base RI'!F81</f>
        <v>0</v>
      </c>
      <c r="J81" s="10">
        <f>+'A) Base RI'!G81+'A) Base RI'!H81+'A) Base RI'!X81</f>
        <v>23076.85</v>
      </c>
      <c r="K81" s="10">
        <f>+'A) Base RI'!I81</f>
        <v>0</v>
      </c>
      <c r="L81" s="10">
        <f>+'A) Base RI'!J81</f>
        <v>12580.81</v>
      </c>
      <c r="M81" s="10">
        <f>+'A) Base RI'!K81</f>
        <v>3421.25</v>
      </c>
      <c r="N81" s="10">
        <f>+'A) Base RI'!Q81</f>
        <v>20059.57</v>
      </c>
      <c r="O81" s="10">
        <f t="shared" si="7"/>
        <v>181911.15</v>
      </c>
      <c r="P81" s="10">
        <f>+'A) Base RI'!L81</f>
        <v>181911.15</v>
      </c>
      <c r="Q81" s="34">
        <f>'A) Base RI'!AS81</f>
        <v>1</v>
      </c>
      <c r="R81" s="412">
        <f t="shared" si="8"/>
        <v>2179658.8500000006</v>
      </c>
      <c r="S81" s="33">
        <f>+'A) Base RI'!AN81</f>
        <v>73</v>
      </c>
      <c r="T81" s="412">
        <f t="shared" si="9"/>
        <v>1994326.4500000004</v>
      </c>
      <c r="U81" s="412">
        <f t="shared" si="10"/>
        <v>29858.34041095891</v>
      </c>
      <c r="V81" s="10">
        <f>+'A) Base RI'!O81</f>
        <v>-17472.099999999999</v>
      </c>
      <c r="W81" s="10">
        <f>+'A) Base RI'!P81</f>
        <v>103141.75</v>
      </c>
      <c r="X81" s="10">
        <f>+'A) Base RI'!R81</f>
        <v>40313.949999999997</v>
      </c>
      <c r="Y81" s="412">
        <f t="shared" si="11"/>
        <v>125983.59999999999</v>
      </c>
      <c r="Z81" s="10">
        <f>+'A) Base RI'!N81</f>
        <v>0</v>
      </c>
      <c r="AA81" s="10">
        <f>'A) Base RI'!AO81</f>
        <v>1030</v>
      </c>
    </row>
    <row r="82" spans="1:27" x14ac:dyDescent="0.25">
      <c r="A82" s="8">
        <f>'A) Base RI'!A82</f>
        <v>5521</v>
      </c>
      <c r="B82" s="32" t="str">
        <f>'A) Base RI'!B82</f>
        <v>Etagnières</v>
      </c>
      <c r="C82" s="10">
        <f>'A) Base RI'!C82+'A) Base RI'!D82</f>
        <v>3157746.67</v>
      </c>
      <c r="D82" s="10">
        <f>'A) Base RI'!AP82</f>
        <v>-19066.88</v>
      </c>
      <c r="E82" s="31">
        <f>'A) Base RI'!AQ82</f>
        <v>0</v>
      </c>
      <c r="F82" s="31">
        <f>'A) Base RI'!AR82</f>
        <v>-484.24</v>
      </c>
      <c r="G82" s="412">
        <f t="shared" si="6"/>
        <v>3138195.55</v>
      </c>
      <c r="H82" s="10">
        <f>+'A) Base RI'!E82</f>
        <v>0</v>
      </c>
      <c r="I82" s="10">
        <f>+'A) Base RI'!F82</f>
        <v>0</v>
      </c>
      <c r="J82" s="10">
        <f>+'A) Base RI'!G82+'A) Base RI'!H82+'A) Base RI'!X82</f>
        <v>70663.850000000006</v>
      </c>
      <c r="K82" s="10">
        <f>+'A) Base RI'!I82</f>
        <v>0</v>
      </c>
      <c r="L82" s="10">
        <f>+'A) Base RI'!J82</f>
        <v>50029.01</v>
      </c>
      <c r="M82" s="10">
        <f>+'A) Base RI'!K82</f>
        <v>17056.25</v>
      </c>
      <c r="N82" s="10">
        <f>+'A) Base RI'!Q82</f>
        <v>1013.43</v>
      </c>
      <c r="O82" s="10">
        <f t="shared" si="7"/>
        <v>247388.7</v>
      </c>
      <c r="P82" s="10">
        <f>+'A) Base RI'!L82</f>
        <v>247388.7</v>
      </c>
      <c r="Q82" s="34">
        <f>'A) Base RI'!AS82</f>
        <v>1</v>
      </c>
      <c r="R82" s="412">
        <f t="shared" si="8"/>
        <v>3524346.79</v>
      </c>
      <c r="S82" s="33">
        <f>+'A) Base RI'!AN82</f>
        <v>73</v>
      </c>
      <c r="T82" s="412">
        <f t="shared" si="9"/>
        <v>3259901.84</v>
      </c>
      <c r="U82" s="412">
        <f t="shared" si="10"/>
        <v>48278.723150684935</v>
      </c>
      <c r="V82" s="10">
        <f>+'A) Base RI'!O82</f>
        <v>0</v>
      </c>
      <c r="W82" s="10">
        <f>+'A) Base RI'!P82</f>
        <v>146942.95000000001</v>
      </c>
      <c r="X82" s="10">
        <f>+'A) Base RI'!R82</f>
        <v>88958.5</v>
      </c>
      <c r="Y82" s="412">
        <f t="shared" si="11"/>
        <v>235901.45</v>
      </c>
      <c r="Z82" s="10">
        <f>+'A) Base RI'!N82</f>
        <v>46383.55</v>
      </c>
      <c r="AA82" s="10">
        <f>'A) Base RI'!AO82</f>
        <v>1143</v>
      </c>
    </row>
    <row r="83" spans="1:27" x14ac:dyDescent="0.25">
      <c r="A83" s="8">
        <f>'A) Base RI'!A83</f>
        <v>5522</v>
      </c>
      <c r="B83" s="32" t="str">
        <f>'A) Base RI'!B83</f>
        <v>Fey</v>
      </c>
      <c r="C83" s="10">
        <f>'A) Base RI'!C83+'A) Base RI'!D83</f>
        <v>1603217.69</v>
      </c>
      <c r="D83" s="10">
        <f>'A) Base RI'!AP83</f>
        <v>-33381.32</v>
      </c>
      <c r="E83" s="31">
        <f>'A) Base RI'!AQ83</f>
        <v>0</v>
      </c>
      <c r="F83" s="31">
        <f>'A) Base RI'!AR83</f>
        <v>-12.73</v>
      </c>
      <c r="G83" s="412">
        <f t="shared" si="6"/>
        <v>1569823.64</v>
      </c>
      <c r="H83" s="10">
        <f>+'A) Base RI'!E83</f>
        <v>0</v>
      </c>
      <c r="I83" s="10">
        <f>+'A) Base RI'!F83</f>
        <v>0</v>
      </c>
      <c r="J83" s="10">
        <f>+'A) Base RI'!G83+'A) Base RI'!H83+'A) Base RI'!X83</f>
        <v>-1062.6000000000004</v>
      </c>
      <c r="K83" s="10">
        <f>+'A) Base RI'!I83</f>
        <v>0</v>
      </c>
      <c r="L83" s="10">
        <f>+'A) Base RI'!J83</f>
        <v>-5465.24</v>
      </c>
      <c r="M83" s="10">
        <f>+'A) Base RI'!K83</f>
        <v>2219.9499999999998</v>
      </c>
      <c r="N83" s="10">
        <f>+'A) Base RI'!Q83</f>
        <v>6406.08</v>
      </c>
      <c r="O83" s="10">
        <f t="shared" si="7"/>
        <v>132643.6</v>
      </c>
      <c r="P83" s="10">
        <f>+'A) Base RI'!L83</f>
        <v>132643.6</v>
      </c>
      <c r="Q83" s="34">
        <f>'A) Base RI'!AS83</f>
        <v>1</v>
      </c>
      <c r="R83" s="412">
        <f t="shared" si="8"/>
        <v>1704565.43</v>
      </c>
      <c r="S83" s="33">
        <f>+'A) Base RI'!AN83</f>
        <v>75</v>
      </c>
      <c r="T83" s="412">
        <f t="shared" si="9"/>
        <v>1569701.88</v>
      </c>
      <c r="U83" s="412">
        <f t="shared" si="10"/>
        <v>22727.539066666664</v>
      </c>
      <c r="V83" s="10">
        <f>+'A) Base RI'!O83</f>
        <v>0</v>
      </c>
      <c r="W83" s="10">
        <f>+'A) Base RI'!P83</f>
        <v>93179.199999999997</v>
      </c>
      <c r="X83" s="10">
        <f>+'A) Base RI'!R83</f>
        <v>3417.45</v>
      </c>
      <c r="Y83" s="412">
        <f t="shared" si="11"/>
        <v>96596.65</v>
      </c>
      <c r="Z83" s="10">
        <f>+'A) Base RI'!N83</f>
        <v>12806.3</v>
      </c>
      <c r="AA83" s="10">
        <f>'A) Base RI'!AO83</f>
        <v>751</v>
      </c>
    </row>
    <row r="84" spans="1:27" x14ac:dyDescent="0.25">
      <c r="A84" s="8">
        <f>'A) Base RI'!A84</f>
        <v>5523</v>
      </c>
      <c r="B84" s="32" t="str">
        <f>'A) Base RI'!B84</f>
        <v>Froideville</v>
      </c>
      <c r="C84" s="10">
        <f>'A) Base RI'!C84+'A) Base RI'!D84</f>
        <v>6158642.2799999993</v>
      </c>
      <c r="D84" s="10">
        <f>'A) Base RI'!AP84</f>
        <v>-91775.19</v>
      </c>
      <c r="E84" s="31">
        <f>'A) Base RI'!AQ84</f>
        <v>0</v>
      </c>
      <c r="F84" s="31">
        <f>'A) Base RI'!AR84</f>
        <v>-320.47000000000003</v>
      </c>
      <c r="G84" s="412">
        <f t="shared" si="6"/>
        <v>6066546.6199999992</v>
      </c>
      <c r="H84" s="10">
        <f>+'A) Base RI'!E84</f>
        <v>0</v>
      </c>
      <c r="I84" s="10">
        <f>+'A) Base RI'!F84</f>
        <v>14600</v>
      </c>
      <c r="J84" s="10">
        <f>+'A) Base RI'!G84+'A) Base RI'!H84+'A) Base RI'!X84</f>
        <v>55204.100000000006</v>
      </c>
      <c r="K84" s="10">
        <f>+'A) Base RI'!I84</f>
        <v>0</v>
      </c>
      <c r="L84" s="10">
        <f>+'A) Base RI'!J84</f>
        <v>70445.600000000006</v>
      </c>
      <c r="M84" s="10">
        <f>+'A) Base RI'!K84</f>
        <v>22553.9</v>
      </c>
      <c r="N84" s="10">
        <f>+'A) Base RI'!Q84</f>
        <v>54943.45</v>
      </c>
      <c r="O84" s="10">
        <f t="shared" si="7"/>
        <v>497317.6</v>
      </c>
      <c r="P84" s="10">
        <f>+'A) Base RI'!L84</f>
        <v>621647</v>
      </c>
      <c r="Q84" s="34">
        <f>'A) Base RI'!AS84</f>
        <v>1.25</v>
      </c>
      <c r="R84" s="412">
        <f t="shared" si="8"/>
        <v>6781611.2699999986</v>
      </c>
      <c r="S84" s="33">
        <f>+'A) Base RI'!AN84</f>
        <v>76</v>
      </c>
      <c r="T84" s="412">
        <f t="shared" si="9"/>
        <v>6247139.7699999986</v>
      </c>
      <c r="U84" s="412">
        <f t="shared" si="10"/>
        <v>89231.727236842082</v>
      </c>
      <c r="V84" s="10">
        <f>+'A) Base RI'!O84</f>
        <v>0</v>
      </c>
      <c r="W84" s="10">
        <f>+'A) Base RI'!P84</f>
        <v>167380.95000000001</v>
      </c>
      <c r="X84" s="10">
        <f>+'A) Base RI'!R84</f>
        <v>73824.600000000006</v>
      </c>
      <c r="Y84" s="412">
        <f t="shared" si="11"/>
        <v>241205.55000000002</v>
      </c>
      <c r="Z84" s="10">
        <f>+'A) Base RI'!N84</f>
        <v>14220.2</v>
      </c>
      <c r="AA84" s="10">
        <f>'A) Base RI'!AO84</f>
        <v>2638</v>
      </c>
    </row>
    <row r="85" spans="1:27" x14ac:dyDescent="0.25">
      <c r="A85" s="8">
        <f>'A) Base RI'!A85</f>
        <v>5527</v>
      </c>
      <c r="B85" s="32" t="str">
        <f>'A) Base RI'!B85</f>
        <v>Morrens</v>
      </c>
      <c r="C85" s="10">
        <f>'A) Base RI'!C85+'A) Base RI'!D85</f>
        <v>2685830.79</v>
      </c>
      <c r="D85" s="10">
        <f>'A) Base RI'!AP85</f>
        <v>-14468.92</v>
      </c>
      <c r="E85" s="31">
        <f>'A) Base RI'!AQ85</f>
        <v>-47.65</v>
      </c>
      <c r="F85" s="31">
        <f>'A) Base RI'!AR85</f>
        <v>-82.85</v>
      </c>
      <c r="G85" s="412">
        <f t="shared" si="6"/>
        <v>2671231.37</v>
      </c>
      <c r="H85" s="10">
        <f>+'A) Base RI'!E85</f>
        <v>0</v>
      </c>
      <c r="I85" s="10">
        <f>+'A) Base RI'!F85</f>
        <v>0</v>
      </c>
      <c r="J85" s="10">
        <f>+'A) Base RI'!G85+'A) Base RI'!H85+'A) Base RI'!X85</f>
        <v>33083.35</v>
      </c>
      <c r="K85" s="10">
        <f>+'A) Base RI'!I85</f>
        <v>0</v>
      </c>
      <c r="L85" s="10">
        <f>+'A) Base RI'!J85</f>
        <v>30263.48</v>
      </c>
      <c r="M85" s="10">
        <f>+'A) Base RI'!K85</f>
        <v>1930.95</v>
      </c>
      <c r="N85" s="10">
        <f>+'A) Base RI'!Q85</f>
        <v>4293.16</v>
      </c>
      <c r="O85" s="10">
        <f t="shared" si="7"/>
        <v>229347.6</v>
      </c>
      <c r="P85" s="10">
        <f>+'A) Base RI'!L85</f>
        <v>229347.6</v>
      </c>
      <c r="Q85" s="34">
        <f>'A) Base RI'!AS85</f>
        <v>1</v>
      </c>
      <c r="R85" s="412">
        <f t="shared" si="8"/>
        <v>2970149.9100000006</v>
      </c>
      <c r="S85" s="33">
        <f>+'A) Base RI'!AN85</f>
        <v>74</v>
      </c>
      <c r="T85" s="412">
        <f t="shared" si="9"/>
        <v>2738871.3600000003</v>
      </c>
      <c r="U85" s="412">
        <f t="shared" si="10"/>
        <v>40137.160945945958</v>
      </c>
      <c r="V85" s="10">
        <f>+'A) Base RI'!O85</f>
        <v>0</v>
      </c>
      <c r="W85" s="10">
        <f>+'A) Base RI'!P85</f>
        <v>78115</v>
      </c>
      <c r="X85" s="10">
        <f>+'A) Base RI'!R85</f>
        <v>153764.29999999999</v>
      </c>
      <c r="Y85" s="412">
        <f t="shared" si="11"/>
        <v>231879.3</v>
      </c>
      <c r="Z85" s="10">
        <f>+'A) Base RI'!N85</f>
        <v>9237.4500000000007</v>
      </c>
      <c r="AA85" s="10">
        <f>'A) Base RI'!AO85</f>
        <v>1126</v>
      </c>
    </row>
    <row r="86" spans="1:27" x14ac:dyDescent="0.25">
      <c r="A86" s="8">
        <f>'A) Base RI'!A86</f>
        <v>5529</v>
      </c>
      <c r="B86" s="32" t="str">
        <f>'A) Base RI'!B86</f>
        <v>Oulens-sous-Echallens</v>
      </c>
      <c r="C86" s="10">
        <f>'A) Base RI'!C86+'A) Base RI'!D86</f>
        <v>1331221.5</v>
      </c>
      <c r="D86" s="10">
        <f>'A) Base RI'!AP86</f>
        <v>-12718.16</v>
      </c>
      <c r="E86" s="31">
        <f>'A) Base RI'!AQ86</f>
        <v>0</v>
      </c>
      <c r="F86" s="31">
        <f>'A) Base RI'!AR86</f>
        <v>0</v>
      </c>
      <c r="G86" s="412">
        <f t="shared" si="6"/>
        <v>1318503.3400000001</v>
      </c>
      <c r="H86" s="10">
        <f>+'A) Base RI'!E86</f>
        <v>0</v>
      </c>
      <c r="I86" s="10">
        <f>+'A) Base RI'!F86</f>
        <v>0</v>
      </c>
      <c r="J86" s="10">
        <f>+'A) Base RI'!G86+'A) Base RI'!H86+'A) Base RI'!X86</f>
        <v>64280.750000000007</v>
      </c>
      <c r="K86" s="10">
        <f>+'A) Base RI'!I86</f>
        <v>0</v>
      </c>
      <c r="L86" s="10">
        <f>+'A) Base RI'!J86</f>
        <v>21140.07</v>
      </c>
      <c r="M86" s="10">
        <f>+'A) Base RI'!K86</f>
        <v>2560.25</v>
      </c>
      <c r="N86" s="10">
        <f>+'A) Base RI'!Q86</f>
        <v>7125.26</v>
      </c>
      <c r="O86" s="10">
        <f t="shared" si="7"/>
        <v>120175.6</v>
      </c>
      <c r="P86" s="10">
        <f>+'A) Base RI'!L86</f>
        <v>120175.6</v>
      </c>
      <c r="Q86" s="34">
        <f>'A) Base RI'!AS86</f>
        <v>1</v>
      </c>
      <c r="R86" s="412">
        <f t="shared" si="8"/>
        <v>1533785.2700000003</v>
      </c>
      <c r="S86" s="33">
        <f>+'A) Base RI'!AN86</f>
        <v>71</v>
      </c>
      <c r="T86" s="412">
        <f t="shared" si="9"/>
        <v>1411049.4200000002</v>
      </c>
      <c r="U86" s="412">
        <f t="shared" si="10"/>
        <v>21602.609436619721</v>
      </c>
      <c r="V86" s="10">
        <f>+'A) Base RI'!O86</f>
        <v>0</v>
      </c>
      <c r="W86" s="10">
        <f>+'A) Base RI'!P86</f>
        <v>39160</v>
      </c>
      <c r="X86" s="10">
        <f>+'A) Base RI'!R86</f>
        <v>38863.550000000003</v>
      </c>
      <c r="Y86" s="412">
        <f t="shared" si="11"/>
        <v>78023.55</v>
      </c>
      <c r="Z86" s="10">
        <f>+'A) Base RI'!N86</f>
        <v>1348.8</v>
      </c>
      <c r="AA86" s="10">
        <f>'A) Base RI'!AO86</f>
        <v>615</v>
      </c>
    </row>
    <row r="87" spans="1:27" x14ac:dyDescent="0.25">
      <c r="A87" s="8">
        <f>'A) Base RI'!A87</f>
        <v>5530</v>
      </c>
      <c r="B87" s="32" t="str">
        <f>'A) Base RI'!B87</f>
        <v>Pailly</v>
      </c>
      <c r="C87" s="10">
        <f>'A) Base RI'!C87+'A) Base RI'!D87</f>
        <v>1160785.6399999999</v>
      </c>
      <c r="D87" s="10">
        <f>'A) Base RI'!AP87</f>
        <v>-23002.29</v>
      </c>
      <c r="E87" s="31">
        <f>'A) Base RI'!AQ87</f>
        <v>0</v>
      </c>
      <c r="F87" s="31">
        <f>'A) Base RI'!AR87</f>
        <v>0</v>
      </c>
      <c r="G87" s="412">
        <f t="shared" si="6"/>
        <v>1137783.3499999999</v>
      </c>
      <c r="H87" s="10">
        <f>+'A) Base RI'!E87</f>
        <v>0</v>
      </c>
      <c r="I87" s="10">
        <f>+'A) Base RI'!F87</f>
        <v>0</v>
      </c>
      <c r="J87" s="10">
        <f>+'A) Base RI'!G87+'A) Base RI'!H87+'A) Base RI'!X87</f>
        <v>86631.15</v>
      </c>
      <c r="K87" s="10">
        <f>+'A) Base RI'!I87</f>
        <v>0</v>
      </c>
      <c r="L87" s="10">
        <f>+'A) Base RI'!J87</f>
        <v>16570.25</v>
      </c>
      <c r="M87" s="10">
        <f>+'A) Base RI'!K87</f>
        <v>585.5</v>
      </c>
      <c r="N87" s="10">
        <f>+'A) Base RI'!Q87</f>
        <v>22256.25</v>
      </c>
      <c r="O87" s="10">
        <f t="shared" si="7"/>
        <v>102115.04166666667</v>
      </c>
      <c r="P87" s="10">
        <f>+'A) Base RI'!L87</f>
        <v>122538.05</v>
      </c>
      <c r="Q87" s="34">
        <f>'A) Base RI'!AS87</f>
        <v>1.2</v>
      </c>
      <c r="R87" s="412">
        <f t="shared" si="8"/>
        <v>1365941.5416666665</v>
      </c>
      <c r="S87" s="33">
        <f>+'A) Base RI'!AN87</f>
        <v>77.5</v>
      </c>
      <c r="T87" s="412">
        <f t="shared" si="9"/>
        <v>1263240.9999999998</v>
      </c>
      <c r="U87" s="412">
        <f t="shared" si="10"/>
        <v>17625.052150537631</v>
      </c>
      <c r="V87" s="10">
        <f>+'A) Base RI'!O87</f>
        <v>1522.5</v>
      </c>
      <c r="W87" s="10">
        <f>+'A) Base RI'!P87</f>
        <v>64014</v>
      </c>
      <c r="X87" s="10">
        <f>+'A) Base RI'!R87</f>
        <v>29945.25</v>
      </c>
      <c r="Y87" s="412">
        <f t="shared" si="11"/>
        <v>95481.75</v>
      </c>
      <c r="Z87" s="10">
        <f>+'A) Base RI'!N87</f>
        <v>17160.75</v>
      </c>
      <c r="AA87" s="10">
        <f>'A) Base RI'!AO87</f>
        <v>563</v>
      </c>
    </row>
    <row r="88" spans="1:27" x14ac:dyDescent="0.25">
      <c r="A88" s="8">
        <f>'A) Base RI'!A88</f>
        <v>5531</v>
      </c>
      <c r="B88" s="32" t="str">
        <f>'A) Base RI'!B88</f>
        <v>Penthéréaz</v>
      </c>
      <c r="C88" s="10">
        <f>'A) Base RI'!C88+'A) Base RI'!D88</f>
        <v>1055285.8</v>
      </c>
      <c r="D88" s="10">
        <f>'A) Base RI'!AP88</f>
        <v>-139.79</v>
      </c>
      <c r="E88" s="31">
        <f>'A) Base RI'!AQ88</f>
        <v>0</v>
      </c>
      <c r="F88" s="31">
        <f>'A) Base RI'!AR88</f>
        <v>-289.16000000000003</v>
      </c>
      <c r="G88" s="412">
        <f t="shared" si="6"/>
        <v>1054856.8500000001</v>
      </c>
      <c r="H88" s="10">
        <f>+'A) Base RI'!E88</f>
        <v>0</v>
      </c>
      <c r="I88" s="10">
        <f>+'A) Base RI'!F88</f>
        <v>0</v>
      </c>
      <c r="J88" s="10">
        <f>+'A) Base RI'!G88+'A) Base RI'!H88+'A) Base RI'!X88</f>
        <v>5561.1</v>
      </c>
      <c r="K88" s="10">
        <f>+'A) Base RI'!I88</f>
        <v>0</v>
      </c>
      <c r="L88" s="10">
        <f>+'A) Base RI'!J88</f>
        <v>3556.23</v>
      </c>
      <c r="M88" s="10">
        <f>+'A) Base RI'!K88</f>
        <v>887.75</v>
      </c>
      <c r="N88" s="10">
        <f>+'A) Base RI'!Q88</f>
        <v>1458.35</v>
      </c>
      <c r="O88" s="10">
        <f t="shared" si="7"/>
        <v>76674.75</v>
      </c>
      <c r="P88" s="10">
        <f>+'A) Base RI'!L88</f>
        <v>76674.75</v>
      </c>
      <c r="Q88" s="34">
        <f>'A) Base RI'!AS88</f>
        <v>1</v>
      </c>
      <c r="R88" s="412">
        <f t="shared" si="8"/>
        <v>1142995.0300000003</v>
      </c>
      <c r="S88" s="33">
        <f>+'A) Base RI'!AN88</f>
        <v>78</v>
      </c>
      <c r="T88" s="412">
        <f t="shared" si="9"/>
        <v>1065432.5300000003</v>
      </c>
      <c r="U88" s="412">
        <f t="shared" si="10"/>
        <v>14653.782435897439</v>
      </c>
      <c r="V88" s="10">
        <f>+'A) Base RI'!O88</f>
        <v>0</v>
      </c>
      <c r="W88" s="10">
        <f>+'A) Base RI'!P88</f>
        <v>9718.25</v>
      </c>
      <c r="X88" s="10">
        <f>+'A) Base RI'!R88</f>
        <v>582.45000000000005</v>
      </c>
      <c r="Y88" s="412">
        <f t="shared" si="11"/>
        <v>10300.700000000001</v>
      </c>
      <c r="Z88" s="10">
        <f>+'A) Base RI'!N88</f>
        <v>6576.7</v>
      </c>
      <c r="AA88" s="10">
        <f>'A) Base RI'!AO88</f>
        <v>421</v>
      </c>
    </row>
    <row r="89" spans="1:27" x14ac:dyDescent="0.25">
      <c r="A89" s="8">
        <f>'A) Base RI'!A89</f>
        <v>5533</v>
      </c>
      <c r="B89" s="32" t="str">
        <f>'A) Base RI'!B89</f>
        <v>Poliez-Pittet</v>
      </c>
      <c r="C89" s="10">
        <f>'A) Base RI'!C89+'A) Base RI'!D89</f>
        <v>1465775.6900000002</v>
      </c>
      <c r="D89" s="10">
        <f>'A) Base RI'!AP89</f>
        <v>-53157.62</v>
      </c>
      <c r="E89" s="31">
        <f>'A) Base RI'!AQ89</f>
        <v>0</v>
      </c>
      <c r="F89" s="31">
        <f>'A) Base RI'!AR89</f>
        <v>-10.75</v>
      </c>
      <c r="G89" s="412">
        <f t="shared" si="6"/>
        <v>1412607.32</v>
      </c>
      <c r="H89" s="10">
        <f>+'A) Base RI'!E89</f>
        <v>0</v>
      </c>
      <c r="I89" s="10">
        <f>+'A) Base RI'!F89</f>
        <v>0</v>
      </c>
      <c r="J89" s="10">
        <f>+'A) Base RI'!G89+'A) Base RI'!H89+'A) Base RI'!X89</f>
        <v>16541.400000000001</v>
      </c>
      <c r="K89" s="10">
        <f>+'A) Base RI'!I89</f>
        <v>47228.4</v>
      </c>
      <c r="L89" s="10">
        <f>+'A) Base RI'!J89</f>
        <v>44615.56</v>
      </c>
      <c r="M89" s="10">
        <f>+'A) Base RI'!K89</f>
        <v>-3482.75</v>
      </c>
      <c r="N89" s="10">
        <f>+'A) Base RI'!Q89</f>
        <v>6839.82</v>
      </c>
      <c r="O89" s="10">
        <f t="shared" si="7"/>
        <v>142687.70000000001</v>
      </c>
      <c r="P89" s="10">
        <f>+'A) Base RI'!L89</f>
        <v>142687.70000000001</v>
      </c>
      <c r="Q89" s="34">
        <f>'A) Base RI'!AS89</f>
        <v>1</v>
      </c>
      <c r="R89" s="412">
        <f t="shared" si="8"/>
        <v>1667037.45</v>
      </c>
      <c r="S89" s="33">
        <f>+'A) Base RI'!AN89</f>
        <v>73</v>
      </c>
      <c r="T89" s="412">
        <f t="shared" si="9"/>
        <v>1527832.5</v>
      </c>
      <c r="U89" s="412">
        <f t="shared" si="10"/>
        <v>22836.129452054793</v>
      </c>
      <c r="V89" s="10">
        <f>+'A) Base RI'!O89</f>
        <v>0</v>
      </c>
      <c r="W89" s="10">
        <f>+'A) Base RI'!P89</f>
        <v>130356.55</v>
      </c>
      <c r="X89" s="10">
        <f>+'A) Base RI'!R89</f>
        <v>9974.5</v>
      </c>
      <c r="Y89" s="412">
        <f t="shared" si="11"/>
        <v>140331.04999999999</v>
      </c>
      <c r="Z89" s="10">
        <f>+'A) Base RI'!N89</f>
        <v>4124.7</v>
      </c>
      <c r="AA89" s="10">
        <f>'A) Base RI'!AO89</f>
        <v>829</v>
      </c>
    </row>
    <row r="90" spans="1:27" x14ac:dyDescent="0.25">
      <c r="A90" s="8">
        <f>'A) Base RI'!A90</f>
        <v>5534</v>
      </c>
      <c r="B90" s="32" t="str">
        <f>'A) Base RI'!B90</f>
        <v>Rueyres</v>
      </c>
      <c r="C90" s="10">
        <f>'A) Base RI'!C90+'A) Base RI'!D90</f>
        <v>577037.89</v>
      </c>
      <c r="D90" s="10">
        <f>'A) Base RI'!AP90</f>
        <v>-2749</v>
      </c>
      <c r="E90" s="31">
        <f>'A) Base RI'!AQ90</f>
        <v>0</v>
      </c>
      <c r="F90" s="31">
        <f>'A) Base RI'!AR90</f>
        <v>0</v>
      </c>
      <c r="G90" s="412">
        <f t="shared" si="6"/>
        <v>574288.89</v>
      </c>
      <c r="H90" s="10">
        <f>+'A) Base RI'!E90</f>
        <v>0</v>
      </c>
      <c r="I90" s="10">
        <f>+'A) Base RI'!F90</f>
        <v>0</v>
      </c>
      <c r="J90" s="10">
        <f>+'A) Base RI'!G90+'A) Base RI'!H90+'A) Base RI'!X90</f>
        <v>104311.25</v>
      </c>
      <c r="K90" s="10">
        <f>+'A) Base RI'!I90</f>
        <v>0</v>
      </c>
      <c r="L90" s="10">
        <f>+'A) Base RI'!J90</f>
        <v>5607.79</v>
      </c>
      <c r="M90" s="10">
        <f>+'A) Base RI'!K90</f>
        <v>861</v>
      </c>
      <c r="N90" s="10">
        <f>+'A) Base RI'!Q90</f>
        <v>0</v>
      </c>
      <c r="O90" s="10">
        <f t="shared" si="7"/>
        <v>78799.600000000006</v>
      </c>
      <c r="P90" s="10">
        <f>+'A) Base RI'!L90</f>
        <v>78799.600000000006</v>
      </c>
      <c r="Q90" s="34">
        <f>'A) Base RI'!AS90</f>
        <v>1</v>
      </c>
      <c r="R90" s="412">
        <f t="shared" si="8"/>
        <v>763868.53</v>
      </c>
      <c r="S90" s="33">
        <f>+'A) Base RI'!AN90</f>
        <v>73</v>
      </c>
      <c r="T90" s="412">
        <f t="shared" si="9"/>
        <v>684207.93</v>
      </c>
      <c r="U90" s="412">
        <f t="shared" si="10"/>
        <v>10463.952465753426</v>
      </c>
      <c r="V90" s="10">
        <f>+'A) Base RI'!O90</f>
        <v>0</v>
      </c>
      <c r="W90" s="10">
        <f>+'A) Base RI'!P90</f>
        <v>14278</v>
      </c>
      <c r="X90" s="10">
        <f>+'A) Base RI'!R90</f>
        <v>16712.25</v>
      </c>
      <c r="Y90" s="412">
        <f t="shared" si="11"/>
        <v>30990.25</v>
      </c>
      <c r="Z90" s="10">
        <f>+'A) Base RI'!N90</f>
        <v>32174.75</v>
      </c>
      <c r="AA90" s="10">
        <f>'A) Base RI'!AO90</f>
        <v>265</v>
      </c>
    </row>
    <row r="91" spans="1:27" x14ac:dyDescent="0.25">
      <c r="A91" s="8">
        <f>'A) Base RI'!A91</f>
        <v>5535</v>
      </c>
      <c r="B91" s="32" t="str">
        <f>'A) Base RI'!B91</f>
        <v>Saint-Barthélemy</v>
      </c>
      <c r="C91" s="10">
        <f>'A) Base RI'!C91+'A) Base RI'!D91</f>
        <v>1547267.9700000002</v>
      </c>
      <c r="D91" s="10">
        <f>'A) Base RI'!AP91</f>
        <v>-18361.509999999998</v>
      </c>
      <c r="E91" s="31">
        <f>'A) Base RI'!AQ91</f>
        <v>0</v>
      </c>
      <c r="F91" s="31">
        <f>'A) Base RI'!AR91</f>
        <v>-8.5299999999999994</v>
      </c>
      <c r="G91" s="412">
        <f t="shared" si="6"/>
        <v>1528897.9300000002</v>
      </c>
      <c r="H91" s="10">
        <f>+'A) Base RI'!E91</f>
        <v>0</v>
      </c>
      <c r="I91" s="10">
        <f>+'A) Base RI'!F91</f>
        <v>0</v>
      </c>
      <c r="J91" s="10">
        <f>+'A) Base RI'!G91+'A) Base RI'!H91+'A) Base RI'!X91</f>
        <v>4834.95</v>
      </c>
      <c r="K91" s="10">
        <f>+'A) Base RI'!I91</f>
        <v>0</v>
      </c>
      <c r="L91" s="10">
        <f>+'A) Base RI'!J91</f>
        <v>25901.040000000001</v>
      </c>
      <c r="M91" s="10">
        <f>+'A) Base RI'!K91</f>
        <v>1504.3</v>
      </c>
      <c r="N91" s="10">
        <f>+'A) Base RI'!Q91</f>
        <v>22972.49</v>
      </c>
      <c r="O91" s="10">
        <f t="shared" si="7"/>
        <v>146768.1</v>
      </c>
      <c r="P91" s="10">
        <f>+'A) Base RI'!L91</f>
        <v>146768.1</v>
      </c>
      <c r="Q91" s="34">
        <f>'A) Base RI'!AS91</f>
        <v>1</v>
      </c>
      <c r="R91" s="412">
        <f t="shared" si="8"/>
        <v>1730878.8100000003</v>
      </c>
      <c r="S91" s="33">
        <f>+'A) Base RI'!AN91</f>
        <v>77</v>
      </c>
      <c r="T91" s="412">
        <f t="shared" si="9"/>
        <v>1582606.4100000001</v>
      </c>
      <c r="U91" s="412">
        <f t="shared" si="10"/>
        <v>22478.945584415589</v>
      </c>
      <c r="V91" s="10">
        <f>+'A) Base RI'!O91</f>
        <v>0</v>
      </c>
      <c r="W91" s="10">
        <f>+'A) Base RI'!P91</f>
        <v>28930</v>
      </c>
      <c r="X91" s="10">
        <f>+'A) Base RI'!R91</f>
        <v>42511.3</v>
      </c>
      <c r="Y91" s="412">
        <f t="shared" si="11"/>
        <v>71441.3</v>
      </c>
      <c r="Z91" s="10">
        <f>+'A) Base RI'!N91</f>
        <v>42181.4</v>
      </c>
      <c r="AA91" s="10">
        <f>'A) Base RI'!AO91</f>
        <v>791</v>
      </c>
    </row>
    <row r="92" spans="1:27" x14ac:dyDescent="0.25">
      <c r="A92" s="8">
        <f>'A) Base RI'!A92</f>
        <v>5537</v>
      </c>
      <c r="B92" s="32" t="str">
        <f>'A) Base RI'!B92</f>
        <v>Villars-le-Terroir</v>
      </c>
      <c r="C92" s="10">
        <f>'A) Base RI'!C92+'A) Base RI'!D92</f>
        <v>2396918.67</v>
      </c>
      <c r="D92" s="10">
        <f>'A) Base RI'!AP92</f>
        <v>-38908.65</v>
      </c>
      <c r="E92" s="31">
        <f>'A) Base RI'!AQ92</f>
        <v>0</v>
      </c>
      <c r="F92" s="31">
        <f>'A) Base RI'!AR92</f>
        <v>-24.63</v>
      </c>
      <c r="G92" s="412">
        <f t="shared" si="6"/>
        <v>2357985.39</v>
      </c>
      <c r="H92" s="10">
        <f>+'A) Base RI'!E92</f>
        <v>0</v>
      </c>
      <c r="I92" s="10">
        <f>+'A) Base RI'!F92</f>
        <v>6875</v>
      </c>
      <c r="J92" s="10">
        <f>+'A) Base RI'!G92+'A) Base RI'!H92+'A) Base RI'!X92</f>
        <v>43173.95</v>
      </c>
      <c r="K92" s="10">
        <f>+'A) Base RI'!I92</f>
        <v>0</v>
      </c>
      <c r="L92" s="10">
        <f>+'A) Base RI'!J92</f>
        <v>13406.28</v>
      </c>
      <c r="M92" s="10">
        <f>+'A) Base RI'!K92</f>
        <v>2556.75</v>
      </c>
      <c r="N92" s="10">
        <f>+'A) Base RI'!Q92</f>
        <v>350.7</v>
      </c>
      <c r="O92" s="10">
        <f t="shared" si="7"/>
        <v>223267.3125</v>
      </c>
      <c r="P92" s="10">
        <f>+'A) Base RI'!L92</f>
        <v>178613.85</v>
      </c>
      <c r="Q92" s="34">
        <f>'A) Base RI'!AS92</f>
        <v>0.8</v>
      </c>
      <c r="R92" s="412">
        <f t="shared" si="8"/>
        <v>2647615.3825000003</v>
      </c>
      <c r="S92" s="33">
        <f>+'A) Base RI'!AN92</f>
        <v>73</v>
      </c>
      <c r="T92" s="412">
        <f t="shared" si="9"/>
        <v>2414916.3200000003</v>
      </c>
      <c r="U92" s="412">
        <f t="shared" si="10"/>
        <v>36268.70386986302</v>
      </c>
      <c r="V92" s="10">
        <f>+'A) Base RI'!O92</f>
        <v>2371.1</v>
      </c>
      <c r="W92" s="10">
        <f>+'A) Base RI'!P92</f>
        <v>74986.2</v>
      </c>
      <c r="X92" s="10">
        <f>+'A) Base RI'!R92</f>
        <v>16821.150000000001</v>
      </c>
      <c r="Y92" s="412">
        <f t="shared" si="11"/>
        <v>94178.450000000012</v>
      </c>
      <c r="Z92" s="10">
        <f>+'A) Base RI'!N92</f>
        <v>0</v>
      </c>
      <c r="AA92" s="10">
        <f>'A) Base RI'!AO92</f>
        <v>1228</v>
      </c>
    </row>
    <row r="93" spans="1:27" x14ac:dyDescent="0.25">
      <c r="A93" s="8">
        <f>'A) Base RI'!A93</f>
        <v>5539</v>
      </c>
      <c r="B93" s="32" t="str">
        <f>'A) Base RI'!B93</f>
        <v>Vuarrens</v>
      </c>
      <c r="C93" s="10">
        <f>'A) Base RI'!C93+'A) Base RI'!D93</f>
        <v>2070875.85</v>
      </c>
      <c r="D93" s="10">
        <f>'A) Base RI'!AP93</f>
        <v>-59851.69</v>
      </c>
      <c r="E93" s="31">
        <f>'A) Base RI'!AQ93</f>
        <v>0</v>
      </c>
      <c r="F93" s="31">
        <f>'A) Base RI'!AR93</f>
        <v>-50.61</v>
      </c>
      <c r="G93" s="412">
        <f t="shared" si="6"/>
        <v>2010973.55</v>
      </c>
      <c r="H93" s="10">
        <f>+'A) Base RI'!E93</f>
        <v>0</v>
      </c>
      <c r="I93" s="10">
        <f>+'A) Base RI'!F93</f>
        <v>0</v>
      </c>
      <c r="J93" s="10">
        <f>+'A) Base RI'!G93+'A) Base RI'!H93+'A) Base RI'!X93</f>
        <v>18780.199999999997</v>
      </c>
      <c r="K93" s="10">
        <f>+'A) Base RI'!I93</f>
        <v>0</v>
      </c>
      <c r="L93" s="10">
        <f>+'A) Base RI'!J93</f>
        <v>21066.37</v>
      </c>
      <c r="M93" s="10">
        <f>+'A) Base RI'!K93</f>
        <v>4855.3999999999996</v>
      </c>
      <c r="N93" s="10">
        <f>+'A) Base RI'!Q93</f>
        <v>15884.41</v>
      </c>
      <c r="O93" s="10">
        <f t="shared" si="7"/>
        <v>178485.625</v>
      </c>
      <c r="P93" s="10">
        <f>+'A) Base RI'!L93</f>
        <v>142788.5</v>
      </c>
      <c r="Q93" s="34">
        <f>'A) Base RI'!AS93</f>
        <v>0.8</v>
      </c>
      <c r="R93" s="412">
        <f t="shared" si="8"/>
        <v>2250045.5549999997</v>
      </c>
      <c r="S93" s="33">
        <f>+'A) Base RI'!AN93</f>
        <v>75</v>
      </c>
      <c r="T93" s="412">
        <f t="shared" si="9"/>
        <v>2066704.53</v>
      </c>
      <c r="U93" s="412">
        <f t="shared" si="10"/>
        <v>30000.607399999997</v>
      </c>
      <c r="V93" s="10">
        <f>+'A) Base RI'!O93</f>
        <v>0</v>
      </c>
      <c r="W93" s="10">
        <f>+'A) Base RI'!P93</f>
        <v>160546.95000000001</v>
      </c>
      <c r="X93" s="10">
        <f>+'A) Base RI'!R93</f>
        <v>33110.800000000003</v>
      </c>
      <c r="Y93" s="412">
        <f t="shared" si="11"/>
        <v>193657.75</v>
      </c>
      <c r="Z93" s="10">
        <f>+'A) Base RI'!N93</f>
        <v>21711.65</v>
      </c>
      <c r="AA93" s="10">
        <f>'A) Base RI'!AO93</f>
        <v>1054</v>
      </c>
    </row>
    <row r="94" spans="1:27" x14ac:dyDescent="0.25">
      <c r="A94" s="8">
        <f>'A) Base RI'!A94</f>
        <v>5540</v>
      </c>
      <c r="B94" s="32" t="str">
        <f>'A) Base RI'!B94</f>
        <v>Montilliez</v>
      </c>
      <c r="C94" s="10">
        <f>'A) Base RI'!C94+'A) Base RI'!D94</f>
        <v>4336206.42</v>
      </c>
      <c r="D94" s="10">
        <f>'A) Base RI'!AP94</f>
        <v>-53955.62</v>
      </c>
      <c r="E94" s="31">
        <f>'A) Base RI'!AQ94</f>
        <v>-1675.1</v>
      </c>
      <c r="F94" s="31">
        <f>'A) Base RI'!AR94</f>
        <v>-304.41000000000003</v>
      </c>
      <c r="G94" s="412">
        <f t="shared" si="6"/>
        <v>4280271.29</v>
      </c>
      <c r="H94" s="10">
        <f>+'A) Base RI'!E94</f>
        <v>0</v>
      </c>
      <c r="I94" s="10">
        <f>+'A) Base RI'!F94</f>
        <v>0</v>
      </c>
      <c r="J94" s="10">
        <f>+'A) Base RI'!G94+'A) Base RI'!H94+'A) Base RI'!X94</f>
        <v>82557.149999999994</v>
      </c>
      <c r="K94" s="10">
        <f>+'A) Base RI'!I94</f>
        <v>0</v>
      </c>
      <c r="L94" s="10">
        <f>+'A) Base RI'!J94</f>
        <v>67900.75</v>
      </c>
      <c r="M94" s="10">
        <f>+'A) Base RI'!K94</f>
        <v>9292.85</v>
      </c>
      <c r="N94" s="10">
        <f>+'A) Base RI'!Q94</f>
        <v>19583.669999999998</v>
      </c>
      <c r="O94" s="10">
        <f t="shared" si="7"/>
        <v>332766.25</v>
      </c>
      <c r="P94" s="10">
        <f>+'A) Base RI'!L94</f>
        <v>266213</v>
      </c>
      <c r="Q94" s="34">
        <f>'A) Base RI'!AS94</f>
        <v>0.8</v>
      </c>
      <c r="R94" s="412">
        <f t="shared" si="8"/>
        <v>4792371.96</v>
      </c>
      <c r="S94" s="33">
        <f>+'A) Base RI'!AN94</f>
        <v>74</v>
      </c>
      <c r="T94" s="412">
        <f t="shared" si="9"/>
        <v>4450312.8600000003</v>
      </c>
      <c r="U94" s="412">
        <f t="shared" si="10"/>
        <v>64761.783243243241</v>
      </c>
      <c r="V94" s="10">
        <f>+'A) Base RI'!O94</f>
        <v>0</v>
      </c>
      <c r="W94" s="10">
        <f>+'A) Base RI'!P94</f>
        <v>100167.35</v>
      </c>
      <c r="X94" s="10">
        <f>+'A) Base RI'!R94</f>
        <v>56097.35</v>
      </c>
      <c r="Y94" s="412">
        <f t="shared" si="11"/>
        <v>156264.70000000001</v>
      </c>
      <c r="Z94" s="10">
        <f>+'A) Base RI'!N94</f>
        <v>2612.8000000000002</v>
      </c>
      <c r="AA94" s="10">
        <f>'A) Base RI'!AO94</f>
        <v>1819</v>
      </c>
    </row>
    <row r="95" spans="1:27" x14ac:dyDescent="0.25">
      <c r="A95" s="8">
        <f>'A) Base RI'!A95</f>
        <v>5541</v>
      </c>
      <c r="B95" s="32" t="str">
        <f>'A) Base RI'!B95</f>
        <v>Goumoëns</v>
      </c>
      <c r="C95" s="10">
        <f>'A) Base RI'!C95+'A) Base RI'!D95</f>
        <v>2603478.42</v>
      </c>
      <c r="D95" s="10">
        <f>'A) Base RI'!AP95</f>
        <v>-20384.97</v>
      </c>
      <c r="E95" s="31">
        <f>'A) Base RI'!AQ95</f>
        <v>0</v>
      </c>
      <c r="F95" s="31">
        <f>'A) Base RI'!AR95</f>
        <v>-48.27</v>
      </c>
      <c r="G95" s="412">
        <f t="shared" si="6"/>
        <v>2583045.1799999997</v>
      </c>
      <c r="H95" s="10">
        <f>+'A) Base RI'!E95</f>
        <v>0</v>
      </c>
      <c r="I95" s="10">
        <f>+'A) Base RI'!F95</f>
        <v>0</v>
      </c>
      <c r="J95" s="10">
        <f>+'A) Base RI'!G95+'A) Base RI'!H95+'A) Base RI'!X95</f>
        <v>63515.899999999994</v>
      </c>
      <c r="K95" s="10">
        <f>+'A) Base RI'!I95</f>
        <v>0</v>
      </c>
      <c r="L95" s="10">
        <f>+'A) Base RI'!J95</f>
        <v>18747.310000000001</v>
      </c>
      <c r="M95" s="10">
        <f>+'A) Base RI'!K95</f>
        <v>1720.65</v>
      </c>
      <c r="N95" s="10">
        <f>+'A) Base RI'!Q95</f>
        <v>4807.1400000000003</v>
      </c>
      <c r="O95" s="10">
        <f t="shared" si="7"/>
        <v>207147.85</v>
      </c>
      <c r="P95" s="10">
        <f>+'A) Base RI'!L95</f>
        <v>207147.85</v>
      </c>
      <c r="Q95" s="34">
        <f>'A) Base RI'!AS95</f>
        <v>1</v>
      </c>
      <c r="R95" s="412">
        <f t="shared" si="8"/>
        <v>2878984.03</v>
      </c>
      <c r="S95" s="33">
        <f>+'A) Base RI'!AN95</f>
        <v>77</v>
      </c>
      <c r="T95" s="412">
        <f t="shared" si="9"/>
        <v>2670115.5299999998</v>
      </c>
      <c r="U95" s="412">
        <f t="shared" si="10"/>
        <v>37389.402987012982</v>
      </c>
      <c r="V95" s="10">
        <f>+'A) Base RI'!O95</f>
        <v>129809.1</v>
      </c>
      <c r="W95" s="10">
        <f>+'A) Base RI'!P95</f>
        <v>57813.75</v>
      </c>
      <c r="X95" s="10">
        <f>+'A) Base RI'!R95</f>
        <v>27385.35</v>
      </c>
      <c r="Y95" s="412">
        <f t="shared" si="11"/>
        <v>215008.2</v>
      </c>
      <c r="Z95" s="10">
        <f>+'A) Base RI'!N95</f>
        <v>3564.9</v>
      </c>
      <c r="AA95" s="10">
        <f>'A) Base RI'!AO95</f>
        <v>1140</v>
      </c>
    </row>
    <row r="96" spans="1:27" x14ac:dyDescent="0.25">
      <c r="A96" s="8">
        <f>'A) Base RI'!A96</f>
        <v>5551</v>
      </c>
      <c r="B96" s="32" t="str">
        <f>'A) Base RI'!B96</f>
        <v>Bonvillars</v>
      </c>
      <c r="C96" s="10">
        <f>'A) Base RI'!C96+'A) Base RI'!D96</f>
        <v>869149.95</v>
      </c>
      <c r="D96" s="10">
        <f>'A) Base RI'!AP96</f>
        <v>-12238.86</v>
      </c>
      <c r="E96" s="31">
        <f>'A) Base RI'!AQ96</f>
        <v>0</v>
      </c>
      <c r="F96" s="31">
        <f>'A) Base RI'!AR96</f>
        <v>-859.49</v>
      </c>
      <c r="G96" s="412">
        <f t="shared" si="6"/>
        <v>856051.6</v>
      </c>
      <c r="H96" s="10">
        <f>+'A) Base RI'!E96</f>
        <v>0</v>
      </c>
      <c r="I96" s="10">
        <f>+'A) Base RI'!F96</f>
        <v>0</v>
      </c>
      <c r="J96" s="10">
        <f>+'A) Base RI'!G96+'A) Base RI'!H96+'A) Base RI'!X96</f>
        <v>25298.55</v>
      </c>
      <c r="K96" s="10">
        <f>+'A) Base RI'!I96</f>
        <v>0</v>
      </c>
      <c r="L96" s="10">
        <f>+'A) Base RI'!J96</f>
        <v>4469.17</v>
      </c>
      <c r="M96" s="10">
        <f>+'A) Base RI'!K96</f>
        <v>7170</v>
      </c>
      <c r="N96" s="10">
        <f>+'A) Base RI'!Q96</f>
        <v>0</v>
      </c>
      <c r="O96" s="10">
        <f t="shared" si="7"/>
        <v>112532</v>
      </c>
      <c r="P96" s="10">
        <f>+'A) Base RI'!L96</f>
        <v>112532</v>
      </c>
      <c r="Q96" s="34">
        <f>'A) Base RI'!AS96</f>
        <v>1</v>
      </c>
      <c r="R96" s="412">
        <f t="shared" si="8"/>
        <v>1005521.3200000001</v>
      </c>
      <c r="S96" s="33">
        <f>+'A) Base RI'!AN96</f>
        <v>55</v>
      </c>
      <c r="T96" s="412">
        <f t="shared" si="9"/>
        <v>885819.32000000007</v>
      </c>
      <c r="U96" s="412">
        <f t="shared" si="10"/>
        <v>18282.205818181821</v>
      </c>
      <c r="V96" s="10">
        <f>+'A) Base RI'!O96</f>
        <v>0</v>
      </c>
      <c r="W96" s="10">
        <f>+'A) Base RI'!P96</f>
        <v>10530.9</v>
      </c>
      <c r="X96" s="10">
        <f>+'A) Base RI'!R96</f>
        <v>13978.6</v>
      </c>
      <c r="Y96" s="412">
        <f t="shared" si="11"/>
        <v>24509.5</v>
      </c>
      <c r="Z96" s="10">
        <f>+'A) Base RI'!N96</f>
        <v>0</v>
      </c>
      <c r="AA96" s="10">
        <f>'A) Base RI'!AO96</f>
        <v>490</v>
      </c>
    </row>
    <row r="97" spans="1:27" x14ac:dyDescent="0.25">
      <c r="A97" s="8">
        <f>'A) Base RI'!A97</f>
        <v>5552</v>
      </c>
      <c r="B97" s="32" t="str">
        <f>'A) Base RI'!B97</f>
        <v>Bullet</v>
      </c>
      <c r="C97" s="10">
        <f>'A) Base RI'!C97+'A) Base RI'!D97</f>
        <v>1198586.8</v>
      </c>
      <c r="D97" s="10">
        <f>'A) Base RI'!AP97</f>
        <v>-6413.84</v>
      </c>
      <c r="E97" s="31">
        <f>'A) Base RI'!AQ97</f>
        <v>0</v>
      </c>
      <c r="F97" s="31">
        <f>'A) Base RI'!AR97</f>
        <v>-131.47</v>
      </c>
      <c r="G97" s="412">
        <f t="shared" si="6"/>
        <v>1192041.49</v>
      </c>
      <c r="H97" s="10">
        <f>+'A) Base RI'!E97</f>
        <v>0</v>
      </c>
      <c r="I97" s="10">
        <f>+'A) Base RI'!F97</f>
        <v>0</v>
      </c>
      <c r="J97" s="10">
        <f>+'A) Base RI'!G97+'A) Base RI'!H97+'A) Base RI'!X97</f>
        <v>12243.05</v>
      </c>
      <c r="K97" s="10">
        <f>+'A) Base RI'!I97</f>
        <v>0</v>
      </c>
      <c r="L97" s="10">
        <f>+'A) Base RI'!J97</f>
        <v>16355.25</v>
      </c>
      <c r="M97" s="10">
        <f>+'A) Base RI'!K97</f>
        <v>1523.3</v>
      </c>
      <c r="N97" s="10">
        <f>+'A) Base RI'!Q97</f>
        <v>19.579999999999998</v>
      </c>
      <c r="O97" s="10">
        <f t="shared" si="7"/>
        <v>119008</v>
      </c>
      <c r="P97" s="10">
        <f>+'A) Base RI'!L97</f>
        <v>119008</v>
      </c>
      <c r="Q97" s="34">
        <f>'A) Base RI'!AS97</f>
        <v>1</v>
      </c>
      <c r="R97" s="412">
        <f t="shared" si="8"/>
        <v>1341190.6700000002</v>
      </c>
      <c r="S97" s="33">
        <f>+'A) Base RI'!AN97</f>
        <v>73</v>
      </c>
      <c r="T97" s="412">
        <f t="shared" si="9"/>
        <v>1220659.3700000001</v>
      </c>
      <c r="U97" s="412">
        <f t="shared" si="10"/>
        <v>18372.474931506851</v>
      </c>
      <c r="V97" s="10">
        <f>+'A) Base RI'!O97</f>
        <v>0</v>
      </c>
      <c r="W97" s="10">
        <f>+'A) Base RI'!P97</f>
        <v>62296.95</v>
      </c>
      <c r="X97" s="10">
        <f>+'A) Base RI'!R97</f>
        <v>38656</v>
      </c>
      <c r="Y97" s="412">
        <f t="shared" si="11"/>
        <v>100952.95</v>
      </c>
      <c r="Z97" s="10">
        <f>+'A) Base RI'!N97</f>
        <v>53648</v>
      </c>
      <c r="AA97" s="10">
        <f>'A) Base RI'!AO97</f>
        <v>657</v>
      </c>
    </row>
    <row r="98" spans="1:27" x14ac:dyDescent="0.25">
      <c r="A98" s="8">
        <f>'A) Base RI'!A98</f>
        <v>5553</v>
      </c>
      <c r="B98" s="32" t="str">
        <f>'A) Base RI'!B98</f>
        <v>Champagne</v>
      </c>
      <c r="C98" s="10">
        <f>'A) Base RI'!C98+'A) Base RI'!D98</f>
        <v>2076497.3399999999</v>
      </c>
      <c r="D98" s="10">
        <f>'A) Base RI'!AP98</f>
        <v>-30906.28</v>
      </c>
      <c r="E98" s="31">
        <f>'A) Base RI'!AQ98</f>
        <v>0</v>
      </c>
      <c r="F98" s="31">
        <f>'A) Base RI'!AR98</f>
        <v>-1479.55</v>
      </c>
      <c r="G98" s="412">
        <f t="shared" si="6"/>
        <v>2044111.5099999998</v>
      </c>
      <c r="H98" s="10">
        <f>+'A) Base RI'!E98</f>
        <v>0</v>
      </c>
      <c r="I98" s="10">
        <f>+'A) Base RI'!F98</f>
        <v>0</v>
      </c>
      <c r="J98" s="10">
        <f>+'A) Base RI'!G98+'A) Base RI'!H98+'A) Base RI'!X98</f>
        <v>115785.60000000001</v>
      </c>
      <c r="K98" s="10">
        <f>+'A) Base RI'!I98</f>
        <v>0</v>
      </c>
      <c r="L98" s="10">
        <f>+'A) Base RI'!J98</f>
        <v>23613.39</v>
      </c>
      <c r="M98" s="10">
        <f>+'A) Base RI'!K98</f>
        <v>31512.35</v>
      </c>
      <c r="N98" s="10">
        <f>+'A) Base RI'!Q98</f>
        <v>10030.790000000001</v>
      </c>
      <c r="O98" s="10">
        <f t="shared" si="7"/>
        <v>225127.9</v>
      </c>
      <c r="P98" s="10">
        <f>+'A) Base RI'!L98</f>
        <v>225127.9</v>
      </c>
      <c r="Q98" s="34">
        <f>'A) Base RI'!AS98</f>
        <v>1</v>
      </c>
      <c r="R98" s="412">
        <f t="shared" si="8"/>
        <v>2450181.54</v>
      </c>
      <c r="S98" s="33">
        <f>+'A) Base RI'!AN98</f>
        <v>65</v>
      </c>
      <c r="T98" s="412">
        <f t="shared" si="9"/>
        <v>2193541.29</v>
      </c>
      <c r="U98" s="412">
        <f t="shared" si="10"/>
        <v>37695.100615384617</v>
      </c>
      <c r="V98" s="10">
        <f>+'A) Base RI'!O98</f>
        <v>13213.5</v>
      </c>
      <c r="W98" s="10">
        <f>+'A) Base RI'!P98</f>
        <v>71001.3</v>
      </c>
      <c r="X98" s="10">
        <f>+'A) Base RI'!R98</f>
        <v>53417.15</v>
      </c>
      <c r="Y98" s="412">
        <f t="shared" si="11"/>
        <v>137631.95000000001</v>
      </c>
      <c r="Z98" s="10">
        <f>+'A) Base RI'!N98</f>
        <v>135489</v>
      </c>
      <c r="AA98" s="10">
        <f>'A) Base RI'!AO98</f>
        <v>1059</v>
      </c>
    </row>
    <row r="99" spans="1:27" x14ac:dyDescent="0.25">
      <c r="A99" s="8">
        <f>'A) Base RI'!A99</f>
        <v>5554</v>
      </c>
      <c r="B99" s="32" t="str">
        <f>'A) Base RI'!B99</f>
        <v>Concise</v>
      </c>
      <c r="C99" s="10">
        <f>'A) Base RI'!C99+'A) Base RI'!D99</f>
        <v>2255132.2000000002</v>
      </c>
      <c r="D99" s="10">
        <f>'A) Base RI'!AP99</f>
        <v>-16072.26</v>
      </c>
      <c r="E99" s="31">
        <f>'A) Base RI'!AQ99</f>
        <v>0</v>
      </c>
      <c r="F99" s="31">
        <f>'A) Base RI'!AR99</f>
        <v>-4047.7</v>
      </c>
      <c r="G99" s="412">
        <f t="shared" si="6"/>
        <v>2235012.2400000002</v>
      </c>
      <c r="H99" s="10">
        <f>+'A) Base RI'!E99</f>
        <v>0</v>
      </c>
      <c r="I99" s="10">
        <f>+'A) Base RI'!F99</f>
        <v>0</v>
      </c>
      <c r="J99" s="10">
        <f>+'A) Base RI'!G99+'A) Base RI'!H99+'A) Base RI'!X99</f>
        <v>32281.749999999996</v>
      </c>
      <c r="K99" s="10">
        <f>+'A) Base RI'!I99</f>
        <v>0</v>
      </c>
      <c r="L99" s="10">
        <f>+'A) Base RI'!J99</f>
        <v>51195.12</v>
      </c>
      <c r="M99" s="10">
        <f>+'A) Base RI'!K99</f>
        <v>-641.54999999999995</v>
      </c>
      <c r="N99" s="10">
        <f>+'A) Base RI'!Q99</f>
        <v>2725.29</v>
      </c>
      <c r="O99" s="10">
        <f t="shared" si="7"/>
        <v>176014.1</v>
      </c>
      <c r="P99" s="10">
        <f>+'A) Base RI'!L99</f>
        <v>176014.1</v>
      </c>
      <c r="Q99" s="34">
        <f>'A) Base RI'!AS99</f>
        <v>1</v>
      </c>
      <c r="R99" s="412">
        <f t="shared" si="8"/>
        <v>2496586.9500000007</v>
      </c>
      <c r="S99" s="33">
        <f>+'A) Base RI'!AN99</f>
        <v>75</v>
      </c>
      <c r="T99" s="412">
        <f t="shared" si="9"/>
        <v>2321214.4000000004</v>
      </c>
      <c r="U99" s="412">
        <f t="shared" si="10"/>
        <v>33287.826000000008</v>
      </c>
      <c r="V99" s="10">
        <f>+'A) Base RI'!O99</f>
        <v>4050.8</v>
      </c>
      <c r="W99" s="10">
        <f>+'A) Base RI'!P99</f>
        <v>235222.65</v>
      </c>
      <c r="X99" s="10">
        <f>+'A) Base RI'!R99</f>
        <v>129648.2</v>
      </c>
      <c r="Y99" s="412">
        <f t="shared" si="11"/>
        <v>368921.64999999997</v>
      </c>
      <c r="Z99" s="10">
        <f>+'A) Base RI'!N99</f>
        <v>2698.3</v>
      </c>
      <c r="AA99" s="10">
        <f>'A) Base RI'!AO99</f>
        <v>1025</v>
      </c>
    </row>
    <row r="100" spans="1:27" x14ac:dyDescent="0.25">
      <c r="A100" s="8">
        <f>'A) Base RI'!A100</f>
        <v>5555</v>
      </c>
      <c r="B100" s="32" t="str">
        <f>'A) Base RI'!B100</f>
        <v>Corcelles-près-Concise</v>
      </c>
      <c r="C100" s="10">
        <f>'A) Base RI'!C100+'A) Base RI'!D100</f>
        <v>866366.52</v>
      </c>
      <c r="D100" s="10">
        <f>'A) Base RI'!AP100</f>
        <v>-6902.32</v>
      </c>
      <c r="E100" s="31">
        <f>'A) Base RI'!AQ100</f>
        <v>0</v>
      </c>
      <c r="F100" s="31">
        <f>'A) Base RI'!AR100</f>
        <v>-128.57</v>
      </c>
      <c r="G100" s="412">
        <f t="shared" si="6"/>
        <v>859335.63000000012</v>
      </c>
      <c r="H100" s="10">
        <f>+'A) Base RI'!E100</f>
        <v>0</v>
      </c>
      <c r="I100" s="10">
        <f>+'A) Base RI'!F100</f>
        <v>0</v>
      </c>
      <c r="J100" s="10">
        <f>+'A) Base RI'!G100+'A) Base RI'!H100+'A) Base RI'!X100</f>
        <v>10791.199999999999</v>
      </c>
      <c r="K100" s="10">
        <f>+'A) Base RI'!I100</f>
        <v>0</v>
      </c>
      <c r="L100" s="10">
        <f>+'A) Base RI'!J100</f>
        <v>-1588.12</v>
      </c>
      <c r="M100" s="10">
        <f>+'A) Base RI'!K100</f>
        <v>1974.15</v>
      </c>
      <c r="N100" s="10">
        <f>+'A) Base RI'!Q100</f>
        <v>0</v>
      </c>
      <c r="O100" s="10">
        <f t="shared" si="7"/>
        <v>90755.6</v>
      </c>
      <c r="P100" s="10">
        <f>+'A) Base RI'!L100</f>
        <v>90755.6</v>
      </c>
      <c r="Q100" s="34">
        <f>'A) Base RI'!AS100</f>
        <v>1</v>
      </c>
      <c r="R100" s="412">
        <f t="shared" si="8"/>
        <v>961268.46000000008</v>
      </c>
      <c r="S100" s="33">
        <f>+'A) Base RI'!AN100</f>
        <v>71</v>
      </c>
      <c r="T100" s="412">
        <f t="shared" si="9"/>
        <v>868538.71000000008</v>
      </c>
      <c r="U100" s="412">
        <f t="shared" si="10"/>
        <v>13538.992394366198</v>
      </c>
      <c r="V100" s="10">
        <f>+'A) Base RI'!O100</f>
        <v>31777.3</v>
      </c>
      <c r="W100" s="10">
        <f>+'A) Base RI'!P100</f>
        <v>34152.449999999997</v>
      </c>
      <c r="X100" s="10">
        <f>+'A) Base RI'!R100</f>
        <v>21330.5</v>
      </c>
      <c r="Y100" s="412">
        <f t="shared" si="11"/>
        <v>87260.25</v>
      </c>
      <c r="Z100" s="10">
        <f>+'A) Base RI'!N100</f>
        <v>8245.2000000000007</v>
      </c>
      <c r="AA100" s="10">
        <f>'A) Base RI'!AO100</f>
        <v>401</v>
      </c>
    </row>
    <row r="101" spans="1:27" x14ac:dyDescent="0.25">
      <c r="A101" s="8">
        <f>'A) Base RI'!A101</f>
        <v>5556</v>
      </c>
      <c r="B101" s="32" t="str">
        <f>'A) Base RI'!B101</f>
        <v>Fiez</v>
      </c>
      <c r="C101" s="10">
        <f>'A) Base RI'!C101+'A) Base RI'!D101</f>
        <v>809610.51</v>
      </c>
      <c r="D101" s="10">
        <f>'A) Base RI'!AP101</f>
        <v>-2067.16</v>
      </c>
      <c r="E101" s="31">
        <f>'A) Base RI'!AQ101</f>
        <v>0</v>
      </c>
      <c r="F101" s="31">
        <f>'A) Base RI'!AR101</f>
        <v>0</v>
      </c>
      <c r="G101" s="412">
        <f t="shared" si="6"/>
        <v>807543.35</v>
      </c>
      <c r="H101" s="10">
        <f>+'A) Base RI'!E101</f>
        <v>0</v>
      </c>
      <c r="I101" s="10">
        <f>+'A) Base RI'!F101</f>
        <v>2440</v>
      </c>
      <c r="J101" s="10">
        <f>+'A) Base RI'!G101+'A) Base RI'!H101+'A) Base RI'!X101</f>
        <v>12034.550000000001</v>
      </c>
      <c r="K101" s="10">
        <f>+'A) Base RI'!I101</f>
        <v>0</v>
      </c>
      <c r="L101" s="10">
        <f>+'A) Base RI'!J101</f>
        <v>7521.72</v>
      </c>
      <c r="M101" s="10">
        <f>+'A) Base RI'!K101</f>
        <v>580.79999999999995</v>
      </c>
      <c r="N101" s="10">
        <f>+'A) Base RI'!Q101</f>
        <v>0</v>
      </c>
      <c r="O101" s="10">
        <f t="shared" si="7"/>
        <v>70302.083333333343</v>
      </c>
      <c r="P101" s="10">
        <f>+'A) Base RI'!L101</f>
        <v>84362.5</v>
      </c>
      <c r="Q101" s="34">
        <f>'A) Base RI'!AS101</f>
        <v>1.2</v>
      </c>
      <c r="R101" s="412">
        <f t="shared" si="8"/>
        <v>900422.50333333341</v>
      </c>
      <c r="S101" s="33">
        <f>+'A) Base RI'!AN101</f>
        <v>69</v>
      </c>
      <c r="T101" s="412">
        <f t="shared" si="9"/>
        <v>827099.62</v>
      </c>
      <c r="U101" s="412">
        <f t="shared" si="10"/>
        <v>13049.601497584543</v>
      </c>
      <c r="V101" s="10">
        <f>+'A) Base RI'!O101</f>
        <v>0</v>
      </c>
      <c r="W101" s="10">
        <f>+'A) Base RI'!P101</f>
        <v>19005.8</v>
      </c>
      <c r="X101" s="10">
        <f>+'A) Base RI'!R101</f>
        <v>10143.299999999999</v>
      </c>
      <c r="Y101" s="412">
        <f t="shared" si="11"/>
        <v>29149.1</v>
      </c>
      <c r="Z101" s="10">
        <f>+'A) Base RI'!N101</f>
        <v>0</v>
      </c>
      <c r="AA101" s="10">
        <f>'A) Base RI'!AO101</f>
        <v>445</v>
      </c>
    </row>
    <row r="102" spans="1:27" x14ac:dyDescent="0.25">
      <c r="A102" s="8">
        <f>'A) Base RI'!A102</f>
        <v>5557</v>
      </c>
      <c r="B102" s="32" t="str">
        <f>'A) Base RI'!B102</f>
        <v>Fontaines-sur-Grandson</v>
      </c>
      <c r="C102" s="10">
        <f>'A) Base RI'!C102+'A) Base RI'!D102</f>
        <v>416628.61</v>
      </c>
      <c r="D102" s="10">
        <f>'A) Base RI'!AP102</f>
        <v>-9602.2000000000007</v>
      </c>
      <c r="E102" s="31">
        <f>'A) Base RI'!AQ102</f>
        <v>0</v>
      </c>
      <c r="F102" s="31">
        <f>'A) Base RI'!AR102</f>
        <v>-0.02</v>
      </c>
      <c r="G102" s="412">
        <f t="shared" si="6"/>
        <v>407026.38999999996</v>
      </c>
      <c r="H102" s="10">
        <f>+'A) Base RI'!E102</f>
        <v>0</v>
      </c>
      <c r="I102" s="10">
        <f>+'A) Base RI'!F102</f>
        <v>1050</v>
      </c>
      <c r="J102" s="10">
        <f>+'A) Base RI'!G102+'A) Base RI'!H102+'A) Base RI'!X102</f>
        <v>5877.25</v>
      </c>
      <c r="K102" s="10">
        <f>+'A) Base RI'!I102</f>
        <v>0</v>
      </c>
      <c r="L102" s="10">
        <f>+'A) Base RI'!J102</f>
        <v>1174.96</v>
      </c>
      <c r="M102" s="10">
        <f>+'A) Base RI'!K102</f>
        <v>936.95</v>
      </c>
      <c r="N102" s="10">
        <f>+'A) Base RI'!Q102</f>
        <v>-581.37</v>
      </c>
      <c r="O102" s="10">
        <f t="shared" si="7"/>
        <v>36205</v>
      </c>
      <c r="P102" s="10">
        <f>+'A) Base RI'!L102</f>
        <v>36205</v>
      </c>
      <c r="Q102" s="34">
        <f>'A) Base RI'!AS102</f>
        <v>1</v>
      </c>
      <c r="R102" s="412">
        <f t="shared" si="8"/>
        <v>451689.18</v>
      </c>
      <c r="S102" s="33">
        <f>+'A) Base RI'!AN102</f>
        <v>69</v>
      </c>
      <c r="T102" s="412">
        <f t="shared" si="9"/>
        <v>413497.23</v>
      </c>
      <c r="U102" s="412">
        <f t="shared" si="10"/>
        <v>6546.22</v>
      </c>
      <c r="V102" s="10">
        <f>+'A) Base RI'!O102</f>
        <v>17.100000000000001</v>
      </c>
      <c r="W102" s="10">
        <f>+'A) Base RI'!P102</f>
        <v>4350.5</v>
      </c>
      <c r="X102" s="10">
        <f>+'A) Base RI'!R102</f>
        <v>0</v>
      </c>
      <c r="Y102" s="412">
        <f t="shared" si="11"/>
        <v>4367.6000000000004</v>
      </c>
      <c r="Z102" s="10">
        <f>+'A) Base RI'!N102</f>
        <v>0</v>
      </c>
      <c r="AA102" s="10">
        <f>'A) Base RI'!AO102</f>
        <v>215</v>
      </c>
    </row>
    <row r="103" spans="1:27" x14ac:dyDescent="0.25">
      <c r="A103" s="8">
        <f>'A) Base RI'!A103</f>
        <v>5559</v>
      </c>
      <c r="B103" s="32" t="str">
        <f>'A) Base RI'!B103</f>
        <v>Giez</v>
      </c>
      <c r="C103" s="10">
        <f>'A) Base RI'!C103+'A) Base RI'!D103</f>
        <v>1165964.2</v>
      </c>
      <c r="D103" s="10">
        <f>'A) Base RI'!AP103</f>
        <v>-11784.95</v>
      </c>
      <c r="E103" s="31">
        <f>'A) Base RI'!AQ103</f>
        <v>0</v>
      </c>
      <c r="F103" s="31">
        <f>'A) Base RI'!AR103</f>
        <v>-288.51</v>
      </c>
      <c r="G103" s="412">
        <f t="shared" si="6"/>
        <v>1153890.74</v>
      </c>
      <c r="H103" s="10">
        <f>+'A) Base RI'!E103</f>
        <v>0</v>
      </c>
      <c r="I103" s="10">
        <f>+'A) Base RI'!F103</f>
        <v>0</v>
      </c>
      <c r="J103" s="10">
        <f>+'A) Base RI'!G103+'A) Base RI'!H103+'A) Base RI'!X103</f>
        <v>113901.25</v>
      </c>
      <c r="K103" s="10">
        <f>+'A) Base RI'!I103</f>
        <v>0</v>
      </c>
      <c r="L103" s="10">
        <f>+'A) Base RI'!J103</f>
        <v>12538.43</v>
      </c>
      <c r="M103" s="10">
        <f>+'A) Base RI'!K103</f>
        <v>4011.5</v>
      </c>
      <c r="N103" s="10">
        <f>+'A) Base RI'!Q103</f>
        <v>1170.5999999999999</v>
      </c>
      <c r="O103" s="10">
        <f t="shared" si="7"/>
        <v>88771.1</v>
      </c>
      <c r="P103" s="10">
        <f>+'A) Base RI'!L103</f>
        <v>88771.1</v>
      </c>
      <c r="Q103" s="34">
        <f>'A) Base RI'!AS103</f>
        <v>1</v>
      </c>
      <c r="R103" s="412">
        <f t="shared" si="8"/>
        <v>1374283.62</v>
      </c>
      <c r="S103" s="33">
        <f>+'A) Base RI'!AN103</f>
        <v>66</v>
      </c>
      <c r="T103" s="412">
        <f t="shared" si="9"/>
        <v>1281501.02</v>
      </c>
      <c r="U103" s="412">
        <f t="shared" si="10"/>
        <v>20822.479090909092</v>
      </c>
      <c r="V103" s="10">
        <f>+'A) Base RI'!O103</f>
        <v>31347.200000000001</v>
      </c>
      <c r="W103" s="10">
        <f>+'A) Base RI'!P103</f>
        <v>18865</v>
      </c>
      <c r="X103" s="10">
        <f>+'A) Base RI'!R103</f>
        <v>21247.25</v>
      </c>
      <c r="Y103" s="412">
        <f t="shared" si="11"/>
        <v>71459.45</v>
      </c>
      <c r="Z103" s="10">
        <f>+'A) Base RI'!N103</f>
        <v>17765.05</v>
      </c>
      <c r="AA103" s="10">
        <f>'A) Base RI'!AO103</f>
        <v>414</v>
      </c>
    </row>
    <row r="104" spans="1:27" x14ac:dyDescent="0.25">
      <c r="A104" s="8">
        <f>'A) Base RI'!A104</f>
        <v>5560</v>
      </c>
      <c r="B104" s="32" t="str">
        <f>'A) Base RI'!B104</f>
        <v>Grandevent</v>
      </c>
      <c r="C104" s="10">
        <f>'A) Base RI'!C104+'A) Base RI'!D104</f>
        <v>452449.35</v>
      </c>
      <c r="D104" s="10">
        <f>'A) Base RI'!AP104</f>
        <v>-189.3</v>
      </c>
      <c r="E104" s="31">
        <f>'A) Base RI'!AQ104</f>
        <v>0</v>
      </c>
      <c r="F104" s="31">
        <f>'A) Base RI'!AR104</f>
        <v>0</v>
      </c>
      <c r="G104" s="412">
        <f t="shared" si="6"/>
        <v>452260.05</v>
      </c>
      <c r="H104" s="10">
        <f>+'A) Base RI'!E104</f>
        <v>0</v>
      </c>
      <c r="I104" s="10">
        <f>+'A) Base RI'!F104</f>
        <v>0</v>
      </c>
      <c r="J104" s="10">
        <f>+'A) Base RI'!G104+'A) Base RI'!H104+'A) Base RI'!X104</f>
        <v>6552</v>
      </c>
      <c r="K104" s="10">
        <f>+'A) Base RI'!I104</f>
        <v>0</v>
      </c>
      <c r="L104" s="10">
        <f>+'A) Base RI'!J104</f>
        <v>2540.09</v>
      </c>
      <c r="M104" s="10">
        <f>+'A) Base RI'!K104</f>
        <v>624.70000000000005</v>
      </c>
      <c r="N104" s="10">
        <f>+'A) Base RI'!Q104</f>
        <v>0</v>
      </c>
      <c r="O104" s="10">
        <f t="shared" si="7"/>
        <v>41640.75</v>
      </c>
      <c r="P104" s="10">
        <f>+'A) Base RI'!L104</f>
        <v>41640.75</v>
      </c>
      <c r="Q104" s="34">
        <f>'A) Base RI'!AS104</f>
        <v>1</v>
      </c>
      <c r="R104" s="412">
        <f t="shared" si="8"/>
        <v>503617.59</v>
      </c>
      <c r="S104" s="33">
        <f>+'A) Base RI'!AN104</f>
        <v>68</v>
      </c>
      <c r="T104" s="412">
        <f t="shared" si="9"/>
        <v>461352.14</v>
      </c>
      <c r="U104" s="412">
        <f t="shared" si="10"/>
        <v>7406.141029411765</v>
      </c>
      <c r="V104" s="10">
        <f>+'A) Base RI'!O104</f>
        <v>12</v>
      </c>
      <c r="W104" s="10">
        <f>+'A) Base RI'!P104</f>
        <v>12100</v>
      </c>
      <c r="X104" s="10">
        <f>+'A) Base RI'!R104</f>
        <v>16232.45</v>
      </c>
      <c r="Y104" s="412">
        <f t="shared" si="11"/>
        <v>28344.45</v>
      </c>
      <c r="Z104" s="10">
        <f>+'A) Base RI'!N104</f>
        <v>0</v>
      </c>
      <c r="AA104" s="10">
        <f>'A) Base RI'!AO104</f>
        <v>222</v>
      </c>
    </row>
    <row r="105" spans="1:27" x14ac:dyDescent="0.25">
      <c r="A105" s="8">
        <f>'A) Base RI'!A105</f>
        <v>5561</v>
      </c>
      <c r="B105" s="32" t="str">
        <f>'A) Base RI'!B105</f>
        <v>Grandson</v>
      </c>
      <c r="C105" s="10">
        <f>'A) Base RI'!C105+'A) Base RI'!D105</f>
        <v>6835181.1699999999</v>
      </c>
      <c r="D105" s="10">
        <f>'A) Base RI'!AP105</f>
        <v>-120110.19</v>
      </c>
      <c r="E105" s="31">
        <f>'A) Base RI'!AQ105</f>
        <v>0</v>
      </c>
      <c r="F105" s="31">
        <f>'A) Base RI'!AR105</f>
        <v>-516.75</v>
      </c>
      <c r="G105" s="412">
        <f t="shared" si="6"/>
        <v>6714554.2299999995</v>
      </c>
      <c r="H105" s="10">
        <f>+'A) Base RI'!E105</f>
        <v>0</v>
      </c>
      <c r="I105" s="10">
        <f>+'A) Base RI'!F105</f>
        <v>0</v>
      </c>
      <c r="J105" s="10">
        <f>+'A) Base RI'!G105+'A) Base RI'!H105+'A) Base RI'!X105</f>
        <v>370436.8</v>
      </c>
      <c r="K105" s="10">
        <f>+'A) Base RI'!I105</f>
        <v>0</v>
      </c>
      <c r="L105" s="10">
        <f>+'A) Base RI'!J105</f>
        <v>110614.16</v>
      </c>
      <c r="M105" s="10">
        <f>+'A) Base RI'!K105</f>
        <v>33835.9</v>
      </c>
      <c r="N105" s="10">
        <f>+'A) Base RI'!Q105</f>
        <v>17404.52</v>
      </c>
      <c r="O105" s="10">
        <f t="shared" si="7"/>
        <v>587592.19999999995</v>
      </c>
      <c r="P105" s="10">
        <f>+'A) Base RI'!L105</f>
        <v>587592.19999999995</v>
      </c>
      <c r="Q105" s="34">
        <f>'A) Base RI'!AS105</f>
        <v>1</v>
      </c>
      <c r="R105" s="412">
        <f t="shared" si="8"/>
        <v>7834437.8099999996</v>
      </c>
      <c r="S105" s="33">
        <f>+'A) Base RI'!AN105</f>
        <v>69</v>
      </c>
      <c r="T105" s="412">
        <f t="shared" si="9"/>
        <v>7213009.709999999</v>
      </c>
      <c r="U105" s="412">
        <f t="shared" si="10"/>
        <v>113542.57695652173</v>
      </c>
      <c r="V105" s="10">
        <f>+'A) Base RI'!O105</f>
        <v>1550963.1</v>
      </c>
      <c r="W105" s="10">
        <f>+'A) Base RI'!P105</f>
        <v>424592</v>
      </c>
      <c r="X105" s="10">
        <f>+'A) Base RI'!R105</f>
        <v>482151.55</v>
      </c>
      <c r="Y105" s="412">
        <f t="shared" si="11"/>
        <v>2457706.65</v>
      </c>
      <c r="Z105" s="10">
        <f>+'A) Base RI'!N105</f>
        <v>297970.95</v>
      </c>
      <c r="AA105" s="10">
        <f>'A) Base RI'!AO105</f>
        <v>3340</v>
      </c>
    </row>
    <row r="106" spans="1:27" x14ac:dyDescent="0.25">
      <c r="A106" s="8">
        <f>'A) Base RI'!A106</f>
        <v>5562</v>
      </c>
      <c r="B106" s="32" t="str">
        <f>'A) Base RI'!B106</f>
        <v>Mauborget</v>
      </c>
      <c r="C106" s="10">
        <f>'A) Base RI'!C106+'A) Base RI'!D106</f>
        <v>345571.95</v>
      </c>
      <c r="D106" s="10">
        <f>'A) Base RI'!AP106</f>
        <v>-4328.28</v>
      </c>
      <c r="E106" s="31">
        <f>'A) Base RI'!AQ106</f>
        <v>0</v>
      </c>
      <c r="F106" s="31">
        <f>'A) Base RI'!AR106</f>
        <v>-9.9700000000000006</v>
      </c>
      <c r="G106" s="412">
        <f t="shared" si="6"/>
        <v>341233.7</v>
      </c>
      <c r="H106" s="10">
        <f>+'A) Base RI'!E106</f>
        <v>0</v>
      </c>
      <c r="I106" s="10">
        <f>+'A) Base RI'!F106</f>
        <v>900</v>
      </c>
      <c r="J106" s="10">
        <f>+'A) Base RI'!G106+'A) Base RI'!H106+'A) Base RI'!X106</f>
        <v>215.00000000000003</v>
      </c>
      <c r="K106" s="10">
        <f>+'A) Base RI'!I106</f>
        <v>0</v>
      </c>
      <c r="L106" s="10">
        <f>+'A) Base RI'!J106</f>
        <v>10650.41</v>
      </c>
      <c r="M106" s="10">
        <f>+'A) Base RI'!K106</f>
        <v>1280</v>
      </c>
      <c r="N106" s="10">
        <f>+'A) Base RI'!Q106</f>
        <v>0</v>
      </c>
      <c r="O106" s="10">
        <f t="shared" si="7"/>
        <v>29830.875000000004</v>
      </c>
      <c r="P106" s="10">
        <f>+'A) Base RI'!L106</f>
        <v>35797.050000000003</v>
      </c>
      <c r="Q106" s="34">
        <f>'A) Base RI'!AS106</f>
        <v>1.2</v>
      </c>
      <c r="R106" s="412">
        <f t="shared" si="8"/>
        <v>384109.98499999999</v>
      </c>
      <c r="S106" s="33">
        <f>+'A) Base RI'!AN106</f>
        <v>70</v>
      </c>
      <c r="T106" s="412">
        <f t="shared" si="9"/>
        <v>352099.11</v>
      </c>
      <c r="U106" s="412">
        <f t="shared" si="10"/>
        <v>5487.2855</v>
      </c>
      <c r="V106" s="10">
        <f>+'A) Base RI'!O106</f>
        <v>43.3</v>
      </c>
      <c r="W106" s="10">
        <f>+'A) Base RI'!P106</f>
        <v>29821</v>
      </c>
      <c r="X106" s="10">
        <f>+'A) Base RI'!R106</f>
        <v>53350.15</v>
      </c>
      <c r="Y106" s="412">
        <f t="shared" si="11"/>
        <v>83214.45</v>
      </c>
      <c r="Z106" s="10">
        <f>+'A) Base RI'!N106</f>
        <v>0</v>
      </c>
      <c r="AA106" s="10">
        <f>'A) Base RI'!AO106</f>
        <v>120</v>
      </c>
    </row>
    <row r="107" spans="1:27" x14ac:dyDescent="0.25">
      <c r="A107" s="8">
        <f>'A) Base RI'!A107</f>
        <v>5563</v>
      </c>
      <c r="B107" s="32" t="str">
        <f>'A) Base RI'!B107</f>
        <v>Mutrux</v>
      </c>
      <c r="C107" s="10">
        <f>'A) Base RI'!C107+'A) Base RI'!D107</f>
        <v>300916.84000000003</v>
      </c>
      <c r="D107" s="10">
        <f>'A) Base RI'!AP107</f>
        <v>-4155.03</v>
      </c>
      <c r="E107" s="31">
        <f>'A) Base RI'!AQ107</f>
        <v>0</v>
      </c>
      <c r="F107" s="31">
        <f>'A) Base RI'!AR107</f>
        <v>-0.95</v>
      </c>
      <c r="G107" s="412">
        <f t="shared" si="6"/>
        <v>296760.86</v>
      </c>
      <c r="H107" s="10">
        <f>+'A) Base RI'!E107</f>
        <v>0</v>
      </c>
      <c r="I107" s="10">
        <f>+'A) Base RI'!F107</f>
        <v>516</v>
      </c>
      <c r="J107" s="10">
        <f>+'A) Base RI'!G107+'A) Base RI'!H107+'A) Base RI'!X107</f>
        <v>1919.8500000000001</v>
      </c>
      <c r="K107" s="10">
        <f>+'A) Base RI'!I107</f>
        <v>0</v>
      </c>
      <c r="L107" s="10">
        <f>+'A) Base RI'!J107</f>
        <v>829.92</v>
      </c>
      <c r="M107" s="10">
        <f>+'A) Base RI'!K107</f>
        <v>0</v>
      </c>
      <c r="N107" s="10">
        <f>+'A) Base RI'!Q107</f>
        <v>0</v>
      </c>
      <c r="O107" s="10">
        <f t="shared" si="7"/>
        <v>21810.35</v>
      </c>
      <c r="P107" s="10">
        <f>+'A) Base RI'!L107</f>
        <v>21810.35</v>
      </c>
      <c r="Q107" s="34">
        <f>'A) Base RI'!AS107</f>
        <v>1</v>
      </c>
      <c r="R107" s="412">
        <f t="shared" si="8"/>
        <v>321836.97999999992</v>
      </c>
      <c r="S107" s="33">
        <f>+'A) Base RI'!AN107</f>
        <v>80</v>
      </c>
      <c r="T107" s="412">
        <f t="shared" si="9"/>
        <v>299510.62999999995</v>
      </c>
      <c r="U107" s="412">
        <f t="shared" si="10"/>
        <v>4022.9622499999991</v>
      </c>
      <c r="V107" s="10">
        <f>+'A) Base RI'!O107</f>
        <v>2722.5</v>
      </c>
      <c r="W107" s="10">
        <f>+'A) Base RI'!P107</f>
        <v>852.5</v>
      </c>
      <c r="X107" s="10">
        <f>+'A) Base RI'!R107</f>
        <v>1170.95</v>
      </c>
      <c r="Y107" s="412">
        <f t="shared" si="11"/>
        <v>4745.95</v>
      </c>
      <c r="Z107" s="10">
        <f>+'A) Base RI'!N107</f>
        <v>0</v>
      </c>
      <c r="AA107" s="10">
        <f>'A) Base RI'!AO107</f>
        <v>153</v>
      </c>
    </row>
    <row r="108" spans="1:27" x14ac:dyDescent="0.25">
      <c r="A108" s="8">
        <f>'A) Base RI'!A108</f>
        <v>5564</v>
      </c>
      <c r="B108" s="32" t="str">
        <f>'A) Base RI'!B108</f>
        <v>Novalles</v>
      </c>
      <c r="C108" s="10">
        <f>'A) Base RI'!C108+'A) Base RI'!D108</f>
        <v>159273.53</v>
      </c>
      <c r="D108" s="10">
        <f>'A) Base RI'!AP108</f>
        <v>-933.84</v>
      </c>
      <c r="E108" s="31">
        <f>'A) Base RI'!AQ108</f>
        <v>0</v>
      </c>
      <c r="F108" s="31">
        <f>'A) Base RI'!AR108</f>
        <v>-18.37</v>
      </c>
      <c r="G108" s="412">
        <f t="shared" si="6"/>
        <v>158321.32</v>
      </c>
      <c r="H108" s="10">
        <f>+'A) Base RI'!E108</f>
        <v>0</v>
      </c>
      <c r="I108" s="10">
        <f>+'A) Base RI'!F108</f>
        <v>0</v>
      </c>
      <c r="J108" s="10">
        <f>+'A) Base RI'!G108+'A) Base RI'!H108+'A) Base RI'!X108</f>
        <v>64.400000000000006</v>
      </c>
      <c r="K108" s="10">
        <f>+'A) Base RI'!I108</f>
        <v>0</v>
      </c>
      <c r="L108" s="10">
        <f>+'A) Base RI'!J108</f>
        <v>0</v>
      </c>
      <c r="M108" s="10">
        <f>+'A) Base RI'!K108</f>
        <v>0</v>
      </c>
      <c r="N108" s="10">
        <f>+'A) Base RI'!Q108</f>
        <v>0</v>
      </c>
      <c r="O108" s="10">
        <f t="shared" si="7"/>
        <v>13623.375</v>
      </c>
      <c r="P108" s="10">
        <f>+'A) Base RI'!L108</f>
        <v>10898.7</v>
      </c>
      <c r="Q108" s="34">
        <f>'A) Base RI'!AS108</f>
        <v>0.8</v>
      </c>
      <c r="R108" s="412">
        <f t="shared" si="8"/>
        <v>172009.095</v>
      </c>
      <c r="S108" s="33">
        <f>+'A) Base RI'!AN108</f>
        <v>76</v>
      </c>
      <c r="T108" s="412">
        <f t="shared" si="9"/>
        <v>158385.72</v>
      </c>
      <c r="U108" s="412">
        <f t="shared" si="10"/>
        <v>2263.2775657894736</v>
      </c>
      <c r="V108" s="10">
        <f>+'A) Base RI'!O108</f>
        <v>0</v>
      </c>
      <c r="W108" s="10">
        <f>+'A) Base RI'!P108</f>
        <v>19.8</v>
      </c>
      <c r="X108" s="10">
        <f>+'A) Base RI'!R108</f>
        <v>0</v>
      </c>
      <c r="Y108" s="412">
        <f t="shared" si="11"/>
        <v>19.8</v>
      </c>
      <c r="Z108" s="10">
        <f>+'A) Base RI'!N108</f>
        <v>0</v>
      </c>
      <c r="AA108" s="10">
        <f>'A) Base RI'!AO108</f>
        <v>100</v>
      </c>
    </row>
    <row r="109" spans="1:27" x14ac:dyDescent="0.25">
      <c r="A109" s="8">
        <f>'A) Base RI'!A109</f>
        <v>5565</v>
      </c>
      <c r="B109" s="32" t="str">
        <f>'A) Base RI'!B109</f>
        <v>Onnens</v>
      </c>
      <c r="C109" s="10">
        <f>'A) Base RI'!C109+'A) Base RI'!D109</f>
        <v>811971.91999999993</v>
      </c>
      <c r="D109" s="10">
        <f>'A) Base RI'!AP109</f>
        <v>-5554.02</v>
      </c>
      <c r="E109" s="31">
        <f>'A) Base RI'!AQ109</f>
        <v>0</v>
      </c>
      <c r="F109" s="31">
        <f>'A) Base RI'!AR109</f>
        <v>0</v>
      </c>
      <c r="G109" s="412">
        <f t="shared" si="6"/>
        <v>806417.89999999991</v>
      </c>
      <c r="H109" s="10">
        <f>+'A) Base RI'!E109</f>
        <v>0</v>
      </c>
      <c r="I109" s="10">
        <f>+'A) Base RI'!F109</f>
        <v>0</v>
      </c>
      <c r="J109" s="10">
        <f>+'A) Base RI'!G109+'A) Base RI'!H109+'A) Base RI'!X109</f>
        <v>237079.69999999998</v>
      </c>
      <c r="K109" s="10">
        <f>+'A) Base RI'!I109</f>
        <v>0</v>
      </c>
      <c r="L109" s="10">
        <f>+'A) Base RI'!J109</f>
        <v>5853.74</v>
      </c>
      <c r="M109" s="10">
        <f>+'A) Base RI'!K109</f>
        <v>24137.8</v>
      </c>
      <c r="N109" s="10">
        <f>+'A) Base RI'!Q109</f>
        <v>755.63</v>
      </c>
      <c r="O109" s="10">
        <f t="shared" si="7"/>
        <v>127397.25</v>
      </c>
      <c r="P109" s="10">
        <f>+'A) Base RI'!L109</f>
        <v>127397.25</v>
      </c>
      <c r="Q109" s="34">
        <f>'A) Base RI'!AS109</f>
        <v>1</v>
      </c>
      <c r="R109" s="412">
        <f t="shared" si="8"/>
        <v>1201642.0199999998</v>
      </c>
      <c r="S109" s="33">
        <f>+'A) Base RI'!AN109</f>
        <v>65</v>
      </c>
      <c r="T109" s="412">
        <f t="shared" si="9"/>
        <v>1050106.9699999997</v>
      </c>
      <c r="U109" s="412">
        <f t="shared" si="10"/>
        <v>18486.800307692305</v>
      </c>
      <c r="V109" s="10">
        <f>+'A) Base RI'!O109</f>
        <v>79714.8</v>
      </c>
      <c r="W109" s="10">
        <f>+'A) Base RI'!P109</f>
        <v>53810.400000000001</v>
      </c>
      <c r="X109" s="10">
        <f>+'A) Base RI'!R109</f>
        <v>27250.15</v>
      </c>
      <c r="Y109" s="412">
        <f t="shared" si="11"/>
        <v>160775.35</v>
      </c>
      <c r="Z109" s="10">
        <f>+'A) Base RI'!N109</f>
        <v>31769.45</v>
      </c>
      <c r="AA109" s="10">
        <f>'A) Base RI'!AO109</f>
        <v>497</v>
      </c>
    </row>
    <row r="110" spans="1:27" x14ac:dyDescent="0.25">
      <c r="A110" s="8">
        <f>'A) Base RI'!A110</f>
        <v>5566</v>
      </c>
      <c r="B110" s="32" t="str">
        <f>'A) Base RI'!B110</f>
        <v>Provence</v>
      </c>
      <c r="C110" s="10">
        <f>'A) Base RI'!C110+'A) Base RI'!D110</f>
        <v>603691.06999999995</v>
      </c>
      <c r="D110" s="10">
        <f>'A) Base RI'!AP110</f>
        <v>-8691.17</v>
      </c>
      <c r="E110" s="31">
        <f>'A) Base RI'!AQ110</f>
        <v>0</v>
      </c>
      <c r="F110" s="31">
        <f>'A) Base RI'!AR110</f>
        <v>0</v>
      </c>
      <c r="G110" s="412">
        <f t="shared" si="6"/>
        <v>594999.89999999991</v>
      </c>
      <c r="H110" s="10">
        <f>+'A) Base RI'!E110</f>
        <v>0</v>
      </c>
      <c r="I110" s="10">
        <f>+'A) Base RI'!F110</f>
        <v>2590</v>
      </c>
      <c r="J110" s="10">
        <f>+'A) Base RI'!G110+'A) Base RI'!H110+'A) Base RI'!X110</f>
        <v>22882.5</v>
      </c>
      <c r="K110" s="10">
        <f>+'A) Base RI'!I110</f>
        <v>0</v>
      </c>
      <c r="L110" s="10">
        <f>+'A) Base RI'!J110</f>
        <v>13059.1</v>
      </c>
      <c r="M110" s="10">
        <f>+'A) Base RI'!K110</f>
        <v>2954.9</v>
      </c>
      <c r="N110" s="10">
        <f>+'A) Base RI'!Q110</f>
        <v>0</v>
      </c>
      <c r="O110" s="10">
        <f t="shared" si="7"/>
        <v>51066</v>
      </c>
      <c r="P110" s="10">
        <f>+'A) Base RI'!L110</f>
        <v>76599</v>
      </c>
      <c r="Q110" s="34">
        <f>'A) Base RI'!AS110</f>
        <v>1.5</v>
      </c>
      <c r="R110" s="412">
        <f t="shared" si="8"/>
        <v>687552.39999999991</v>
      </c>
      <c r="S110" s="33">
        <f>+'A) Base RI'!AN110</f>
        <v>81</v>
      </c>
      <c r="T110" s="412">
        <f t="shared" si="9"/>
        <v>630941.49999999988</v>
      </c>
      <c r="U110" s="412">
        <f t="shared" si="10"/>
        <v>8488.3012345678999</v>
      </c>
      <c r="V110" s="10">
        <f>+'A) Base RI'!O110</f>
        <v>206.2</v>
      </c>
      <c r="W110" s="10">
        <f>+'A) Base RI'!P110</f>
        <v>44456.7</v>
      </c>
      <c r="X110" s="10">
        <f>+'A) Base RI'!R110</f>
        <v>23108.400000000001</v>
      </c>
      <c r="Y110" s="412">
        <f t="shared" si="11"/>
        <v>67771.299999999988</v>
      </c>
      <c r="Z110" s="10">
        <f>+'A) Base RI'!N110</f>
        <v>33043.65</v>
      </c>
      <c r="AA110" s="10">
        <f>'A) Base RI'!AO110</f>
        <v>379</v>
      </c>
    </row>
    <row r="111" spans="1:27" x14ac:dyDescent="0.25">
      <c r="A111" s="8">
        <f>'A) Base RI'!A111</f>
        <v>5568</v>
      </c>
      <c r="B111" s="32" t="str">
        <f>'A) Base RI'!B111</f>
        <v>Sainte-Croix</v>
      </c>
      <c r="C111" s="10">
        <f>'A) Base RI'!C111+'A) Base RI'!D111</f>
        <v>6624898.1400000006</v>
      </c>
      <c r="D111" s="10">
        <f>'A) Base RI'!AP111</f>
        <v>-230356.9</v>
      </c>
      <c r="E111" s="31">
        <f>'A) Base RI'!AQ111</f>
        <v>0</v>
      </c>
      <c r="F111" s="31">
        <f>'A) Base RI'!AR111</f>
        <v>-3267.83</v>
      </c>
      <c r="G111" s="412">
        <f t="shared" si="6"/>
        <v>6391273.4100000001</v>
      </c>
      <c r="H111" s="10">
        <f>+'A) Base RI'!E111</f>
        <v>0</v>
      </c>
      <c r="I111" s="10">
        <f>+'A) Base RI'!F111</f>
        <v>0</v>
      </c>
      <c r="J111" s="10">
        <f>+'A) Base RI'!G111+'A) Base RI'!H111+'A) Base RI'!X111</f>
        <v>440983.8</v>
      </c>
      <c r="K111" s="10">
        <f>+'A) Base RI'!I111</f>
        <v>31067.05</v>
      </c>
      <c r="L111" s="10">
        <f>+'A) Base RI'!J111</f>
        <v>114101.18</v>
      </c>
      <c r="M111" s="10">
        <f>+'A) Base RI'!K111</f>
        <v>53776.05</v>
      </c>
      <c r="N111" s="10">
        <f>+'A) Base RI'!Q111</f>
        <v>22074.35</v>
      </c>
      <c r="O111" s="10">
        <f t="shared" si="7"/>
        <v>597754.44999999995</v>
      </c>
      <c r="P111" s="10">
        <f>+'A) Base RI'!L111</f>
        <v>597754.44999999995</v>
      </c>
      <c r="Q111" s="34">
        <f>'A) Base RI'!AS111</f>
        <v>1</v>
      </c>
      <c r="R111" s="412">
        <f t="shared" si="8"/>
        <v>7651030.2899999991</v>
      </c>
      <c r="S111" s="33">
        <f>+'A) Base RI'!AN111</f>
        <v>70</v>
      </c>
      <c r="T111" s="412">
        <f t="shared" si="9"/>
        <v>6999499.7899999991</v>
      </c>
      <c r="U111" s="412">
        <f t="shared" si="10"/>
        <v>109300.43271428571</v>
      </c>
      <c r="V111" s="10">
        <f>+'A) Base RI'!O111</f>
        <v>305285</v>
      </c>
      <c r="W111" s="10">
        <f>+'A) Base RI'!P111</f>
        <v>507039.4</v>
      </c>
      <c r="X111" s="10">
        <f>+'A) Base RI'!R111</f>
        <v>303012</v>
      </c>
      <c r="Y111" s="412">
        <f t="shared" si="11"/>
        <v>1115336.3999999999</v>
      </c>
      <c r="Z111" s="10">
        <f>+'A) Base RI'!N111</f>
        <v>1673786.35</v>
      </c>
      <c r="AA111" s="10">
        <f>'A) Base RI'!AO111</f>
        <v>4888</v>
      </c>
    </row>
    <row r="112" spans="1:27" x14ac:dyDescent="0.25">
      <c r="A112" s="8">
        <f>'A) Base RI'!A112</f>
        <v>5571</v>
      </c>
      <c r="B112" s="32" t="str">
        <f>'A) Base RI'!B112</f>
        <v>Tévenon</v>
      </c>
      <c r="C112" s="10">
        <f>'A) Base RI'!C112+'A) Base RI'!D112</f>
        <v>1644192.7</v>
      </c>
      <c r="D112" s="10">
        <f>'A) Base RI'!AP112</f>
        <v>-59913.84</v>
      </c>
      <c r="E112" s="31">
        <f>'A) Base RI'!AQ112</f>
        <v>0</v>
      </c>
      <c r="F112" s="31">
        <f>'A) Base RI'!AR112</f>
        <v>-51.17</v>
      </c>
      <c r="G112" s="412">
        <f t="shared" si="6"/>
        <v>1584227.69</v>
      </c>
      <c r="H112" s="10">
        <f>+'A) Base RI'!E112</f>
        <v>0</v>
      </c>
      <c r="I112" s="10">
        <f>+'A) Base RI'!F112</f>
        <v>0</v>
      </c>
      <c r="J112" s="10">
        <f>+'A) Base RI'!G112+'A) Base RI'!H112+'A) Base RI'!X112</f>
        <v>5946.1</v>
      </c>
      <c r="K112" s="10">
        <f>+'A) Base RI'!I112</f>
        <v>0</v>
      </c>
      <c r="L112" s="10">
        <f>+'A) Base RI'!J112</f>
        <v>16215.75</v>
      </c>
      <c r="M112" s="10">
        <f>+'A) Base RI'!K112</f>
        <v>8507.7000000000007</v>
      </c>
      <c r="N112" s="10">
        <f>+'A) Base RI'!Q112</f>
        <v>33063.4</v>
      </c>
      <c r="O112" s="10">
        <f t="shared" si="7"/>
        <v>163604.45833333334</v>
      </c>
      <c r="P112" s="10">
        <f>+'A) Base RI'!L112</f>
        <v>196325.35</v>
      </c>
      <c r="Q112" s="34">
        <f>'A) Base RI'!AS112</f>
        <v>1.2</v>
      </c>
      <c r="R112" s="412">
        <f t="shared" si="8"/>
        <v>1811565.0983333332</v>
      </c>
      <c r="S112" s="33">
        <f>+'A) Base RI'!AN112</f>
        <v>73</v>
      </c>
      <c r="T112" s="412">
        <f t="shared" si="9"/>
        <v>1639452.94</v>
      </c>
      <c r="U112" s="412">
        <f t="shared" si="10"/>
        <v>24815.960251141551</v>
      </c>
      <c r="V112" s="10">
        <f>+'A) Base RI'!O112</f>
        <v>31138.400000000001</v>
      </c>
      <c r="W112" s="10">
        <f>+'A) Base RI'!P112</f>
        <v>44458.35</v>
      </c>
      <c r="X112" s="10">
        <f>+'A) Base RI'!R112</f>
        <v>35805.800000000003</v>
      </c>
      <c r="Y112" s="412">
        <f t="shared" si="11"/>
        <v>111402.55</v>
      </c>
      <c r="Z112" s="10">
        <f>+'A) Base RI'!N112</f>
        <v>46447.8</v>
      </c>
      <c r="AA112" s="10">
        <f>'A) Base RI'!AO112</f>
        <v>896</v>
      </c>
    </row>
    <row r="113" spans="1:27" x14ac:dyDescent="0.25">
      <c r="A113" s="8">
        <f>'A) Base RI'!A113</f>
        <v>5581</v>
      </c>
      <c r="B113" s="32" t="str">
        <f>'A) Base RI'!B113</f>
        <v>Belmont-sur-Lausanne</v>
      </c>
      <c r="C113" s="10">
        <f>'A) Base RI'!C113+'A) Base RI'!D113</f>
        <v>12445793.550000001</v>
      </c>
      <c r="D113" s="10">
        <f>'A) Base RI'!AP113</f>
        <v>-144371.24</v>
      </c>
      <c r="E113" s="31">
        <f>'A) Base RI'!AQ113</f>
        <v>0</v>
      </c>
      <c r="F113" s="31">
        <f>'A) Base RI'!AR113</f>
        <v>-12565.71</v>
      </c>
      <c r="G113" s="412">
        <f t="shared" si="6"/>
        <v>12288856.6</v>
      </c>
      <c r="H113" s="10">
        <f>+'A) Base RI'!E113</f>
        <v>0</v>
      </c>
      <c r="I113" s="10">
        <f>+'A) Base RI'!F113</f>
        <v>0</v>
      </c>
      <c r="J113" s="10">
        <f>+'A) Base RI'!G113+'A) Base RI'!H113+'A) Base RI'!X113</f>
        <v>-85716.849999999991</v>
      </c>
      <c r="K113" s="10">
        <f>+'A) Base RI'!I113</f>
        <v>88521.05</v>
      </c>
      <c r="L113" s="10">
        <f>+'A) Base RI'!J113</f>
        <v>274717.03000000003</v>
      </c>
      <c r="M113" s="10">
        <f>+'A) Base RI'!K113</f>
        <v>32108.45</v>
      </c>
      <c r="N113" s="10">
        <f>+'A) Base RI'!Q113</f>
        <v>26112.94</v>
      </c>
      <c r="O113" s="10">
        <f t="shared" si="7"/>
        <v>895178.16666666663</v>
      </c>
      <c r="P113" s="10">
        <f>+'A) Base RI'!L113</f>
        <v>1342767.25</v>
      </c>
      <c r="Q113" s="34">
        <f>'A) Base RI'!AS113</f>
        <v>1.5</v>
      </c>
      <c r="R113" s="412">
        <f t="shared" si="8"/>
        <v>13519777.386666665</v>
      </c>
      <c r="S113" s="33">
        <f>+'A) Base RI'!AN113</f>
        <v>72</v>
      </c>
      <c r="T113" s="412">
        <f t="shared" si="9"/>
        <v>12592490.77</v>
      </c>
      <c r="U113" s="412">
        <f t="shared" si="10"/>
        <v>187774.68592592591</v>
      </c>
      <c r="V113" s="10">
        <f>+'A) Base RI'!O113</f>
        <v>100047.4</v>
      </c>
      <c r="W113" s="10">
        <f>+'A) Base RI'!P113</f>
        <v>393885.15</v>
      </c>
      <c r="X113" s="10">
        <f>+'A) Base RI'!R113</f>
        <v>244763.55</v>
      </c>
      <c r="Y113" s="412">
        <f t="shared" si="11"/>
        <v>738696.10000000009</v>
      </c>
      <c r="Z113" s="10">
        <f>+'A) Base RI'!N113</f>
        <v>2747.25</v>
      </c>
      <c r="AA113" s="10">
        <f>'A) Base RI'!AO113</f>
        <v>3773</v>
      </c>
    </row>
    <row r="114" spans="1:27" x14ac:dyDescent="0.25">
      <c r="A114" s="8">
        <f>'A) Base RI'!A114</f>
        <v>5582</v>
      </c>
      <c r="B114" s="32" t="str">
        <f>'A) Base RI'!B114</f>
        <v>Cheseaux-sur-Lausanne</v>
      </c>
      <c r="C114" s="10">
        <f>'A) Base RI'!C114+'A) Base RI'!D114</f>
        <v>10565301.75</v>
      </c>
      <c r="D114" s="10">
        <f>'A) Base RI'!AP114</f>
        <v>-202100.63</v>
      </c>
      <c r="E114" s="31">
        <f>'A) Base RI'!AQ114</f>
        <v>0</v>
      </c>
      <c r="F114" s="31">
        <f>'A) Base RI'!AR114</f>
        <v>-6688.62</v>
      </c>
      <c r="G114" s="412">
        <f t="shared" si="6"/>
        <v>10356512.5</v>
      </c>
      <c r="H114" s="10">
        <f>+'A) Base RI'!E114</f>
        <v>0</v>
      </c>
      <c r="I114" s="10">
        <f>+'A) Base RI'!F114</f>
        <v>0</v>
      </c>
      <c r="J114" s="10">
        <f>+'A) Base RI'!G114+'A) Base RI'!H114+'A) Base RI'!X114</f>
        <v>969595.14999999991</v>
      </c>
      <c r="K114" s="10">
        <f>+'A) Base RI'!I114</f>
        <v>25637.35</v>
      </c>
      <c r="L114" s="10">
        <f>+'A) Base RI'!J114</f>
        <v>273052.06</v>
      </c>
      <c r="M114" s="10">
        <f>+'A) Base RI'!K114</f>
        <v>36801.699999999997</v>
      </c>
      <c r="N114" s="10">
        <f>+'A) Base RI'!Q114</f>
        <v>-105661.12</v>
      </c>
      <c r="O114" s="10">
        <f t="shared" si="7"/>
        <v>900135.85</v>
      </c>
      <c r="P114" s="10">
        <f>+'A) Base RI'!L114</f>
        <v>900135.85</v>
      </c>
      <c r="Q114" s="34">
        <f>'A) Base RI'!AS114</f>
        <v>1</v>
      </c>
      <c r="R114" s="412">
        <f t="shared" si="8"/>
        <v>12456073.49</v>
      </c>
      <c r="S114" s="33">
        <f>+'A) Base RI'!AN114</f>
        <v>74.5</v>
      </c>
      <c r="T114" s="412">
        <f t="shared" si="9"/>
        <v>11519135.940000001</v>
      </c>
      <c r="U114" s="412">
        <f t="shared" si="10"/>
        <v>167195.61731543625</v>
      </c>
      <c r="V114" s="10">
        <f>+'A) Base RI'!O114</f>
        <v>130260.7</v>
      </c>
      <c r="W114" s="10">
        <f>+'A) Base RI'!P114</f>
        <v>331577.75</v>
      </c>
      <c r="X114" s="10">
        <f>+'A) Base RI'!R114</f>
        <v>477718.9</v>
      </c>
      <c r="Y114" s="412">
        <f t="shared" si="11"/>
        <v>939557.35000000009</v>
      </c>
      <c r="Z114" s="10">
        <f>+'A) Base RI'!N114</f>
        <v>456234.5</v>
      </c>
      <c r="AA114" s="10">
        <f>'A) Base RI'!AO114</f>
        <v>4339</v>
      </c>
    </row>
    <row r="115" spans="1:27" x14ac:dyDescent="0.25">
      <c r="A115" s="8">
        <f>'A) Base RI'!A115</f>
        <v>5583</v>
      </c>
      <c r="B115" s="32" t="str">
        <f>'A) Base RI'!B115</f>
        <v>Crissier</v>
      </c>
      <c r="C115" s="10">
        <f>'A) Base RI'!C115+'A) Base RI'!D115</f>
        <v>13499111.049999999</v>
      </c>
      <c r="D115" s="10">
        <f>'A) Base RI'!AP115</f>
        <v>-239520.29</v>
      </c>
      <c r="E115" s="31">
        <f>'A) Base RI'!AQ115</f>
        <v>0</v>
      </c>
      <c r="F115" s="31">
        <f>'A) Base RI'!AR115</f>
        <v>-1942</v>
      </c>
      <c r="G115" s="412">
        <f t="shared" si="6"/>
        <v>13257648.76</v>
      </c>
      <c r="H115" s="10">
        <f>+'A) Base RI'!E115</f>
        <v>0</v>
      </c>
      <c r="I115" s="10">
        <f>+'A) Base RI'!F115</f>
        <v>0</v>
      </c>
      <c r="J115" s="10">
        <f>+'A) Base RI'!G115+'A) Base RI'!H115+'A) Base RI'!X115</f>
        <v>3530108.1500000004</v>
      </c>
      <c r="K115" s="10">
        <f>+'A) Base RI'!I115</f>
        <v>0</v>
      </c>
      <c r="L115" s="10">
        <f>+'A) Base RI'!J115</f>
        <v>808417.71</v>
      </c>
      <c r="M115" s="10">
        <f>+'A) Base RI'!K115</f>
        <v>317099.09999999998</v>
      </c>
      <c r="N115" s="10">
        <f>+'A) Base RI'!Q115</f>
        <v>90940.39</v>
      </c>
      <c r="O115" s="10">
        <f t="shared" si="7"/>
        <v>2363526.4500000002</v>
      </c>
      <c r="P115" s="10">
        <f>+'A) Base RI'!L115</f>
        <v>2363526.4500000002</v>
      </c>
      <c r="Q115" s="34">
        <f>'A) Base RI'!AS115</f>
        <v>1</v>
      </c>
      <c r="R115" s="412">
        <f t="shared" si="8"/>
        <v>20367740.560000002</v>
      </c>
      <c r="S115" s="33">
        <f>+'A) Base RI'!AN115</f>
        <v>65</v>
      </c>
      <c r="T115" s="412">
        <f t="shared" si="9"/>
        <v>17687115.010000002</v>
      </c>
      <c r="U115" s="412">
        <f t="shared" si="10"/>
        <v>313349.85476923082</v>
      </c>
      <c r="V115" s="10">
        <f>+'A) Base RI'!O115</f>
        <v>95237.1</v>
      </c>
      <c r="W115" s="10">
        <f>+'A) Base RI'!P115</f>
        <v>1294126.8500000001</v>
      </c>
      <c r="X115" s="10">
        <f>+'A) Base RI'!R115</f>
        <v>394841.7</v>
      </c>
      <c r="Y115" s="412">
        <f t="shared" si="11"/>
        <v>1784205.6500000001</v>
      </c>
      <c r="Z115" s="10">
        <f>+'A) Base RI'!N115</f>
        <v>1828974.65</v>
      </c>
      <c r="AA115" s="10">
        <f>'A) Base RI'!AO115</f>
        <v>7944</v>
      </c>
    </row>
    <row r="116" spans="1:27" x14ac:dyDescent="0.25">
      <c r="A116" s="8">
        <f>'A) Base RI'!A116</f>
        <v>5584</v>
      </c>
      <c r="B116" s="32" t="str">
        <f>'A) Base RI'!B116</f>
        <v>Epalinges</v>
      </c>
      <c r="C116" s="10">
        <f>'A) Base RI'!C116+'A) Base RI'!D116</f>
        <v>27255789.600000001</v>
      </c>
      <c r="D116" s="10">
        <f>'A) Base RI'!AP116</f>
        <v>-328503.65000000002</v>
      </c>
      <c r="E116" s="31">
        <f>'A) Base RI'!AQ116</f>
        <v>0</v>
      </c>
      <c r="F116" s="31">
        <f>'A) Base RI'!AR116</f>
        <v>-50265.46</v>
      </c>
      <c r="G116" s="412">
        <f t="shared" si="6"/>
        <v>26877020.490000002</v>
      </c>
      <c r="H116" s="10">
        <f>+'A) Base RI'!E116</f>
        <v>0</v>
      </c>
      <c r="I116" s="10">
        <f>+'A) Base RI'!F116</f>
        <v>0</v>
      </c>
      <c r="J116" s="10">
        <f>+'A) Base RI'!G116+'A) Base RI'!H116+'A) Base RI'!X116</f>
        <v>939812.14999999991</v>
      </c>
      <c r="K116" s="10">
        <f>+'A) Base RI'!I116</f>
        <v>443823.94</v>
      </c>
      <c r="L116" s="10">
        <f>+'A) Base RI'!J116</f>
        <v>533594.48</v>
      </c>
      <c r="M116" s="10">
        <f>+'A) Base RI'!K116</f>
        <v>258502.75</v>
      </c>
      <c r="N116" s="10">
        <f>+'A) Base RI'!Q116</f>
        <v>97434.25</v>
      </c>
      <c r="O116" s="10">
        <f t="shared" si="7"/>
        <v>2205843.2999999998</v>
      </c>
      <c r="P116" s="10">
        <f>+'A) Base RI'!L116</f>
        <v>2205843.2999999998</v>
      </c>
      <c r="Q116" s="34">
        <f>'A) Base RI'!AS116</f>
        <v>1</v>
      </c>
      <c r="R116" s="412">
        <f t="shared" si="8"/>
        <v>31356031.360000003</v>
      </c>
      <c r="S116" s="33">
        <f>+'A) Base RI'!AN116</f>
        <v>66</v>
      </c>
      <c r="T116" s="412">
        <f t="shared" si="9"/>
        <v>28891685.310000002</v>
      </c>
      <c r="U116" s="412">
        <f t="shared" si="10"/>
        <v>475091.38424242428</v>
      </c>
      <c r="V116" s="10">
        <f>+'A) Base RI'!O116</f>
        <v>559960.81999999995</v>
      </c>
      <c r="W116" s="10">
        <f>+'A) Base RI'!P116</f>
        <v>1023124</v>
      </c>
      <c r="X116" s="10">
        <f>+'A) Base RI'!R116</f>
        <v>695415</v>
      </c>
      <c r="Y116" s="412">
        <f t="shared" si="11"/>
        <v>2278499.8199999998</v>
      </c>
      <c r="Z116" s="10">
        <f>+'A) Base RI'!N116</f>
        <v>263683.25</v>
      </c>
      <c r="AA116" s="10">
        <f>'A) Base RI'!AO116</f>
        <v>9701</v>
      </c>
    </row>
    <row r="117" spans="1:27" x14ac:dyDescent="0.25">
      <c r="A117" s="8">
        <f>'A) Base RI'!A117</f>
        <v>5585</v>
      </c>
      <c r="B117" s="32" t="str">
        <f>'A) Base RI'!B117</f>
        <v>Jouxtens-Mézery</v>
      </c>
      <c r="C117" s="10">
        <f>'A) Base RI'!C117+'A) Base RI'!D117</f>
        <v>12598436.779999999</v>
      </c>
      <c r="D117" s="10">
        <f>'A) Base RI'!AP117</f>
        <v>-16208.7</v>
      </c>
      <c r="E117" s="31">
        <f>'A) Base RI'!AQ117</f>
        <v>0</v>
      </c>
      <c r="F117" s="31">
        <f>'A) Base RI'!AR117</f>
        <v>-13252.54</v>
      </c>
      <c r="G117" s="412">
        <f t="shared" si="6"/>
        <v>12568975.540000001</v>
      </c>
      <c r="H117" s="10">
        <f>+'A) Base RI'!E117</f>
        <v>0</v>
      </c>
      <c r="I117" s="10">
        <f>+'A) Base RI'!F117</f>
        <v>0</v>
      </c>
      <c r="J117" s="10">
        <f>+'A) Base RI'!G117+'A) Base RI'!H117+'A) Base RI'!X117</f>
        <v>30979.299999999996</v>
      </c>
      <c r="K117" s="10">
        <f>+'A) Base RI'!I117</f>
        <v>424238.45</v>
      </c>
      <c r="L117" s="10">
        <f>+'A) Base RI'!J117</f>
        <v>-11838.68</v>
      </c>
      <c r="M117" s="10">
        <f>+'A) Base RI'!K117</f>
        <v>8461</v>
      </c>
      <c r="N117" s="10">
        <f>+'A) Base RI'!Q117</f>
        <v>1227.6500000000001</v>
      </c>
      <c r="O117" s="10">
        <f t="shared" si="7"/>
        <v>529965.85</v>
      </c>
      <c r="P117" s="10">
        <f>+'A) Base RI'!L117</f>
        <v>529965.85</v>
      </c>
      <c r="Q117" s="34">
        <f>'A) Base RI'!AS117</f>
        <v>1</v>
      </c>
      <c r="R117" s="412">
        <f t="shared" si="8"/>
        <v>13552009.110000001</v>
      </c>
      <c r="S117" s="33">
        <f>+'A) Base RI'!AN117</f>
        <v>59</v>
      </c>
      <c r="T117" s="412">
        <f t="shared" si="9"/>
        <v>13013582.260000002</v>
      </c>
      <c r="U117" s="412">
        <f t="shared" si="10"/>
        <v>229695.06966101698</v>
      </c>
      <c r="V117" s="10">
        <f>+'A) Base RI'!O117</f>
        <v>27717.8</v>
      </c>
      <c r="W117" s="10">
        <f>+'A) Base RI'!P117</f>
        <v>171383.65</v>
      </c>
      <c r="X117" s="10">
        <f>+'A) Base RI'!R117</f>
        <v>239248.85</v>
      </c>
      <c r="Y117" s="412">
        <f t="shared" si="11"/>
        <v>438350.3</v>
      </c>
      <c r="Z117" s="10">
        <f>+'A) Base RI'!N117</f>
        <v>1587.1</v>
      </c>
      <c r="AA117" s="10">
        <f>'A) Base RI'!AO117</f>
        <v>1423</v>
      </c>
    </row>
    <row r="118" spans="1:27" x14ac:dyDescent="0.25">
      <c r="A118" s="8">
        <f>'A) Base RI'!A118</f>
        <v>5586</v>
      </c>
      <c r="B118" s="32" t="str">
        <f>'A) Base RI'!B118</f>
        <v>Lausanne</v>
      </c>
      <c r="C118" s="10">
        <f>'A) Base RI'!C118+'A) Base RI'!D118</f>
        <v>355332521.44999999</v>
      </c>
      <c r="D118" s="10">
        <f>'A) Base RI'!AP118</f>
        <v>-9279648.9900000002</v>
      </c>
      <c r="E118" s="31">
        <f>'A) Base RI'!AQ118</f>
        <v>0</v>
      </c>
      <c r="F118" s="31">
        <f>'A) Base RI'!AR118</f>
        <v>-591696.21</v>
      </c>
      <c r="G118" s="412">
        <f t="shared" si="6"/>
        <v>345461176.25</v>
      </c>
      <c r="H118" s="10">
        <f>+'A) Base RI'!E118</f>
        <v>0</v>
      </c>
      <c r="I118" s="10">
        <f>+'A) Base RI'!F118</f>
        <v>0</v>
      </c>
      <c r="J118" s="10">
        <f>+'A) Base RI'!G118+'A) Base RI'!H118+'A) Base RI'!X118</f>
        <v>68565294</v>
      </c>
      <c r="K118" s="10">
        <f>+'A) Base RI'!I118</f>
        <v>5210112.4000000004</v>
      </c>
      <c r="L118" s="10">
        <f>+'A) Base RI'!J118</f>
        <v>24839326.210000001</v>
      </c>
      <c r="M118" s="10">
        <f>+'A) Base RI'!K118</f>
        <v>5734078.9000000004</v>
      </c>
      <c r="N118" s="10">
        <f>+'A) Base RI'!Q118</f>
        <v>2415500.98</v>
      </c>
      <c r="O118" s="10">
        <f t="shared" si="7"/>
        <v>24798234.766666666</v>
      </c>
      <c r="P118" s="10">
        <f>+'A) Base RI'!L118</f>
        <v>37197352.149999999</v>
      </c>
      <c r="Q118" s="34">
        <f>'A) Base RI'!AS118</f>
        <v>1.5</v>
      </c>
      <c r="R118" s="412">
        <f t="shared" si="8"/>
        <v>477023723.5066666</v>
      </c>
      <c r="S118" s="33">
        <f>+'A) Base RI'!AN118</f>
        <v>79</v>
      </c>
      <c r="T118" s="412">
        <f t="shared" si="9"/>
        <v>446491409.83999997</v>
      </c>
      <c r="U118" s="412">
        <f t="shared" si="10"/>
        <v>6038274.9810970454</v>
      </c>
      <c r="V118" s="10">
        <f>+'A) Base RI'!O118</f>
        <v>15757882.5</v>
      </c>
      <c r="W118" s="10">
        <f>+'A) Base RI'!P118</f>
        <v>8863389.5</v>
      </c>
      <c r="X118" s="10">
        <f>+'A) Base RI'!R118</f>
        <v>8816891.0500000007</v>
      </c>
      <c r="Y118" s="412">
        <f t="shared" si="11"/>
        <v>33438163.050000001</v>
      </c>
      <c r="Z118" s="10">
        <f>+'A) Base RI'!N118</f>
        <v>11639074.1</v>
      </c>
      <c r="AA118" s="10">
        <f>'A) Base RI'!AO118</f>
        <v>139726</v>
      </c>
    </row>
    <row r="119" spans="1:27" x14ac:dyDescent="0.25">
      <c r="A119" s="8">
        <f>'A) Base RI'!A119</f>
        <v>5587</v>
      </c>
      <c r="B119" s="32" t="str">
        <f>'A) Base RI'!B119</f>
        <v>Le Mont-sur-Lausanne</v>
      </c>
      <c r="C119" s="10">
        <f>'A) Base RI'!C119+'A) Base RI'!D119</f>
        <v>26968345.09</v>
      </c>
      <c r="D119" s="10">
        <f>'A) Base RI'!AP119</f>
        <v>-436783.94</v>
      </c>
      <c r="E119" s="31">
        <f>'A) Base RI'!AQ119</f>
        <v>0</v>
      </c>
      <c r="F119" s="31">
        <f>'A) Base RI'!AR119</f>
        <v>-44045.35</v>
      </c>
      <c r="G119" s="412">
        <f t="shared" si="6"/>
        <v>26487515.799999997</v>
      </c>
      <c r="H119" s="10">
        <f>+'A) Base RI'!E119</f>
        <v>0</v>
      </c>
      <c r="I119" s="10">
        <f>+'A) Base RI'!F119</f>
        <v>0</v>
      </c>
      <c r="J119" s="10">
        <f>+'A) Base RI'!G119+'A) Base RI'!H119+'A) Base RI'!X119</f>
        <v>2804849.5</v>
      </c>
      <c r="K119" s="10">
        <f>+'A) Base RI'!I119</f>
        <v>253663.5</v>
      </c>
      <c r="L119" s="10">
        <f>+'A) Base RI'!J119</f>
        <v>579945.64</v>
      </c>
      <c r="M119" s="10">
        <f>+'A) Base RI'!K119</f>
        <v>244727.05</v>
      </c>
      <c r="N119" s="10">
        <f>+'A) Base RI'!Q119</f>
        <v>125564.65</v>
      </c>
      <c r="O119" s="10">
        <f t="shared" si="7"/>
        <v>2310707.916666667</v>
      </c>
      <c r="P119" s="10">
        <f>+'A) Base RI'!L119</f>
        <v>2772849.5</v>
      </c>
      <c r="Q119" s="34">
        <f>'A) Base RI'!AS119</f>
        <v>1.2</v>
      </c>
      <c r="R119" s="412">
        <f t="shared" si="8"/>
        <v>32806974.056666665</v>
      </c>
      <c r="S119" s="33">
        <f>+'A) Base RI'!AN119</f>
        <v>75</v>
      </c>
      <c r="T119" s="412">
        <f t="shared" si="9"/>
        <v>30251539.089999996</v>
      </c>
      <c r="U119" s="412">
        <f t="shared" si="10"/>
        <v>437426.32075555553</v>
      </c>
      <c r="V119" s="10">
        <f>+'A) Base RI'!O119</f>
        <v>178958.7</v>
      </c>
      <c r="W119" s="10">
        <f>+'A) Base RI'!P119</f>
        <v>997443.6</v>
      </c>
      <c r="X119" s="10">
        <f>+'A) Base RI'!R119</f>
        <v>392541.2</v>
      </c>
      <c r="Y119" s="412">
        <f t="shared" si="11"/>
        <v>1568943.5</v>
      </c>
      <c r="Z119" s="10">
        <f>+'A) Base RI'!N119</f>
        <v>464277.7</v>
      </c>
      <c r="AA119" s="10">
        <f>'A) Base RI'!AO119</f>
        <v>8991</v>
      </c>
    </row>
    <row r="120" spans="1:27" x14ac:dyDescent="0.25">
      <c r="A120" s="8">
        <f>'A) Base RI'!A120</f>
        <v>5588</v>
      </c>
      <c r="B120" s="32" t="str">
        <f>'A) Base RI'!B120</f>
        <v>Paudex</v>
      </c>
      <c r="C120" s="10">
        <f>'A) Base RI'!C120+'A) Base RI'!D120</f>
        <v>6929420.0700000003</v>
      </c>
      <c r="D120" s="10">
        <f>'A) Base RI'!AP120</f>
        <v>-51003.55</v>
      </c>
      <c r="E120" s="31">
        <f>'A) Base RI'!AQ120</f>
        <v>0</v>
      </c>
      <c r="F120" s="31">
        <f>'A) Base RI'!AR120</f>
        <v>-87805.11</v>
      </c>
      <c r="G120" s="412">
        <f t="shared" si="6"/>
        <v>6790611.4100000001</v>
      </c>
      <c r="H120" s="10">
        <f>+'A) Base RI'!E120</f>
        <v>0</v>
      </c>
      <c r="I120" s="10">
        <f>+'A) Base RI'!F120</f>
        <v>0</v>
      </c>
      <c r="J120" s="10">
        <f>+'A) Base RI'!G120+'A) Base RI'!H120+'A) Base RI'!X120</f>
        <v>766880.5</v>
      </c>
      <c r="K120" s="10">
        <f>+'A) Base RI'!I120</f>
        <v>685216.77</v>
      </c>
      <c r="L120" s="10">
        <f>+'A) Base RI'!J120</f>
        <v>361167.68</v>
      </c>
      <c r="M120" s="10">
        <f>+'A) Base RI'!K120</f>
        <v>18214.55</v>
      </c>
      <c r="N120" s="10">
        <f>+'A) Base RI'!Q120</f>
        <v>15299.89</v>
      </c>
      <c r="O120" s="10">
        <f t="shared" si="7"/>
        <v>514599.50000000006</v>
      </c>
      <c r="P120" s="10">
        <f>+'A) Base RI'!L120</f>
        <v>360219.65</v>
      </c>
      <c r="Q120" s="34">
        <f>'A) Base RI'!AS120</f>
        <v>0.7</v>
      </c>
      <c r="R120" s="412">
        <f t="shared" si="8"/>
        <v>9151990.3000000007</v>
      </c>
      <c r="S120" s="33">
        <f>+'A) Base RI'!AN120</f>
        <v>68</v>
      </c>
      <c r="T120" s="412">
        <f t="shared" si="9"/>
        <v>8619176.25</v>
      </c>
      <c r="U120" s="412">
        <f t="shared" si="10"/>
        <v>134588.09264705883</v>
      </c>
      <c r="V120" s="10">
        <f>+'A) Base RI'!O120</f>
        <v>2272.8000000000002</v>
      </c>
      <c r="W120" s="10">
        <f>+'A) Base RI'!P120</f>
        <v>112495.85</v>
      </c>
      <c r="X120" s="10">
        <f>+'A) Base RI'!R120</f>
        <v>50238.7</v>
      </c>
      <c r="Y120" s="412">
        <f t="shared" si="11"/>
        <v>165007.35</v>
      </c>
      <c r="Z120" s="10">
        <f>+'A) Base RI'!N120</f>
        <v>6796.8</v>
      </c>
      <c r="AA120" s="10">
        <f>'A) Base RI'!AO120</f>
        <v>1532</v>
      </c>
    </row>
    <row r="121" spans="1:27" x14ac:dyDescent="0.25">
      <c r="A121" s="8">
        <f>'A) Base RI'!A121</f>
        <v>5589</v>
      </c>
      <c r="B121" s="32" t="str">
        <f>'A) Base RI'!B121</f>
        <v>Prilly</v>
      </c>
      <c r="C121" s="10">
        <f>'A) Base RI'!C121+'A) Base RI'!D121</f>
        <v>21515878.09</v>
      </c>
      <c r="D121" s="10">
        <f>'A) Base RI'!AP121</f>
        <v>-618271.66</v>
      </c>
      <c r="E121" s="31">
        <f>'A) Base RI'!AQ121</f>
        <v>0</v>
      </c>
      <c r="F121" s="31">
        <f>'A) Base RI'!AR121</f>
        <v>-12230.55</v>
      </c>
      <c r="G121" s="412">
        <f t="shared" si="6"/>
        <v>20885375.879999999</v>
      </c>
      <c r="H121" s="10">
        <f>+'A) Base RI'!E121</f>
        <v>0</v>
      </c>
      <c r="I121" s="10">
        <f>+'A) Base RI'!F121</f>
        <v>0</v>
      </c>
      <c r="J121" s="10">
        <f>+'A) Base RI'!G121+'A) Base RI'!H121+'A) Base RI'!X121</f>
        <v>5489383.0499999998</v>
      </c>
      <c r="K121" s="10">
        <f>+'A) Base RI'!I121</f>
        <v>220436.72</v>
      </c>
      <c r="L121" s="10">
        <f>+'A) Base RI'!J121</f>
        <v>1464985.74</v>
      </c>
      <c r="M121" s="10">
        <f>+'A) Base RI'!K121</f>
        <v>372847.75</v>
      </c>
      <c r="N121" s="10">
        <f>+'A) Base RI'!Q121</f>
        <v>168095.45</v>
      </c>
      <c r="O121" s="10">
        <f t="shared" si="7"/>
        <v>2130244.3846153845</v>
      </c>
      <c r="P121" s="10">
        <f>+'A) Base RI'!L121</f>
        <v>2769317.7</v>
      </c>
      <c r="Q121" s="34">
        <f>'A) Base RI'!AS121</f>
        <v>1.3</v>
      </c>
      <c r="R121" s="412">
        <f t="shared" si="8"/>
        <v>30731368.97461538</v>
      </c>
      <c r="S121" s="33">
        <f>+'A) Base RI'!AN121</f>
        <v>73.5</v>
      </c>
      <c r="T121" s="412">
        <f t="shared" si="9"/>
        <v>28228276.839999996</v>
      </c>
      <c r="U121" s="412">
        <f t="shared" si="10"/>
        <v>418113.86360020924</v>
      </c>
      <c r="V121" s="10">
        <f>+'A) Base RI'!O121</f>
        <v>334470.8</v>
      </c>
      <c r="W121" s="10">
        <f>+'A) Base RI'!P121</f>
        <v>602913.05000000005</v>
      </c>
      <c r="X121" s="10">
        <f>+'A) Base RI'!R121</f>
        <v>578732.75</v>
      </c>
      <c r="Y121" s="412">
        <f t="shared" si="11"/>
        <v>1516116.6</v>
      </c>
      <c r="Z121" s="10">
        <f>+'A) Base RI'!N121</f>
        <v>1109829.25</v>
      </c>
      <c r="AA121" s="10">
        <f>'A) Base RI'!AO121</f>
        <v>12423</v>
      </c>
    </row>
    <row r="122" spans="1:27" x14ac:dyDescent="0.25">
      <c r="A122" s="8">
        <f>'A) Base RI'!A122</f>
        <v>5590</v>
      </c>
      <c r="B122" s="32" t="str">
        <f>'A) Base RI'!B122</f>
        <v>Pully</v>
      </c>
      <c r="C122" s="10">
        <f>'A) Base RI'!C122+'A) Base RI'!D122</f>
        <v>79682528.329999998</v>
      </c>
      <c r="D122" s="10">
        <f>'A) Base RI'!AP122</f>
        <v>-638237.35</v>
      </c>
      <c r="E122" s="31">
        <f>'A) Base RI'!AQ122</f>
        <v>0</v>
      </c>
      <c r="F122" s="31">
        <f>'A) Base RI'!AR122</f>
        <v>-504571.96</v>
      </c>
      <c r="G122" s="412">
        <f t="shared" si="6"/>
        <v>78539719.020000011</v>
      </c>
      <c r="H122" s="10">
        <f>+'A) Base RI'!E122</f>
        <v>0</v>
      </c>
      <c r="I122" s="10">
        <f>+'A) Base RI'!F122</f>
        <v>0</v>
      </c>
      <c r="J122" s="10">
        <f>+'A) Base RI'!G122+'A) Base RI'!H122+'A) Base RI'!X122</f>
        <v>4967397.5</v>
      </c>
      <c r="K122" s="10">
        <f>+'A) Base RI'!I122</f>
        <v>3301288.37</v>
      </c>
      <c r="L122" s="10">
        <f>+'A) Base RI'!J122</f>
        <v>1186437.55</v>
      </c>
      <c r="M122" s="10">
        <f>+'A) Base RI'!K122</f>
        <v>414725.95</v>
      </c>
      <c r="N122" s="10">
        <f>+'A) Base RI'!Q122</f>
        <v>153991.18</v>
      </c>
      <c r="O122" s="10">
        <f t="shared" si="7"/>
        <v>4955221.4285714291</v>
      </c>
      <c r="P122" s="10">
        <f>+'A) Base RI'!L122</f>
        <v>3468655</v>
      </c>
      <c r="Q122" s="34">
        <f>'A) Base RI'!AS122</f>
        <v>0.7</v>
      </c>
      <c r="R122" s="412">
        <f t="shared" si="8"/>
        <v>93518780.998571455</v>
      </c>
      <c r="S122" s="33">
        <f>+'A) Base RI'!AN122</f>
        <v>61</v>
      </c>
      <c r="T122" s="412">
        <f t="shared" si="9"/>
        <v>88148833.62000002</v>
      </c>
      <c r="U122" s="412">
        <f t="shared" si="10"/>
        <v>1533094.7704683845</v>
      </c>
      <c r="V122" s="10">
        <f>+'A) Base RI'!O122</f>
        <v>4380266.4000000004</v>
      </c>
      <c r="W122" s="10">
        <f>+'A) Base RI'!P122</f>
        <v>3501253.45</v>
      </c>
      <c r="X122" s="10">
        <f>+'A) Base RI'!R122</f>
        <v>2027511.3</v>
      </c>
      <c r="Y122" s="412">
        <f t="shared" si="11"/>
        <v>9909031.1500000004</v>
      </c>
      <c r="Z122" s="10">
        <f>+'A) Base RI'!N122</f>
        <v>164601.25</v>
      </c>
      <c r="AA122" s="10">
        <f>'A) Base RI'!AO122</f>
        <v>18495</v>
      </c>
    </row>
    <row r="123" spans="1:27" x14ac:dyDescent="0.25">
      <c r="A123" s="8">
        <f>'A) Base RI'!A123</f>
        <v>5591</v>
      </c>
      <c r="B123" s="32" t="str">
        <f>'A) Base RI'!B123</f>
        <v>Renens</v>
      </c>
      <c r="C123" s="10">
        <f>'A) Base RI'!C123+'A) Base RI'!D123</f>
        <v>33358787.299999997</v>
      </c>
      <c r="D123" s="10">
        <f>'A) Base RI'!AP123</f>
        <v>-1702671.9</v>
      </c>
      <c r="E123" s="31">
        <f>'A) Base RI'!AQ123</f>
        <v>0</v>
      </c>
      <c r="F123" s="31">
        <f>'A) Base RI'!AR123</f>
        <v>-5717.87</v>
      </c>
      <c r="G123" s="412">
        <f t="shared" si="6"/>
        <v>31650397.529999997</v>
      </c>
      <c r="H123" s="10">
        <f>+'A) Base RI'!E123</f>
        <v>0</v>
      </c>
      <c r="I123" s="10">
        <f>+'A) Base RI'!F123</f>
        <v>0</v>
      </c>
      <c r="J123" s="10">
        <f>+'A) Base RI'!G123+'A) Base RI'!H123+'A) Base RI'!X123</f>
        <v>5582899.1499999994</v>
      </c>
      <c r="K123" s="10">
        <f>+'A) Base RI'!I123</f>
        <v>0</v>
      </c>
      <c r="L123" s="10">
        <f>+'A) Base RI'!J123</f>
        <v>2461175.16</v>
      </c>
      <c r="M123" s="10">
        <f>+'A) Base RI'!K123</f>
        <v>652885.94999999995</v>
      </c>
      <c r="N123" s="10">
        <f>+'A) Base RI'!Q123</f>
        <v>230692.33</v>
      </c>
      <c r="O123" s="10">
        <f t="shared" si="7"/>
        <v>3627521.6785714286</v>
      </c>
      <c r="P123" s="10">
        <f>+'A) Base RI'!L123</f>
        <v>5078530.3499999996</v>
      </c>
      <c r="Q123" s="34">
        <f>'A) Base RI'!AS123</f>
        <v>1.4</v>
      </c>
      <c r="R123" s="412">
        <f t="shared" si="8"/>
        <v>44205571.79857143</v>
      </c>
      <c r="S123" s="33">
        <f>+'A) Base RI'!AN123</f>
        <v>78.5</v>
      </c>
      <c r="T123" s="412">
        <f t="shared" si="9"/>
        <v>39925164.170000002</v>
      </c>
      <c r="U123" s="412">
        <f t="shared" si="10"/>
        <v>563128.30316651508</v>
      </c>
      <c r="V123" s="10">
        <f>+'A) Base RI'!O123</f>
        <v>921785.2</v>
      </c>
      <c r="W123" s="10">
        <f>+'A) Base RI'!P123</f>
        <v>1260308.05</v>
      </c>
      <c r="X123" s="10">
        <f>+'A) Base RI'!R123</f>
        <v>608267.94999999995</v>
      </c>
      <c r="Y123" s="412">
        <f t="shared" si="11"/>
        <v>2790361.2</v>
      </c>
      <c r="Z123" s="10">
        <f>+'A) Base RI'!N123</f>
        <v>1922457.75</v>
      </c>
      <c r="AA123" s="10">
        <f>'A) Base RI'!AO123</f>
        <v>20928</v>
      </c>
    </row>
    <row r="124" spans="1:27" x14ac:dyDescent="0.25">
      <c r="A124" s="8">
        <f>'A) Base RI'!A124</f>
        <v>5592</v>
      </c>
      <c r="B124" s="32" t="str">
        <f>'A) Base RI'!B124</f>
        <v>Romanel-sur-Lausanne</v>
      </c>
      <c r="C124" s="10">
        <f>'A) Base RI'!C124+'A) Base RI'!D124</f>
        <v>6539151.0599999996</v>
      </c>
      <c r="D124" s="10">
        <f>'A) Base RI'!AP124</f>
        <v>-100338.42</v>
      </c>
      <c r="E124" s="31">
        <f>'A) Base RI'!AQ124</f>
        <v>0</v>
      </c>
      <c r="F124" s="31">
        <f>'A) Base RI'!AR124</f>
        <v>-6801.54</v>
      </c>
      <c r="G124" s="412">
        <f t="shared" si="6"/>
        <v>6432011.0999999996</v>
      </c>
      <c r="H124" s="10">
        <f>+'A) Base RI'!E124</f>
        <v>0</v>
      </c>
      <c r="I124" s="10">
        <f>+'A) Base RI'!F124</f>
        <v>0</v>
      </c>
      <c r="J124" s="10">
        <f>+'A) Base RI'!G124+'A) Base RI'!H124+'A) Base RI'!X124</f>
        <v>547848.19999999995</v>
      </c>
      <c r="K124" s="10">
        <f>+'A) Base RI'!I124</f>
        <v>43700.4</v>
      </c>
      <c r="L124" s="10">
        <f>+'A) Base RI'!J124</f>
        <v>162880.34</v>
      </c>
      <c r="M124" s="10">
        <f>+'A) Base RI'!K124</f>
        <v>161439.85</v>
      </c>
      <c r="N124" s="10">
        <f>+'A) Base RI'!Q124</f>
        <v>41231</v>
      </c>
      <c r="O124" s="10">
        <f t="shared" si="7"/>
        <v>795470.32000000007</v>
      </c>
      <c r="P124" s="10">
        <f>+'A) Base RI'!L124</f>
        <v>994337.9</v>
      </c>
      <c r="Q124" s="34">
        <f>'A) Base RI'!AS124</f>
        <v>1.25</v>
      </c>
      <c r="R124" s="412">
        <f t="shared" si="8"/>
        <v>8184581.21</v>
      </c>
      <c r="S124" s="33">
        <f>+'A) Base RI'!AN124</f>
        <v>72</v>
      </c>
      <c r="T124" s="412">
        <f t="shared" si="9"/>
        <v>7227671.04</v>
      </c>
      <c r="U124" s="412">
        <f t="shared" si="10"/>
        <v>113674.73902777777</v>
      </c>
      <c r="V124" s="10">
        <f>+'A) Base RI'!O124</f>
        <v>380218</v>
      </c>
      <c r="W124" s="10">
        <f>+'A) Base RI'!P124</f>
        <v>121950.1</v>
      </c>
      <c r="X124" s="10">
        <f>+'A) Base RI'!R124</f>
        <v>94441</v>
      </c>
      <c r="Y124" s="412">
        <f t="shared" si="11"/>
        <v>596609.1</v>
      </c>
      <c r="Z124" s="10">
        <f>+'A) Base RI'!N124</f>
        <v>201383</v>
      </c>
      <c r="AA124" s="10">
        <f>'A) Base RI'!AO124</f>
        <v>3294</v>
      </c>
    </row>
    <row r="125" spans="1:27" x14ac:dyDescent="0.25">
      <c r="A125" s="8">
        <f>'A) Base RI'!A125</f>
        <v>5601</v>
      </c>
      <c r="B125" s="32" t="str">
        <f>'A) Base RI'!B125</f>
        <v>Chexbres</v>
      </c>
      <c r="C125" s="10">
        <f>'A) Base RI'!C125+'A) Base RI'!D125</f>
        <v>6433289.5999999996</v>
      </c>
      <c r="D125" s="10">
        <f>'A) Base RI'!AP125</f>
        <v>-57692.12</v>
      </c>
      <c r="E125" s="31">
        <f>'A) Base RI'!AQ125</f>
        <v>0</v>
      </c>
      <c r="F125" s="31">
        <f>'A) Base RI'!AR125</f>
        <v>-9677.6</v>
      </c>
      <c r="G125" s="412">
        <f t="shared" si="6"/>
        <v>6365919.8799999999</v>
      </c>
      <c r="H125" s="10">
        <f>+'A) Base RI'!E125</f>
        <v>0</v>
      </c>
      <c r="I125" s="10">
        <f>+'A) Base RI'!F125</f>
        <v>0</v>
      </c>
      <c r="J125" s="10">
        <f>+'A) Base RI'!G125+'A) Base RI'!H125+'A) Base RI'!X125</f>
        <v>115559.20000000001</v>
      </c>
      <c r="K125" s="10">
        <f>+'A) Base RI'!I125</f>
        <v>64727.199999999997</v>
      </c>
      <c r="L125" s="10">
        <f>+'A) Base RI'!J125</f>
        <v>103715.89</v>
      </c>
      <c r="M125" s="10">
        <f>+'A) Base RI'!K125</f>
        <v>17302.2</v>
      </c>
      <c r="N125" s="10">
        <f>+'A) Base RI'!Q125</f>
        <v>2989.27</v>
      </c>
      <c r="O125" s="10">
        <f t="shared" si="7"/>
        <v>469284.35</v>
      </c>
      <c r="P125" s="10">
        <f>+'A) Base RI'!L125</f>
        <v>469284.35</v>
      </c>
      <c r="Q125" s="34">
        <f>'A) Base RI'!AS125</f>
        <v>1</v>
      </c>
      <c r="R125" s="412">
        <f t="shared" si="8"/>
        <v>7139497.9899999993</v>
      </c>
      <c r="S125" s="33">
        <f>+'A) Base RI'!AN125</f>
        <v>69</v>
      </c>
      <c r="T125" s="412">
        <f t="shared" si="9"/>
        <v>6652911.4399999995</v>
      </c>
      <c r="U125" s="412">
        <f t="shared" si="10"/>
        <v>103470.98536231882</v>
      </c>
      <c r="V125" s="10">
        <f>+'A) Base RI'!O125</f>
        <v>256324.27</v>
      </c>
      <c r="W125" s="10">
        <f>+'A) Base RI'!P125</f>
        <v>311922.5</v>
      </c>
      <c r="X125" s="10">
        <f>+'A) Base RI'!R125</f>
        <v>247739.15</v>
      </c>
      <c r="Y125" s="412">
        <f t="shared" si="11"/>
        <v>815985.92</v>
      </c>
      <c r="Z125" s="10">
        <f>+'A) Base RI'!N125</f>
        <v>57507.3</v>
      </c>
      <c r="AA125" s="10">
        <f>'A) Base RI'!AO125</f>
        <v>2235</v>
      </c>
    </row>
    <row r="126" spans="1:27" x14ac:dyDescent="0.25">
      <c r="A126" s="8">
        <f>'A) Base RI'!A126</f>
        <v>5604</v>
      </c>
      <c r="B126" s="32" t="str">
        <f>'A) Base RI'!B126</f>
        <v>Forel (Lavaux)</v>
      </c>
      <c r="C126" s="10">
        <f>'A) Base RI'!C126+'A) Base RI'!D126</f>
        <v>4358457.34</v>
      </c>
      <c r="D126" s="10">
        <f>'A) Base RI'!AP126</f>
        <v>-45194.54</v>
      </c>
      <c r="E126" s="31">
        <f>'A) Base RI'!AQ126</f>
        <v>0</v>
      </c>
      <c r="F126" s="31">
        <f>'A) Base RI'!AR126</f>
        <v>-2048.46</v>
      </c>
      <c r="G126" s="412">
        <f t="shared" si="6"/>
        <v>4311214.34</v>
      </c>
      <c r="H126" s="10">
        <f>+'A) Base RI'!E126</f>
        <v>0</v>
      </c>
      <c r="I126" s="10">
        <f>+'A) Base RI'!F126</f>
        <v>0</v>
      </c>
      <c r="J126" s="10">
        <f>+'A) Base RI'!G126+'A) Base RI'!H126+'A) Base RI'!X126</f>
        <v>389305.35000000003</v>
      </c>
      <c r="K126" s="10">
        <f>+'A) Base RI'!I126</f>
        <v>-51604.83</v>
      </c>
      <c r="L126" s="10">
        <f>+'A) Base RI'!J126</f>
        <v>89157.26</v>
      </c>
      <c r="M126" s="10">
        <f>+'A) Base RI'!K126</f>
        <v>35285.199999999997</v>
      </c>
      <c r="N126" s="10">
        <f>+'A) Base RI'!Q126</f>
        <v>9002.76</v>
      </c>
      <c r="O126" s="10">
        <f t="shared" si="7"/>
        <v>395619</v>
      </c>
      <c r="P126" s="10">
        <f>+'A) Base RI'!L126</f>
        <v>395619</v>
      </c>
      <c r="Q126" s="34">
        <f>'A) Base RI'!AS126</f>
        <v>1</v>
      </c>
      <c r="R126" s="412">
        <f t="shared" si="8"/>
        <v>5177979.0799999991</v>
      </c>
      <c r="S126" s="33">
        <f>+'A) Base RI'!AN126</f>
        <v>70</v>
      </c>
      <c r="T126" s="412">
        <f t="shared" si="9"/>
        <v>4747074.879999999</v>
      </c>
      <c r="U126" s="412">
        <f t="shared" si="10"/>
        <v>73971.129714285707</v>
      </c>
      <c r="V126" s="10">
        <f>+'A) Base RI'!O126</f>
        <v>0</v>
      </c>
      <c r="W126" s="10">
        <f>+'A) Base RI'!P126</f>
        <v>184340.3</v>
      </c>
      <c r="X126" s="10">
        <f>+'A) Base RI'!R126</f>
        <v>160109.79999999999</v>
      </c>
      <c r="Y126" s="412">
        <f t="shared" si="11"/>
        <v>344450.1</v>
      </c>
      <c r="Z126" s="10">
        <f>+'A) Base RI'!N126</f>
        <v>86564.800000000003</v>
      </c>
      <c r="AA126" s="10">
        <f>'A) Base RI'!AO126</f>
        <v>2064</v>
      </c>
    </row>
    <row r="127" spans="1:27" x14ac:dyDescent="0.25">
      <c r="A127" s="8">
        <f>'A) Base RI'!A127</f>
        <v>5606</v>
      </c>
      <c r="B127" s="32" t="str">
        <f>'A) Base RI'!B127</f>
        <v>Lutry</v>
      </c>
      <c r="C127" s="10">
        <f>'A) Base RI'!C127+'A) Base RI'!D127</f>
        <v>38208729.310000002</v>
      </c>
      <c r="D127" s="10">
        <f>'A) Base RI'!AP127</f>
        <v>-303794.59999999998</v>
      </c>
      <c r="E127" s="31">
        <f>'A) Base RI'!AQ127</f>
        <v>0</v>
      </c>
      <c r="F127" s="31">
        <f>'A) Base RI'!AR127</f>
        <v>-159766.5</v>
      </c>
      <c r="G127" s="412">
        <f t="shared" si="6"/>
        <v>37745168.210000001</v>
      </c>
      <c r="H127" s="10">
        <f>+'A) Base RI'!E127</f>
        <v>0</v>
      </c>
      <c r="I127" s="10">
        <f>+'A) Base RI'!F127</f>
        <v>0</v>
      </c>
      <c r="J127" s="10">
        <f>+'A) Base RI'!G127+'A) Base RI'!H127+'A) Base RI'!X127</f>
        <v>2379368.2999999998</v>
      </c>
      <c r="K127" s="10">
        <f>+'A) Base RI'!I127</f>
        <v>661389.89</v>
      </c>
      <c r="L127" s="10">
        <f>+'A) Base RI'!J127</f>
        <v>732958.03</v>
      </c>
      <c r="M127" s="10">
        <f>+'A) Base RI'!K127</f>
        <v>15175.75</v>
      </c>
      <c r="N127" s="10">
        <f>+'A) Base RI'!Q127</f>
        <v>154093.64000000001</v>
      </c>
      <c r="O127" s="10">
        <f t="shared" si="7"/>
        <v>3100254.8571428573</v>
      </c>
      <c r="P127" s="10">
        <f>+'A) Base RI'!L127</f>
        <v>2170178.4</v>
      </c>
      <c r="Q127" s="34">
        <f>'A) Base RI'!AS127</f>
        <v>0.7</v>
      </c>
      <c r="R127" s="412">
        <f t="shared" si="8"/>
        <v>44788408.677142859</v>
      </c>
      <c r="S127" s="33">
        <f>+'A) Base RI'!AN127</f>
        <v>55.5</v>
      </c>
      <c r="T127" s="412">
        <f t="shared" si="9"/>
        <v>41672978.07</v>
      </c>
      <c r="U127" s="412">
        <f t="shared" si="10"/>
        <v>806998.35454311455</v>
      </c>
      <c r="V127" s="10">
        <f>+'A) Base RI'!O127</f>
        <v>3701485.1</v>
      </c>
      <c r="W127" s="10">
        <f>+'A) Base RI'!P127</f>
        <v>1961135.05</v>
      </c>
      <c r="X127" s="10">
        <f>+'A) Base RI'!R127</f>
        <v>1637609.95</v>
      </c>
      <c r="Y127" s="412">
        <f t="shared" si="11"/>
        <v>7300230.1000000006</v>
      </c>
      <c r="Z127" s="10">
        <f>+'A) Base RI'!N127</f>
        <v>105724.85</v>
      </c>
      <c r="AA127" s="10">
        <f>'A) Base RI'!AO127</f>
        <v>10357</v>
      </c>
    </row>
    <row r="128" spans="1:27" x14ac:dyDescent="0.25">
      <c r="A128" s="8">
        <f>'A) Base RI'!A128</f>
        <v>5607</v>
      </c>
      <c r="B128" s="32" t="str">
        <f>'A) Base RI'!B128</f>
        <v>Puidoux</v>
      </c>
      <c r="C128" s="10">
        <f>'A) Base RI'!C128+'A) Base RI'!D128</f>
        <v>5569760.0300000003</v>
      </c>
      <c r="D128" s="10">
        <f>'A) Base RI'!AP128</f>
        <v>-74781.320000000007</v>
      </c>
      <c r="E128" s="31">
        <f>'A) Base RI'!AQ128</f>
        <v>0</v>
      </c>
      <c r="F128" s="31">
        <f>'A) Base RI'!AR128</f>
        <v>-5345.3</v>
      </c>
      <c r="G128" s="412">
        <f t="shared" si="6"/>
        <v>5489633.4100000001</v>
      </c>
      <c r="H128" s="10">
        <f>+'A) Base RI'!E128</f>
        <v>0</v>
      </c>
      <c r="I128" s="10">
        <f>+'A) Base RI'!F128</f>
        <v>0</v>
      </c>
      <c r="J128" s="10">
        <f>+'A) Base RI'!G128+'A) Base RI'!H128+'A) Base RI'!X128</f>
        <v>689864.1</v>
      </c>
      <c r="K128" s="10">
        <f>+'A) Base RI'!I128</f>
        <v>316.95</v>
      </c>
      <c r="L128" s="10">
        <f>+'A) Base RI'!J128</f>
        <v>161595.10999999999</v>
      </c>
      <c r="M128" s="10">
        <f>+'A) Base RI'!K128</f>
        <v>87492.800000000003</v>
      </c>
      <c r="N128" s="10">
        <f>+'A) Base RI'!Q128</f>
        <v>8091.47</v>
      </c>
      <c r="O128" s="10">
        <f t="shared" si="7"/>
        <v>627275.95652173914</v>
      </c>
      <c r="P128" s="10">
        <f>+'A) Base RI'!L128</f>
        <v>721367.35</v>
      </c>
      <c r="Q128" s="34">
        <f>'A) Base RI'!AS128</f>
        <v>1.1499999999999999</v>
      </c>
      <c r="R128" s="412">
        <f t="shared" si="8"/>
        <v>7064269.7965217391</v>
      </c>
      <c r="S128" s="33">
        <f>+'A) Base RI'!AN128</f>
        <v>70</v>
      </c>
      <c r="T128" s="412">
        <f t="shared" si="9"/>
        <v>6349501.04</v>
      </c>
      <c r="U128" s="412">
        <f t="shared" si="10"/>
        <v>100918.13995031056</v>
      </c>
      <c r="V128" s="10">
        <f>+'A) Base RI'!O128</f>
        <v>15639.5</v>
      </c>
      <c r="W128" s="10">
        <f>+'A) Base RI'!P128</f>
        <v>175089.25</v>
      </c>
      <c r="X128" s="10">
        <f>+'A) Base RI'!R128</f>
        <v>53142.6</v>
      </c>
      <c r="Y128" s="412">
        <f t="shared" si="11"/>
        <v>243871.35</v>
      </c>
      <c r="Z128" s="10">
        <f>+'A) Base RI'!N128</f>
        <v>204335.45</v>
      </c>
      <c r="AA128" s="10">
        <f>'A) Base RI'!AO128</f>
        <v>2881</v>
      </c>
    </row>
    <row r="129" spans="1:27" x14ac:dyDescent="0.25">
      <c r="A129" s="8">
        <f>'A) Base RI'!A129</f>
        <v>5609</v>
      </c>
      <c r="B129" s="32" t="str">
        <f>'A) Base RI'!B129</f>
        <v>Rivaz</v>
      </c>
      <c r="C129" s="10">
        <f>'A) Base RI'!C129+'A) Base RI'!D129</f>
        <v>780419.38</v>
      </c>
      <c r="D129" s="10">
        <f>'A) Base RI'!AP129</f>
        <v>186.16</v>
      </c>
      <c r="E129" s="31">
        <f>'A) Base RI'!AQ129</f>
        <v>0</v>
      </c>
      <c r="F129" s="31">
        <f>'A) Base RI'!AR129</f>
        <v>-797.53</v>
      </c>
      <c r="G129" s="412">
        <f t="shared" si="6"/>
        <v>779808.01</v>
      </c>
      <c r="H129" s="10">
        <f>+'A) Base RI'!E129</f>
        <v>0</v>
      </c>
      <c r="I129" s="10">
        <f>+'A) Base RI'!F129</f>
        <v>0</v>
      </c>
      <c r="J129" s="10">
        <f>+'A) Base RI'!G129+'A) Base RI'!H129+'A) Base RI'!X129</f>
        <v>30152.95</v>
      </c>
      <c r="K129" s="10">
        <f>+'A) Base RI'!I129</f>
        <v>0</v>
      </c>
      <c r="L129" s="10">
        <f>+'A) Base RI'!J129</f>
        <v>1962.36</v>
      </c>
      <c r="M129" s="10">
        <f>+'A) Base RI'!K129</f>
        <v>-2215.1</v>
      </c>
      <c r="N129" s="10">
        <f>+'A) Base RI'!Q129</f>
        <v>0</v>
      </c>
      <c r="O129" s="10">
        <f t="shared" si="7"/>
        <v>56532.35</v>
      </c>
      <c r="P129" s="10">
        <f>+'A) Base RI'!L129</f>
        <v>56532.35</v>
      </c>
      <c r="Q129" s="34">
        <f>'A) Base RI'!AS129</f>
        <v>1</v>
      </c>
      <c r="R129" s="412">
        <f t="shared" si="8"/>
        <v>866240.57</v>
      </c>
      <c r="S129" s="33">
        <f>+'A) Base RI'!AN129</f>
        <v>63.5</v>
      </c>
      <c r="T129" s="412">
        <f t="shared" si="9"/>
        <v>811923.32</v>
      </c>
      <c r="U129" s="412">
        <f t="shared" si="10"/>
        <v>13641.583779527558</v>
      </c>
      <c r="V129" s="10">
        <f>+'A) Base RI'!O129</f>
        <v>0</v>
      </c>
      <c r="W129" s="10">
        <f>+'A) Base RI'!P129</f>
        <v>37235</v>
      </c>
      <c r="X129" s="10">
        <f>+'A) Base RI'!R129</f>
        <v>0</v>
      </c>
      <c r="Y129" s="412">
        <f t="shared" si="11"/>
        <v>37235</v>
      </c>
      <c r="Z129" s="10">
        <f>+'A) Base RI'!N129</f>
        <v>0</v>
      </c>
      <c r="AA129" s="10">
        <f>'A) Base RI'!AO129</f>
        <v>342</v>
      </c>
    </row>
    <row r="130" spans="1:27" x14ac:dyDescent="0.25">
      <c r="A130" s="8">
        <f>'A) Base RI'!A130</f>
        <v>5610</v>
      </c>
      <c r="B130" s="32" t="str">
        <f>'A) Base RI'!B130</f>
        <v>St-Saphorin (Lavaux)</v>
      </c>
      <c r="C130" s="10">
        <f>'A) Base RI'!C130+'A) Base RI'!D130</f>
        <v>1330390.55</v>
      </c>
      <c r="D130" s="10">
        <f>'A) Base RI'!AP130</f>
        <v>-3365.87</v>
      </c>
      <c r="E130" s="31">
        <f>'A) Base RI'!AQ130</f>
        <v>0</v>
      </c>
      <c r="F130" s="31">
        <f>'A) Base RI'!AR130</f>
        <v>-2770.18</v>
      </c>
      <c r="G130" s="412">
        <f t="shared" si="6"/>
        <v>1324254.5</v>
      </c>
      <c r="H130" s="10">
        <f>+'A) Base RI'!E130</f>
        <v>0</v>
      </c>
      <c r="I130" s="10">
        <f>+'A) Base RI'!F130</f>
        <v>0</v>
      </c>
      <c r="J130" s="10">
        <f>+'A) Base RI'!G130+'A) Base RI'!H130+'A) Base RI'!X130</f>
        <v>12016.599999999999</v>
      </c>
      <c r="K130" s="10">
        <f>+'A) Base RI'!I130</f>
        <v>50381</v>
      </c>
      <c r="L130" s="10">
        <f>+'A) Base RI'!J130</f>
        <v>34295.31</v>
      </c>
      <c r="M130" s="10">
        <f>+'A) Base RI'!K130</f>
        <v>6538.15</v>
      </c>
      <c r="N130" s="10">
        <f>+'A) Base RI'!Q130</f>
        <v>14240.1</v>
      </c>
      <c r="O130" s="10">
        <f t="shared" si="7"/>
        <v>117784.25</v>
      </c>
      <c r="P130" s="10">
        <f>+'A) Base RI'!L130</f>
        <v>117784.25</v>
      </c>
      <c r="Q130" s="34">
        <f>'A) Base RI'!AS130</f>
        <v>1</v>
      </c>
      <c r="R130" s="412">
        <f t="shared" si="8"/>
        <v>1559509.9100000001</v>
      </c>
      <c r="S130" s="33">
        <f>+'A) Base RI'!AN130</f>
        <v>70</v>
      </c>
      <c r="T130" s="412">
        <f t="shared" si="9"/>
        <v>1435187.5100000002</v>
      </c>
      <c r="U130" s="412">
        <f t="shared" si="10"/>
        <v>22278.713000000003</v>
      </c>
      <c r="V130" s="10">
        <f>+'A) Base RI'!O130</f>
        <v>86</v>
      </c>
      <c r="W130" s="10">
        <f>+'A) Base RI'!P130</f>
        <v>22836</v>
      </c>
      <c r="X130" s="10">
        <f>+'A) Base RI'!R130</f>
        <v>10880.35</v>
      </c>
      <c r="Y130" s="412">
        <f t="shared" si="11"/>
        <v>33802.35</v>
      </c>
      <c r="Z130" s="10">
        <f>+'A) Base RI'!N130</f>
        <v>0</v>
      </c>
      <c r="AA130" s="10">
        <f>'A) Base RI'!AO130</f>
        <v>384</v>
      </c>
    </row>
    <row r="131" spans="1:27" x14ac:dyDescent="0.25">
      <c r="A131" s="8">
        <f>'A) Base RI'!A131</f>
        <v>5611</v>
      </c>
      <c r="B131" s="32" t="str">
        <f>'A) Base RI'!B131</f>
        <v>Savigny</v>
      </c>
      <c r="C131" s="10">
        <f>'A) Base RI'!C131+'A) Base RI'!D131</f>
        <v>7996856.1799999997</v>
      </c>
      <c r="D131" s="10">
        <f>'A) Base RI'!AP131</f>
        <v>-86054.84</v>
      </c>
      <c r="E131" s="31">
        <f>'A) Base RI'!AQ131</f>
        <v>0</v>
      </c>
      <c r="F131" s="31">
        <f>'A) Base RI'!AR131</f>
        <v>-2681.59</v>
      </c>
      <c r="G131" s="412">
        <f t="shared" si="6"/>
        <v>7908119.75</v>
      </c>
      <c r="H131" s="10">
        <f>+'A) Base RI'!E131</f>
        <v>0</v>
      </c>
      <c r="I131" s="10">
        <f>+'A) Base RI'!F131</f>
        <v>0</v>
      </c>
      <c r="J131" s="10">
        <f>+'A) Base RI'!G131+'A) Base RI'!H131+'A) Base RI'!X131</f>
        <v>395584.5</v>
      </c>
      <c r="K131" s="10">
        <f>+'A) Base RI'!I131</f>
        <v>190349.05</v>
      </c>
      <c r="L131" s="10">
        <f>+'A) Base RI'!J131</f>
        <v>80537.88</v>
      </c>
      <c r="M131" s="10">
        <f>+'A) Base RI'!K131</f>
        <v>21559.95</v>
      </c>
      <c r="N131" s="10">
        <f>+'A) Base RI'!Q131</f>
        <v>60029.8</v>
      </c>
      <c r="O131" s="10">
        <f t="shared" si="7"/>
        <v>653971.375</v>
      </c>
      <c r="P131" s="10">
        <f>+'A) Base RI'!L131</f>
        <v>784765.65</v>
      </c>
      <c r="Q131" s="34">
        <f>'A) Base RI'!AS131</f>
        <v>1.2</v>
      </c>
      <c r="R131" s="412">
        <f t="shared" si="8"/>
        <v>9310152.3050000016</v>
      </c>
      <c r="S131" s="33">
        <f>+'A) Base RI'!AN131</f>
        <v>69</v>
      </c>
      <c r="T131" s="412">
        <f t="shared" si="9"/>
        <v>8634620.9800000023</v>
      </c>
      <c r="U131" s="412">
        <f t="shared" si="10"/>
        <v>134929.74355072467</v>
      </c>
      <c r="V131" s="10">
        <f>+'A) Base RI'!O131</f>
        <v>464859.4</v>
      </c>
      <c r="W131" s="10">
        <f>+'A) Base RI'!P131</f>
        <v>449852.7</v>
      </c>
      <c r="X131" s="10">
        <f>+'A) Base RI'!R131</f>
        <v>327873.59999999998</v>
      </c>
      <c r="Y131" s="412">
        <f t="shared" si="11"/>
        <v>1242585.7000000002</v>
      </c>
      <c r="Z131" s="10">
        <f>+'A) Base RI'!N131</f>
        <v>112933.35</v>
      </c>
      <c r="AA131" s="10">
        <f>'A) Base RI'!AO131</f>
        <v>3359</v>
      </c>
    </row>
    <row r="132" spans="1:27" x14ac:dyDescent="0.25">
      <c r="A132" s="8">
        <f>'A) Base RI'!A132</f>
        <v>5613</v>
      </c>
      <c r="B132" s="32" t="str">
        <f>'A) Base RI'!B132</f>
        <v>Bourg-en-Lavaux</v>
      </c>
      <c r="C132" s="10">
        <f>'A) Base RI'!C132+'A) Base RI'!D132</f>
        <v>19493009.640000001</v>
      </c>
      <c r="D132" s="10">
        <f>'A) Base RI'!AP132</f>
        <v>-152033.82999999999</v>
      </c>
      <c r="E132" s="31">
        <f>'A) Base RI'!AQ132</f>
        <v>0</v>
      </c>
      <c r="F132" s="31">
        <f>'A) Base RI'!AR132</f>
        <v>-34937.79</v>
      </c>
      <c r="G132" s="412">
        <f t="shared" si="6"/>
        <v>19306038.020000003</v>
      </c>
      <c r="H132" s="10">
        <f>+'A) Base RI'!E132</f>
        <v>0</v>
      </c>
      <c r="I132" s="10">
        <f>+'A) Base RI'!F132</f>
        <v>0</v>
      </c>
      <c r="J132" s="10">
        <f>+'A) Base RI'!G132+'A) Base RI'!H132+'A) Base RI'!X132</f>
        <v>230176.45</v>
      </c>
      <c r="K132" s="10">
        <f>+'A) Base RI'!I132</f>
        <v>58526.3</v>
      </c>
      <c r="L132" s="10">
        <f>+'A) Base RI'!J132</f>
        <v>287131.86</v>
      </c>
      <c r="M132" s="10">
        <f>+'A) Base RI'!K132</f>
        <v>13872.85</v>
      </c>
      <c r="N132" s="10">
        <f>+'A) Base RI'!Q132</f>
        <v>18206.759999999998</v>
      </c>
      <c r="O132" s="10">
        <f t="shared" si="7"/>
        <v>1406167.7</v>
      </c>
      <c r="P132" s="10">
        <f>+'A) Base RI'!L132</f>
        <v>2109251.5499999998</v>
      </c>
      <c r="Q132" s="34">
        <f>'A) Base RI'!AS132</f>
        <v>1.5</v>
      </c>
      <c r="R132" s="412">
        <f t="shared" si="8"/>
        <v>21320119.940000005</v>
      </c>
      <c r="S132" s="33">
        <f>+'A) Base RI'!AN132</f>
        <v>64</v>
      </c>
      <c r="T132" s="412">
        <f t="shared" si="9"/>
        <v>19900079.390000004</v>
      </c>
      <c r="U132" s="412">
        <f t="shared" si="10"/>
        <v>333126.87406250008</v>
      </c>
      <c r="V132" s="10">
        <f>+'A) Base RI'!O132</f>
        <v>86891.4</v>
      </c>
      <c r="W132" s="10">
        <f>+'A) Base RI'!P132</f>
        <v>900803.75</v>
      </c>
      <c r="X132" s="10">
        <f>+'A) Base RI'!R132</f>
        <v>975496.75</v>
      </c>
      <c r="Y132" s="412">
        <f t="shared" si="11"/>
        <v>1963191.9</v>
      </c>
      <c r="Z132" s="10">
        <f>+'A) Base RI'!N132</f>
        <v>39562.800000000003</v>
      </c>
      <c r="AA132" s="10">
        <f>'A) Base RI'!AO132</f>
        <v>5345</v>
      </c>
    </row>
    <row r="133" spans="1:27" x14ac:dyDescent="0.25">
      <c r="A133" s="8">
        <f>'A) Base RI'!A133</f>
        <v>5621</v>
      </c>
      <c r="B133" s="32" t="str">
        <f>'A) Base RI'!B133</f>
        <v>Aclens</v>
      </c>
      <c r="C133" s="10">
        <f>'A) Base RI'!C133+'A) Base RI'!D133</f>
        <v>1175623.92</v>
      </c>
      <c r="D133" s="10">
        <f>'A) Base RI'!AP133</f>
        <v>-231875.29</v>
      </c>
      <c r="E133" s="31">
        <f>'A) Base RI'!AQ133</f>
        <v>0</v>
      </c>
      <c r="F133" s="31">
        <f>'A) Base RI'!AR133</f>
        <v>-1477.67</v>
      </c>
      <c r="G133" s="412">
        <f t="shared" si="6"/>
        <v>942270.95999999985</v>
      </c>
      <c r="H133" s="10">
        <f>+'A) Base RI'!E133</f>
        <v>0</v>
      </c>
      <c r="I133" s="10">
        <f>+'A) Base RI'!F133</f>
        <v>0</v>
      </c>
      <c r="J133" s="10">
        <f>+'A) Base RI'!G133+'A) Base RI'!H133+'A) Base RI'!X133</f>
        <v>379946.35</v>
      </c>
      <c r="K133" s="10">
        <f>+'A) Base RI'!I133</f>
        <v>0</v>
      </c>
      <c r="L133" s="10">
        <f>+'A) Base RI'!J133</f>
        <v>71331.09</v>
      </c>
      <c r="M133" s="10">
        <f>+'A) Base RI'!K133</f>
        <v>24888.65</v>
      </c>
      <c r="N133" s="10">
        <f>+'A) Base RI'!Q133</f>
        <v>34.49</v>
      </c>
      <c r="O133" s="10">
        <f t="shared" si="7"/>
        <v>287452.63636363635</v>
      </c>
      <c r="P133" s="10">
        <f>+'A) Base RI'!L133</f>
        <v>316197.90000000002</v>
      </c>
      <c r="Q133" s="34">
        <f>'A) Base RI'!AS133</f>
        <v>1.1000000000000001</v>
      </c>
      <c r="R133" s="412">
        <f t="shared" si="8"/>
        <v>1705924.1763636363</v>
      </c>
      <c r="S133" s="33">
        <f>+'A) Base RI'!AN133</f>
        <v>62</v>
      </c>
      <c r="T133" s="412">
        <f t="shared" si="9"/>
        <v>1393582.89</v>
      </c>
      <c r="U133" s="412">
        <f t="shared" si="10"/>
        <v>27514.906070381232</v>
      </c>
      <c r="V133" s="10">
        <f>+'A) Base RI'!O133</f>
        <v>43551</v>
      </c>
      <c r="W133" s="10">
        <f>+'A) Base RI'!P133</f>
        <v>118046.65</v>
      </c>
      <c r="X133" s="10">
        <f>+'A) Base RI'!R133</f>
        <v>25159.75</v>
      </c>
      <c r="Y133" s="412">
        <f t="shared" si="11"/>
        <v>186757.4</v>
      </c>
      <c r="Z133" s="10">
        <f>+'A) Base RI'!N133</f>
        <v>163883.20000000001</v>
      </c>
      <c r="AA133" s="10">
        <f>'A) Base RI'!AO133</f>
        <v>539</v>
      </c>
    </row>
    <row r="134" spans="1:27" x14ac:dyDescent="0.25">
      <c r="A134" s="8">
        <f>'A) Base RI'!A134</f>
        <v>5622</v>
      </c>
      <c r="B134" s="32" t="str">
        <f>'A) Base RI'!B134</f>
        <v>Bremblens</v>
      </c>
      <c r="C134" s="10">
        <f>'A) Base RI'!C134+'A) Base RI'!D134</f>
        <v>1685899.49</v>
      </c>
      <c r="D134" s="10">
        <f>'A) Base RI'!AP134</f>
        <v>-14399.56</v>
      </c>
      <c r="E134" s="31">
        <f>'A) Base RI'!AQ134</f>
        <v>0</v>
      </c>
      <c r="F134" s="31">
        <f>'A) Base RI'!AR134</f>
        <v>-66.39</v>
      </c>
      <c r="G134" s="412">
        <f t="shared" si="6"/>
        <v>1671433.54</v>
      </c>
      <c r="H134" s="10">
        <f>+'A) Base RI'!E134</f>
        <v>0</v>
      </c>
      <c r="I134" s="10">
        <f>+'A) Base RI'!F134</f>
        <v>0</v>
      </c>
      <c r="J134" s="10">
        <f>+'A) Base RI'!G134+'A) Base RI'!H134+'A) Base RI'!X134</f>
        <v>-6914.4500000000044</v>
      </c>
      <c r="K134" s="10">
        <f>+'A) Base RI'!I134</f>
        <v>0</v>
      </c>
      <c r="L134" s="10">
        <f>+'A) Base RI'!J134</f>
        <v>606.11</v>
      </c>
      <c r="M134" s="10">
        <f>+'A) Base RI'!K134</f>
        <v>5229</v>
      </c>
      <c r="N134" s="10">
        <f>+'A) Base RI'!Q134</f>
        <v>56.41</v>
      </c>
      <c r="O134" s="10">
        <f t="shared" si="7"/>
        <v>144929.4</v>
      </c>
      <c r="P134" s="10">
        <f>+'A) Base RI'!L134</f>
        <v>144929.4</v>
      </c>
      <c r="Q134" s="34">
        <f>'A) Base RI'!AS134</f>
        <v>1</v>
      </c>
      <c r="R134" s="412">
        <f t="shared" si="8"/>
        <v>1815340.01</v>
      </c>
      <c r="S134" s="33">
        <f>+'A) Base RI'!AN134</f>
        <v>66</v>
      </c>
      <c r="T134" s="412">
        <f t="shared" si="9"/>
        <v>1665181.61</v>
      </c>
      <c r="U134" s="412">
        <f t="shared" si="10"/>
        <v>27505.151666666668</v>
      </c>
      <c r="V134" s="10">
        <f>+'A) Base RI'!O134</f>
        <v>0</v>
      </c>
      <c r="W134" s="10">
        <f>+'A) Base RI'!P134</f>
        <v>103342.3</v>
      </c>
      <c r="X134" s="10">
        <f>+'A) Base RI'!R134</f>
        <v>123840.05</v>
      </c>
      <c r="Y134" s="412">
        <f t="shared" si="11"/>
        <v>227182.35</v>
      </c>
      <c r="Z134" s="10">
        <f>+'A) Base RI'!N134</f>
        <v>25229.55</v>
      </c>
      <c r="AA134" s="10">
        <f>'A) Base RI'!AO134</f>
        <v>577</v>
      </c>
    </row>
    <row r="135" spans="1:27" x14ac:dyDescent="0.25">
      <c r="A135" s="8">
        <f>'A) Base RI'!A135</f>
        <v>5623</v>
      </c>
      <c r="B135" s="32" t="str">
        <f>'A) Base RI'!B135</f>
        <v>Buchillon</v>
      </c>
      <c r="C135" s="10">
        <f>'A) Base RI'!C135+'A) Base RI'!D135</f>
        <v>4108402.6</v>
      </c>
      <c r="D135" s="10">
        <f>'A) Base RI'!AP135</f>
        <v>-14018.87</v>
      </c>
      <c r="E135" s="31">
        <f>'A) Base RI'!AQ135</f>
        <v>0</v>
      </c>
      <c r="F135" s="31">
        <f>'A) Base RI'!AR135</f>
        <v>-30316.97</v>
      </c>
      <c r="G135" s="412">
        <f t="shared" si="6"/>
        <v>4064066.76</v>
      </c>
      <c r="H135" s="10">
        <f>+'A) Base RI'!E135</f>
        <v>0</v>
      </c>
      <c r="I135" s="10">
        <f>+'A) Base RI'!F135</f>
        <v>0</v>
      </c>
      <c r="J135" s="10">
        <f>+'A) Base RI'!G135+'A) Base RI'!H135+'A) Base RI'!X135</f>
        <v>156428.6</v>
      </c>
      <c r="K135" s="10">
        <f>+'A) Base RI'!I135</f>
        <v>218773.05</v>
      </c>
      <c r="L135" s="10">
        <f>+'A) Base RI'!J135</f>
        <v>-25990.65</v>
      </c>
      <c r="M135" s="10">
        <f>+'A) Base RI'!K135</f>
        <v>2749</v>
      </c>
      <c r="N135" s="10">
        <f>+'A) Base RI'!Q135</f>
        <v>0</v>
      </c>
      <c r="O135" s="10">
        <f t="shared" si="7"/>
        <v>342307.8</v>
      </c>
      <c r="P135" s="10">
        <f>+'A) Base RI'!L135</f>
        <v>342307.8</v>
      </c>
      <c r="Q135" s="34">
        <f>'A) Base RI'!AS135</f>
        <v>1</v>
      </c>
      <c r="R135" s="412">
        <f t="shared" si="8"/>
        <v>4758334.5599999987</v>
      </c>
      <c r="S135" s="33">
        <f>+'A) Base RI'!AN135</f>
        <v>53</v>
      </c>
      <c r="T135" s="412">
        <f t="shared" si="9"/>
        <v>4413277.7599999988</v>
      </c>
      <c r="U135" s="412">
        <f t="shared" si="10"/>
        <v>89779.897358490547</v>
      </c>
      <c r="V135" s="10">
        <f>+'A) Base RI'!O135</f>
        <v>0</v>
      </c>
      <c r="W135" s="10">
        <f>+'A) Base RI'!P135</f>
        <v>252395.05</v>
      </c>
      <c r="X135" s="10">
        <f>+'A) Base RI'!R135</f>
        <v>213419.05</v>
      </c>
      <c r="Y135" s="412">
        <f t="shared" si="11"/>
        <v>465814.1</v>
      </c>
      <c r="Z135" s="10">
        <f>+'A) Base RI'!N135</f>
        <v>1708.45</v>
      </c>
      <c r="AA135" s="10">
        <f>'A) Base RI'!AO135</f>
        <v>686</v>
      </c>
    </row>
    <row r="136" spans="1:27" x14ac:dyDescent="0.25">
      <c r="A136" s="8">
        <f>'A) Base RI'!A136</f>
        <v>5624</v>
      </c>
      <c r="B136" s="32" t="str">
        <f>'A) Base RI'!B136</f>
        <v>Bussigny</v>
      </c>
      <c r="C136" s="10">
        <f>'A) Base RI'!C136+'A) Base RI'!D136</f>
        <v>15421170.73</v>
      </c>
      <c r="D136" s="10">
        <f>'A) Base RI'!AP136</f>
        <v>-387152.82</v>
      </c>
      <c r="E136" s="31">
        <f>'A) Base RI'!AQ136</f>
        <v>0</v>
      </c>
      <c r="F136" s="31">
        <f>'A) Base RI'!AR136</f>
        <v>-335600.95</v>
      </c>
      <c r="G136" s="412">
        <f t="shared" ref="G136:G199" si="12">SUM(C136:F136)</f>
        <v>14698416.960000001</v>
      </c>
      <c r="H136" s="10">
        <f>+'A) Base RI'!E136</f>
        <v>0</v>
      </c>
      <c r="I136" s="10">
        <f>+'A) Base RI'!F136</f>
        <v>0</v>
      </c>
      <c r="J136" s="10">
        <f>+'A) Base RI'!G136+'A) Base RI'!H136+'A) Base RI'!X136</f>
        <v>7637691.8999999994</v>
      </c>
      <c r="K136" s="10">
        <f>+'A) Base RI'!I136</f>
        <v>0</v>
      </c>
      <c r="L136" s="10">
        <f>+'A) Base RI'!J136</f>
        <v>740012.36</v>
      </c>
      <c r="M136" s="10">
        <f>+'A) Base RI'!K136</f>
        <v>378271.35</v>
      </c>
      <c r="N136" s="10">
        <f>+'A) Base RI'!Q136</f>
        <v>78504.429999999993</v>
      </c>
      <c r="O136" s="10">
        <f t="shared" ref="O136:O199" si="13">(P136/Q136)*1</f>
        <v>1935962.92</v>
      </c>
      <c r="P136" s="10">
        <f>+'A) Base RI'!L136</f>
        <v>2419953.65</v>
      </c>
      <c r="Q136" s="34">
        <f>'A) Base RI'!AS136</f>
        <v>1.25</v>
      </c>
      <c r="R136" s="412">
        <f t="shared" ref="R136:R199" si="14">SUM(G136:O136)</f>
        <v>25468859.920000002</v>
      </c>
      <c r="S136" s="33">
        <f>+'A) Base RI'!AN136</f>
        <v>64</v>
      </c>
      <c r="T136" s="412">
        <f t="shared" ref="T136:T199" si="15">(G136+H136+J136+K136+L136+N136)</f>
        <v>23154625.649999999</v>
      </c>
      <c r="U136" s="412">
        <f t="shared" ref="U136:U199" si="16">R136/S136</f>
        <v>397950.93625000003</v>
      </c>
      <c r="V136" s="10">
        <f>+'A) Base RI'!O136</f>
        <v>105709.2</v>
      </c>
      <c r="W136" s="10">
        <f>+'A) Base RI'!P136</f>
        <v>1641700.45</v>
      </c>
      <c r="X136" s="10">
        <f>+'A) Base RI'!R136</f>
        <v>1435197.45</v>
      </c>
      <c r="Y136" s="412">
        <f t="shared" ref="Y136:Y199" si="17">SUM(V136:X136)</f>
        <v>3182607.0999999996</v>
      </c>
      <c r="Z136" s="10">
        <f>+'A) Base RI'!N136</f>
        <v>1135079.8999999999</v>
      </c>
      <c r="AA136" s="10">
        <f>'A) Base RI'!AO136</f>
        <v>8962</v>
      </c>
    </row>
    <row r="137" spans="1:27" x14ac:dyDescent="0.25">
      <c r="A137" s="8">
        <f>'A) Base RI'!A137</f>
        <v>5625</v>
      </c>
      <c r="B137" s="32" t="str">
        <f>'A) Base RI'!B137</f>
        <v>Bussy-Chardonney</v>
      </c>
      <c r="C137" s="10">
        <f>'A) Base RI'!C137+'A) Base RI'!D137</f>
        <v>1088672.23</v>
      </c>
      <c r="D137" s="10">
        <f>'A) Base RI'!AP137</f>
        <v>-1509.34</v>
      </c>
      <c r="E137" s="31">
        <f>'A) Base RI'!AQ137</f>
        <v>0</v>
      </c>
      <c r="F137" s="31">
        <f>'A) Base RI'!AR137</f>
        <v>0</v>
      </c>
      <c r="G137" s="412">
        <f t="shared" si="12"/>
        <v>1087162.8899999999</v>
      </c>
      <c r="H137" s="10">
        <f>+'A) Base RI'!E137</f>
        <v>0</v>
      </c>
      <c r="I137" s="10">
        <f>+'A) Base RI'!F137</f>
        <v>0</v>
      </c>
      <c r="J137" s="10">
        <f>+'A) Base RI'!G137+'A) Base RI'!H137+'A) Base RI'!X137</f>
        <v>22701.200000000001</v>
      </c>
      <c r="K137" s="10">
        <f>+'A) Base RI'!I137</f>
        <v>49113.7</v>
      </c>
      <c r="L137" s="10">
        <f>+'A) Base RI'!J137</f>
        <v>34954.1</v>
      </c>
      <c r="M137" s="10">
        <f>+'A) Base RI'!K137</f>
        <v>6069.5</v>
      </c>
      <c r="N137" s="10">
        <f>+'A) Base RI'!Q137</f>
        <v>0</v>
      </c>
      <c r="O137" s="10">
        <f t="shared" si="13"/>
        <v>94213.833333333343</v>
      </c>
      <c r="P137" s="10">
        <f>+'A) Base RI'!L137</f>
        <v>113056.6</v>
      </c>
      <c r="Q137" s="34">
        <f>'A) Base RI'!AS137</f>
        <v>1.2</v>
      </c>
      <c r="R137" s="412">
        <f t="shared" si="14"/>
        <v>1294215.2233333332</v>
      </c>
      <c r="S137" s="33">
        <f>+'A) Base RI'!AN137</f>
        <v>77</v>
      </c>
      <c r="T137" s="412">
        <f t="shared" si="15"/>
        <v>1193931.8899999999</v>
      </c>
      <c r="U137" s="412">
        <f t="shared" si="16"/>
        <v>16807.989913419911</v>
      </c>
      <c r="V137" s="10">
        <f>+'A) Base RI'!O137</f>
        <v>19338</v>
      </c>
      <c r="W137" s="10">
        <f>+'A) Base RI'!P137</f>
        <v>64394.5</v>
      </c>
      <c r="X137" s="10">
        <f>+'A) Base RI'!R137</f>
        <v>3389.35</v>
      </c>
      <c r="Y137" s="412">
        <f t="shared" si="17"/>
        <v>87121.85</v>
      </c>
      <c r="Z137" s="10">
        <f>+'A) Base RI'!N137</f>
        <v>0</v>
      </c>
      <c r="AA137" s="10">
        <f>'A) Base RI'!AO137</f>
        <v>384</v>
      </c>
    </row>
    <row r="138" spans="1:27" x14ac:dyDescent="0.25">
      <c r="A138" s="8">
        <f>'A) Base RI'!A138</f>
        <v>5627</v>
      </c>
      <c r="B138" s="32" t="str">
        <f>'A) Base RI'!B138</f>
        <v>Chavannes-près-Renens</v>
      </c>
      <c r="C138" s="10">
        <f>'A) Base RI'!C138+'A) Base RI'!D138</f>
        <v>11033725.75</v>
      </c>
      <c r="D138" s="10">
        <f>'A) Base RI'!AP138</f>
        <v>-492020.83</v>
      </c>
      <c r="E138" s="31">
        <f>'A) Base RI'!AQ138</f>
        <v>0</v>
      </c>
      <c r="F138" s="31">
        <f>'A) Base RI'!AR138</f>
        <v>-445.13</v>
      </c>
      <c r="G138" s="412">
        <f t="shared" si="12"/>
        <v>10541259.789999999</v>
      </c>
      <c r="H138" s="10">
        <f>+'A) Base RI'!E138</f>
        <v>0</v>
      </c>
      <c r="I138" s="10">
        <f>+'A) Base RI'!F138</f>
        <v>0</v>
      </c>
      <c r="J138" s="10">
        <f>+'A) Base RI'!G138+'A) Base RI'!H138+'A) Base RI'!X138</f>
        <v>3977192.1999999997</v>
      </c>
      <c r="K138" s="10">
        <f>+'A) Base RI'!I138</f>
        <v>0</v>
      </c>
      <c r="L138" s="10">
        <f>+'A) Base RI'!J138</f>
        <v>780514.01</v>
      </c>
      <c r="M138" s="10">
        <f>+'A) Base RI'!K138</f>
        <v>300233.40000000002</v>
      </c>
      <c r="N138" s="10">
        <f>+'A) Base RI'!Q138</f>
        <v>90439.6</v>
      </c>
      <c r="O138" s="10">
        <f t="shared" si="13"/>
        <v>1056491.8666666667</v>
      </c>
      <c r="P138" s="10">
        <f>+'A) Base RI'!L138</f>
        <v>1584737.8</v>
      </c>
      <c r="Q138" s="34">
        <f>'A) Base RI'!AS138</f>
        <v>1.5</v>
      </c>
      <c r="R138" s="412">
        <f t="shared" si="14"/>
        <v>16746130.866666665</v>
      </c>
      <c r="S138" s="33">
        <f>+'A) Base RI'!AN138</f>
        <v>79</v>
      </c>
      <c r="T138" s="412">
        <f t="shared" si="15"/>
        <v>15389405.599999998</v>
      </c>
      <c r="U138" s="412">
        <f t="shared" si="16"/>
        <v>211976.34008438818</v>
      </c>
      <c r="V138" s="10">
        <f>+'A) Base RI'!O138</f>
        <v>77730</v>
      </c>
      <c r="W138" s="10">
        <f>+'A) Base RI'!P138</f>
        <v>2063922.8</v>
      </c>
      <c r="X138" s="10">
        <f>+'A) Base RI'!R138</f>
        <v>508679.1</v>
      </c>
      <c r="Y138" s="412">
        <f t="shared" si="17"/>
        <v>2650331.9</v>
      </c>
      <c r="Z138" s="10">
        <f>+'A) Base RI'!N138</f>
        <v>311973.45</v>
      </c>
      <c r="AA138" s="10">
        <f>'A) Base RI'!AO138</f>
        <v>7887</v>
      </c>
    </row>
    <row r="139" spans="1:27" x14ac:dyDescent="0.25">
      <c r="A139" s="8">
        <f>'A) Base RI'!A139</f>
        <v>5628</v>
      </c>
      <c r="B139" s="32" t="str">
        <f>'A) Base RI'!B139</f>
        <v>Chigny</v>
      </c>
      <c r="C139" s="10">
        <f>'A) Base RI'!C139+'A) Base RI'!D139</f>
        <v>1274527.1000000001</v>
      </c>
      <c r="D139" s="10">
        <f>'A) Base RI'!AP139</f>
        <v>-4872.49</v>
      </c>
      <c r="E139" s="31">
        <f>'A) Base RI'!AQ139</f>
        <v>0</v>
      </c>
      <c r="F139" s="31">
        <f>'A) Base RI'!AR139</f>
        <v>0</v>
      </c>
      <c r="G139" s="412">
        <f t="shared" si="12"/>
        <v>1269654.6100000001</v>
      </c>
      <c r="H139" s="10">
        <f>+'A) Base RI'!E139</f>
        <v>0</v>
      </c>
      <c r="I139" s="10">
        <f>+'A) Base RI'!F139</f>
        <v>0</v>
      </c>
      <c r="J139" s="10">
        <f>+'A) Base RI'!G139+'A) Base RI'!H139+'A) Base RI'!X139</f>
        <v>487.30000000000007</v>
      </c>
      <c r="K139" s="10">
        <f>+'A) Base RI'!I139</f>
        <v>0</v>
      </c>
      <c r="L139" s="10">
        <f>+'A) Base RI'!J139</f>
        <v>22632.46</v>
      </c>
      <c r="M139" s="10">
        <f>+'A) Base RI'!K139</f>
        <v>859.5</v>
      </c>
      <c r="N139" s="10">
        <f>+'A) Base RI'!Q139</f>
        <v>0</v>
      </c>
      <c r="O139" s="10">
        <f t="shared" si="13"/>
        <v>94605.7</v>
      </c>
      <c r="P139" s="10">
        <f>+'A) Base RI'!L139</f>
        <v>94605.7</v>
      </c>
      <c r="Q139" s="34">
        <f>'A) Base RI'!AS139</f>
        <v>1</v>
      </c>
      <c r="R139" s="412">
        <f t="shared" si="14"/>
        <v>1388239.57</v>
      </c>
      <c r="S139" s="33">
        <f>+'A) Base RI'!AN139</f>
        <v>62</v>
      </c>
      <c r="T139" s="412">
        <f t="shared" si="15"/>
        <v>1292774.3700000001</v>
      </c>
      <c r="U139" s="412">
        <f t="shared" si="16"/>
        <v>22390.960806451614</v>
      </c>
      <c r="V139" s="10">
        <f>+'A) Base RI'!O139</f>
        <v>2488.6999999999998</v>
      </c>
      <c r="W139" s="10">
        <f>+'A) Base RI'!P139</f>
        <v>84964.65</v>
      </c>
      <c r="X139" s="10">
        <f>+'A) Base RI'!R139</f>
        <v>64963.1</v>
      </c>
      <c r="Y139" s="412">
        <f t="shared" si="17"/>
        <v>152416.44999999998</v>
      </c>
      <c r="Z139" s="10">
        <f>+'A) Base RI'!N139</f>
        <v>11124.5</v>
      </c>
      <c r="AA139" s="10">
        <f>'A) Base RI'!AO139</f>
        <v>382</v>
      </c>
    </row>
    <row r="140" spans="1:27" x14ac:dyDescent="0.25">
      <c r="A140" s="8">
        <f>'A) Base RI'!A140</f>
        <v>5629</v>
      </c>
      <c r="B140" s="32" t="str">
        <f>'A) Base RI'!B140</f>
        <v>Clarmont</v>
      </c>
      <c r="C140" s="10">
        <f>'A) Base RI'!C140+'A) Base RI'!D140</f>
        <v>455336.49</v>
      </c>
      <c r="D140" s="10">
        <f>'A) Base RI'!AP140</f>
        <v>-2964.76</v>
      </c>
      <c r="E140" s="31">
        <f>'A) Base RI'!AQ140</f>
        <v>0</v>
      </c>
      <c r="F140" s="31">
        <f>'A) Base RI'!AR140</f>
        <v>0</v>
      </c>
      <c r="G140" s="412">
        <f t="shared" si="12"/>
        <v>452371.73</v>
      </c>
      <c r="H140" s="10">
        <f>+'A) Base RI'!E140</f>
        <v>0</v>
      </c>
      <c r="I140" s="10">
        <f>+'A) Base RI'!F140</f>
        <v>0</v>
      </c>
      <c r="J140" s="10">
        <f>+'A) Base RI'!G140+'A) Base RI'!H140+'A) Base RI'!X140</f>
        <v>962.14999999999986</v>
      </c>
      <c r="K140" s="10">
        <f>+'A) Base RI'!I140</f>
        <v>0</v>
      </c>
      <c r="L140" s="10">
        <f>+'A) Base RI'!J140</f>
        <v>16923.8</v>
      </c>
      <c r="M140" s="10">
        <f>+'A) Base RI'!K140</f>
        <v>715.55</v>
      </c>
      <c r="N140" s="10">
        <f>+'A) Base RI'!Q140</f>
        <v>0</v>
      </c>
      <c r="O140" s="10">
        <f t="shared" si="13"/>
        <v>36561.1</v>
      </c>
      <c r="P140" s="10">
        <f>+'A) Base RI'!L140</f>
        <v>36561.1</v>
      </c>
      <c r="Q140" s="34">
        <f>'A) Base RI'!AS140</f>
        <v>1</v>
      </c>
      <c r="R140" s="412">
        <f t="shared" si="14"/>
        <v>507534.32999999996</v>
      </c>
      <c r="S140" s="33">
        <f>+'A) Base RI'!AN140</f>
        <v>75</v>
      </c>
      <c r="T140" s="412">
        <f t="shared" si="15"/>
        <v>470257.68</v>
      </c>
      <c r="U140" s="412">
        <f t="shared" si="16"/>
        <v>6767.1243999999997</v>
      </c>
      <c r="V140" s="10">
        <f>+'A) Base RI'!O140</f>
        <v>3209.4</v>
      </c>
      <c r="W140" s="10">
        <f>+'A) Base RI'!P140</f>
        <v>34505.599999999999</v>
      </c>
      <c r="X140" s="10">
        <f>+'A) Base RI'!R140</f>
        <v>64977.95</v>
      </c>
      <c r="Y140" s="412">
        <f t="shared" si="17"/>
        <v>102692.95</v>
      </c>
      <c r="Z140" s="10">
        <f>+'A) Base RI'!N140</f>
        <v>0</v>
      </c>
      <c r="AA140" s="10">
        <f>'A) Base RI'!AO140</f>
        <v>191</v>
      </c>
    </row>
    <row r="141" spans="1:27" x14ac:dyDescent="0.25">
      <c r="A141" s="8">
        <f>'A) Base RI'!A141</f>
        <v>5631</v>
      </c>
      <c r="B141" s="32" t="str">
        <f>'A) Base RI'!B141</f>
        <v>Denens</v>
      </c>
      <c r="C141" s="10">
        <f>'A) Base RI'!C141+'A) Base RI'!D141</f>
        <v>3283331.19</v>
      </c>
      <c r="D141" s="10">
        <f>'A) Base RI'!AP141</f>
        <v>-39463.47</v>
      </c>
      <c r="E141" s="31">
        <f>'A) Base RI'!AQ141</f>
        <v>0</v>
      </c>
      <c r="F141" s="31">
        <f>'A) Base RI'!AR141</f>
        <v>-14790.27</v>
      </c>
      <c r="G141" s="412">
        <f t="shared" si="12"/>
        <v>3229077.4499999997</v>
      </c>
      <c r="H141" s="10">
        <f>+'A) Base RI'!E141</f>
        <v>0</v>
      </c>
      <c r="I141" s="10">
        <f>+'A) Base RI'!F141</f>
        <v>0</v>
      </c>
      <c r="J141" s="10">
        <f>+'A) Base RI'!G141+'A) Base RI'!H141+'A) Base RI'!X141</f>
        <v>6980.7</v>
      </c>
      <c r="K141" s="10">
        <f>+'A) Base RI'!I141</f>
        <v>101041.75</v>
      </c>
      <c r="L141" s="10">
        <f>+'A) Base RI'!J141</f>
        <v>60445.14</v>
      </c>
      <c r="M141" s="10">
        <f>+'A) Base RI'!K141</f>
        <v>2363.65</v>
      </c>
      <c r="N141" s="10">
        <f>+'A) Base RI'!Q141</f>
        <v>0</v>
      </c>
      <c r="O141" s="10">
        <f t="shared" si="13"/>
        <v>203402.45</v>
      </c>
      <c r="P141" s="10">
        <f>+'A) Base RI'!L141</f>
        <v>203402.45</v>
      </c>
      <c r="Q141" s="34">
        <f>'A) Base RI'!AS141</f>
        <v>1</v>
      </c>
      <c r="R141" s="412">
        <f t="shared" si="14"/>
        <v>3603311.14</v>
      </c>
      <c r="S141" s="33">
        <f>+'A) Base RI'!AN141</f>
        <v>70</v>
      </c>
      <c r="T141" s="412">
        <f t="shared" si="15"/>
        <v>3397545.04</v>
      </c>
      <c r="U141" s="412">
        <f t="shared" si="16"/>
        <v>51475.873428571431</v>
      </c>
      <c r="V141" s="10">
        <f>+'A) Base RI'!O141</f>
        <v>3647.2</v>
      </c>
      <c r="W141" s="10">
        <f>+'A) Base RI'!P141</f>
        <v>73340.05</v>
      </c>
      <c r="X141" s="10">
        <f>+'A) Base RI'!R141</f>
        <v>27032.35</v>
      </c>
      <c r="Y141" s="412">
        <f t="shared" si="17"/>
        <v>104019.6</v>
      </c>
      <c r="Z141" s="10">
        <f>+'A) Base RI'!N141</f>
        <v>0</v>
      </c>
      <c r="AA141" s="10">
        <f>'A) Base RI'!AO141</f>
        <v>742</v>
      </c>
    </row>
    <row r="142" spans="1:27" x14ac:dyDescent="0.25">
      <c r="A142" s="8">
        <f>'A) Base RI'!A142</f>
        <v>5632</v>
      </c>
      <c r="B142" s="32" t="str">
        <f>'A) Base RI'!B142</f>
        <v>Denges</v>
      </c>
      <c r="C142" s="10">
        <f>'A) Base RI'!C142+'A) Base RI'!D142</f>
        <v>3731334.0799999991</v>
      </c>
      <c r="D142" s="10">
        <f>'A) Base RI'!AP142</f>
        <v>-76071.17</v>
      </c>
      <c r="E142" s="31">
        <f>'A) Base RI'!AQ142</f>
        <v>0</v>
      </c>
      <c r="F142" s="31">
        <f>'A) Base RI'!AR142</f>
        <v>-2538.1799999999998</v>
      </c>
      <c r="G142" s="412">
        <f t="shared" si="12"/>
        <v>3652724.7299999991</v>
      </c>
      <c r="H142" s="10">
        <f>+'A) Base RI'!E142</f>
        <v>0</v>
      </c>
      <c r="I142" s="10">
        <f>+'A) Base RI'!F142</f>
        <v>0</v>
      </c>
      <c r="J142" s="10">
        <f>+'A) Base RI'!G142+'A) Base RI'!H142+'A) Base RI'!X142</f>
        <v>323459.20000000001</v>
      </c>
      <c r="K142" s="10">
        <f>+'A) Base RI'!I142</f>
        <v>0</v>
      </c>
      <c r="L142" s="10">
        <f>+'A) Base RI'!J142</f>
        <v>177144.53</v>
      </c>
      <c r="M142" s="10">
        <f>+'A) Base RI'!K142</f>
        <v>28386.3</v>
      </c>
      <c r="N142" s="10">
        <f>+'A) Base RI'!Q142</f>
        <v>5392.71</v>
      </c>
      <c r="O142" s="10">
        <f t="shared" si="13"/>
        <v>338397.1</v>
      </c>
      <c r="P142" s="10">
        <f>+'A) Base RI'!L142</f>
        <v>338397.1</v>
      </c>
      <c r="Q142" s="34">
        <f>'A) Base RI'!AS142</f>
        <v>1</v>
      </c>
      <c r="R142" s="412">
        <f t="shared" si="14"/>
        <v>4525504.5699999984</v>
      </c>
      <c r="S142" s="33">
        <f>+'A) Base RI'!AN142</f>
        <v>62</v>
      </c>
      <c r="T142" s="412">
        <f t="shared" si="15"/>
        <v>4158721.169999999</v>
      </c>
      <c r="U142" s="412">
        <f t="shared" si="16"/>
        <v>72992.009193548365</v>
      </c>
      <c r="V142" s="10">
        <f>+'A) Base RI'!O142</f>
        <v>2487.1</v>
      </c>
      <c r="W142" s="10">
        <f>+'A) Base RI'!P142</f>
        <v>224497.25</v>
      </c>
      <c r="X142" s="10">
        <f>+'A) Base RI'!R142</f>
        <v>89055.9</v>
      </c>
      <c r="Y142" s="412">
        <f t="shared" si="17"/>
        <v>316040.25</v>
      </c>
      <c r="Z142" s="10">
        <f>+'A) Base RI'!N142</f>
        <v>46752.800000000003</v>
      </c>
      <c r="AA142" s="10">
        <f>'A) Base RI'!AO142</f>
        <v>1609</v>
      </c>
    </row>
    <row r="143" spans="1:27" x14ac:dyDescent="0.25">
      <c r="A143" s="8">
        <f>'A) Base RI'!A143</f>
        <v>5633</v>
      </c>
      <c r="B143" s="32" t="str">
        <f>'A) Base RI'!B143</f>
        <v>Echandens</v>
      </c>
      <c r="C143" s="10">
        <f>'A) Base RI'!C143+'A) Base RI'!D143</f>
        <v>8500137.4000000004</v>
      </c>
      <c r="D143" s="10">
        <f>'A) Base RI'!AP143</f>
        <v>-101237.96</v>
      </c>
      <c r="E143" s="31">
        <f>'A) Base RI'!AQ143</f>
        <v>0</v>
      </c>
      <c r="F143" s="31">
        <f>'A) Base RI'!AR143</f>
        <v>0</v>
      </c>
      <c r="G143" s="412">
        <f t="shared" si="12"/>
        <v>8398899.4399999995</v>
      </c>
      <c r="H143" s="10">
        <f>+'A) Base RI'!E143</f>
        <v>0</v>
      </c>
      <c r="I143" s="10">
        <f>+'A) Base RI'!F143</f>
        <v>0</v>
      </c>
      <c r="J143" s="10">
        <f>+'A) Base RI'!G143+'A) Base RI'!H143+'A) Base RI'!X143</f>
        <v>601648.5199999999</v>
      </c>
      <c r="K143" s="10">
        <f>+'A) Base RI'!I143</f>
        <v>0</v>
      </c>
      <c r="L143" s="10">
        <f>+'A) Base RI'!J143</f>
        <v>313881.11</v>
      </c>
      <c r="M143" s="10">
        <f>+'A) Base RI'!K143</f>
        <v>28810.7</v>
      </c>
      <c r="N143" s="10">
        <f>+'A) Base RI'!Q143</f>
        <v>-320.33999999999997</v>
      </c>
      <c r="O143" s="10">
        <f t="shared" si="13"/>
        <v>633023.19999999995</v>
      </c>
      <c r="P143" s="10">
        <f>+'A) Base RI'!L143</f>
        <v>633023.19999999995</v>
      </c>
      <c r="Q143" s="34">
        <f>'A) Base RI'!AS143</f>
        <v>1</v>
      </c>
      <c r="R143" s="412">
        <f t="shared" si="14"/>
        <v>9975942.6299999971</v>
      </c>
      <c r="S143" s="33">
        <f>+'A) Base RI'!AN143</f>
        <v>62</v>
      </c>
      <c r="T143" s="412">
        <f t="shared" si="15"/>
        <v>9314108.7299999986</v>
      </c>
      <c r="U143" s="412">
        <f t="shared" si="16"/>
        <v>160902.30048387093</v>
      </c>
      <c r="V143" s="10">
        <f>+'A) Base RI'!O143</f>
        <v>50467</v>
      </c>
      <c r="W143" s="10">
        <f>+'A) Base RI'!P143</f>
        <v>197033.5</v>
      </c>
      <c r="X143" s="10">
        <f>+'A) Base RI'!R143</f>
        <v>227823.38</v>
      </c>
      <c r="Y143" s="412">
        <f t="shared" si="17"/>
        <v>475323.88</v>
      </c>
      <c r="Z143" s="10">
        <f>+'A) Base RI'!N143</f>
        <v>224162.65</v>
      </c>
      <c r="AA143" s="10">
        <f>'A) Base RI'!AO143</f>
        <v>2739</v>
      </c>
    </row>
    <row r="144" spans="1:27" x14ac:dyDescent="0.25">
      <c r="A144" s="8">
        <f>'A) Base RI'!A144</f>
        <v>5634</v>
      </c>
      <c r="B144" s="32" t="str">
        <f>'A) Base RI'!B144</f>
        <v>Echichens</v>
      </c>
      <c r="C144" s="10">
        <f>'A) Base RI'!C144+'A) Base RI'!D144</f>
        <v>10529712.300000001</v>
      </c>
      <c r="D144" s="10">
        <f>'A) Base RI'!AP144</f>
        <v>-53301.96</v>
      </c>
      <c r="E144" s="31">
        <f>'A) Base RI'!AQ144</f>
        <v>0</v>
      </c>
      <c r="F144" s="31">
        <f>'A) Base RI'!AR144</f>
        <v>-6746.24</v>
      </c>
      <c r="G144" s="412">
        <f t="shared" si="12"/>
        <v>10469664.1</v>
      </c>
      <c r="H144" s="10">
        <f>+'A) Base RI'!E144</f>
        <v>0</v>
      </c>
      <c r="I144" s="10">
        <f>+'A) Base RI'!F144</f>
        <v>0</v>
      </c>
      <c r="J144" s="10">
        <f>+'A) Base RI'!G144+'A) Base RI'!H144+'A) Base RI'!X144</f>
        <v>514637.25</v>
      </c>
      <c r="K144" s="10">
        <f>+'A) Base RI'!I144</f>
        <v>95607.55</v>
      </c>
      <c r="L144" s="10">
        <f>+'A) Base RI'!J144</f>
        <v>62649.75</v>
      </c>
      <c r="M144" s="10">
        <f>+'A) Base RI'!K144</f>
        <v>-9073.4</v>
      </c>
      <c r="N144" s="10">
        <f>+'A) Base RI'!Q144</f>
        <v>23807.08</v>
      </c>
      <c r="O144" s="10">
        <f t="shared" si="13"/>
        <v>623912.19999999995</v>
      </c>
      <c r="P144" s="10">
        <f>+'A) Base RI'!L144</f>
        <v>623912.19999999995</v>
      </c>
      <c r="Q144" s="34">
        <f>'A) Base RI'!AS144</f>
        <v>1</v>
      </c>
      <c r="R144" s="412">
        <f t="shared" si="14"/>
        <v>11781204.529999999</v>
      </c>
      <c r="S144" s="33">
        <f>+'A) Base RI'!AN144</f>
        <v>68</v>
      </c>
      <c r="T144" s="412">
        <f t="shared" si="15"/>
        <v>11166365.73</v>
      </c>
      <c r="U144" s="412">
        <f t="shared" si="16"/>
        <v>173253.00779411764</v>
      </c>
      <c r="V144" s="10">
        <f>+'A) Base RI'!O144</f>
        <v>830901.1</v>
      </c>
      <c r="W144" s="10">
        <f>+'A) Base RI'!P144</f>
        <v>245669.95</v>
      </c>
      <c r="X144" s="10">
        <f>+'A) Base RI'!R144</f>
        <v>215107.85</v>
      </c>
      <c r="Y144" s="412">
        <f t="shared" si="17"/>
        <v>1291678.9000000001</v>
      </c>
      <c r="Z144" s="10">
        <f>+'A) Base RI'!N144</f>
        <v>32250.05</v>
      </c>
      <c r="AA144" s="10">
        <f>'A) Base RI'!AO144</f>
        <v>3077</v>
      </c>
    </row>
    <row r="145" spans="1:27" x14ac:dyDescent="0.25">
      <c r="A145" s="8">
        <f>'A) Base RI'!A145</f>
        <v>5635</v>
      </c>
      <c r="B145" s="32" t="str">
        <f>'A) Base RI'!B145</f>
        <v>Ecublens</v>
      </c>
      <c r="C145" s="10">
        <f>'A) Base RI'!C145+'A) Base RI'!D145</f>
        <v>22029675.939999998</v>
      </c>
      <c r="D145" s="10">
        <f>'A) Base RI'!AP145</f>
        <v>-664495.43999999994</v>
      </c>
      <c r="E145" s="31">
        <f>'A) Base RI'!AQ145</f>
        <v>0</v>
      </c>
      <c r="F145" s="31">
        <f>'A) Base RI'!AR145</f>
        <v>-18039.45</v>
      </c>
      <c r="G145" s="412">
        <f t="shared" si="12"/>
        <v>21347141.049999997</v>
      </c>
      <c r="H145" s="10">
        <f>+'A) Base RI'!E145</f>
        <v>0</v>
      </c>
      <c r="I145" s="10">
        <f>+'A) Base RI'!F145</f>
        <v>0</v>
      </c>
      <c r="J145" s="10">
        <f>+'A) Base RI'!G145+'A) Base RI'!H145+'A) Base RI'!X145</f>
        <v>4993432.1000000006</v>
      </c>
      <c r="K145" s="10">
        <f>+'A) Base RI'!I145</f>
        <v>0</v>
      </c>
      <c r="L145" s="10">
        <f>+'A) Base RI'!J145</f>
        <v>2019376.32</v>
      </c>
      <c r="M145" s="10">
        <f>+'A) Base RI'!K145</f>
        <v>456449.65</v>
      </c>
      <c r="N145" s="10">
        <f>+'A) Base RI'!Q145</f>
        <v>226915.32</v>
      </c>
      <c r="O145" s="10">
        <f t="shared" si="13"/>
        <v>2280086.875</v>
      </c>
      <c r="P145" s="10">
        <f>+'A) Base RI'!L145</f>
        <v>2736104.25</v>
      </c>
      <c r="Q145" s="34">
        <f>'A) Base RI'!AS145</f>
        <v>1.2</v>
      </c>
      <c r="R145" s="412">
        <f t="shared" si="14"/>
        <v>31323401.314999998</v>
      </c>
      <c r="S145" s="33">
        <f>+'A) Base RI'!AN145</f>
        <v>64</v>
      </c>
      <c r="T145" s="412">
        <f t="shared" si="15"/>
        <v>28586864.789999999</v>
      </c>
      <c r="U145" s="412">
        <f t="shared" si="16"/>
        <v>489428.14554687496</v>
      </c>
      <c r="V145" s="10">
        <f>+'A) Base RI'!O145</f>
        <v>365998.6</v>
      </c>
      <c r="W145" s="10">
        <f>+'A) Base RI'!P145</f>
        <v>1139430.6499999999</v>
      </c>
      <c r="X145" s="10">
        <f>+'A) Base RI'!R145</f>
        <v>768928.25</v>
      </c>
      <c r="Y145" s="412">
        <f t="shared" si="17"/>
        <v>2274357.5</v>
      </c>
      <c r="Z145" s="10">
        <f>+'A) Base RI'!N145</f>
        <v>2637319.7000000002</v>
      </c>
      <c r="AA145" s="10">
        <f>'A) Base RI'!AO145</f>
        <v>13089</v>
      </c>
    </row>
    <row r="146" spans="1:27" x14ac:dyDescent="0.25">
      <c r="A146" s="8">
        <f>'A) Base RI'!A146</f>
        <v>5636</v>
      </c>
      <c r="B146" s="32" t="str">
        <f>'A) Base RI'!B146</f>
        <v>Etoy</v>
      </c>
      <c r="C146" s="10">
        <f>'A) Base RI'!C146+'A) Base RI'!D146</f>
        <v>6726814.04</v>
      </c>
      <c r="D146" s="10">
        <f>'A) Base RI'!AP146</f>
        <v>-205987.35</v>
      </c>
      <c r="E146" s="31">
        <f>'A) Base RI'!AQ146</f>
        <v>0</v>
      </c>
      <c r="F146" s="31">
        <f>'A) Base RI'!AR146</f>
        <v>-4752.66</v>
      </c>
      <c r="G146" s="412">
        <f t="shared" si="12"/>
        <v>6516074.0300000003</v>
      </c>
      <c r="H146" s="10">
        <f>+'A) Base RI'!E146</f>
        <v>0</v>
      </c>
      <c r="I146" s="10">
        <f>+'A) Base RI'!F146</f>
        <v>0</v>
      </c>
      <c r="J146" s="10">
        <f>+'A) Base RI'!G146+'A) Base RI'!H146+'A) Base RI'!X146</f>
        <v>2384403.9499999997</v>
      </c>
      <c r="K146" s="10">
        <f>+'A) Base RI'!I146</f>
        <v>32257.9</v>
      </c>
      <c r="L146" s="10">
        <f>+'A) Base RI'!J146</f>
        <v>373806.47</v>
      </c>
      <c r="M146" s="10">
        <f>+'A) Base RI'!K146</f>
        <v>263230.15000000002</v>
      </c>
      <c r="N146" s="10">
        <f>+'A) Base RI'!Q146</f>
        <v>8232.76</v>
      </c>
      <c r="O146" s="10">
        <f t="shared" si="13"/>
        <v>1173372.95</v>
      </c>
      <c r="P146" s="10">
        <f>+'A) Base RI'!L146</f>
        <v>1173372.95</v>
      </c>
      <c r="Q146" s="34">
        <f>'A) Base RI'!AS146</f>
        <v>1</v>
      </c>
      <c r="R146" s="412">
        <f t="shared" si="14"/>
        <v>10751378.210000001</v>
      </c>
      <c r="S146" s="33">
        <f>+'A) Base RI'!AN146</f>
        <v>61</v>
      </c>
      <c r="T146" s="412">
        <f t="shared" si="15"/>
        <v>9314775.1100000013</v>
      </c>
      <c r="U146" s="412">
        <f t="shared" si="16"/>
        <v>176252.1018032787</v>
      </c>
      <c r="V146" s="10">
        <f>+'A) Base RI'!O146</f>
        <v>447133.8</v>
      </c>
      <c r="W146" s="10">
        <f>+'A) Base RI'!P146</f>
        <v>474254.5</v>
      </c>
      <c r="X146" s="10">
        <f>+'A) Base RI'!R146</f>
        <v>124298.95</v>
      </c>
      <c r="Y146" s="412">
        <f t="shared" si="17"/>
        <v>1045687.25</v>
      </c>
      <c r="Z146" s="10">
        <f>+'A) Base RI'!N146</f>
        <v>399939.55</v>
      </c>
      <c r="AA146" s="10">
        <f>'A) Base RI'!AO146</f>
        <v>2933</v>
      </c>
    </row>
    <row r="147" spans="1:27" x14ac:dyDescent="0.25">
      <c r="A147" s="8">
        <f>'A) Base RI'!A147</f>
        <v>5637</v>
      </c>
      <c r="B147" s="32" t="str">
        <f>'A) Base RI'!B147</f>
        <v>Lavigny</v>
      </c>
      <c r="C147" s="10">
        <f>'A) Base RI'!C147+'A) Base RI'!D147</f>
        <v>2537040.0300000003</v>
      </c>
      <c r="D147" s="10">
        <f>'A) Base RI'!AP147</f>
        <v>-29860.47</v>
      </c>
      <c r="E147" s="31">
        <f>'A) Base RI'!AQ147</f>
        <v>0</v>
      </c>
      <c r="F147" s="31">
        <f>'A) Base RI'!AR147</f>
        <v>-927.84</v>
      </c>
      <c r="G147" s="412">
        <f t="shared" si="12"/>
        <v>2506251.7200000002</v>
      </c>
      <c r="H147" s="10">
        <f>+'A) Base RI'!E147</f>
        <v>0</v>
      </c>
      <c r="I147" s="10">
        <f>+'A) Base RI'!F147</f>
        <v>0</v>
      </c>
      <c r="J147" s="10">
        <f>+'A) Base RI'!G147+'A) Base RI'!H147+'A) Base RI'!X147</f>
        <v>44858.899999999994</v>
      </c>
      <c r="K147" s="10">
        <f>+'A) Base RI'!I147</f>
        <v>0</v>
      </c>
      <c r="L147" s="10">
        <f>+'A) Base RI'!J147</f>
        <v>11133.04</v>
      </c>
      <c r="M147" s="10">
        <f>+'A) Base RI'!K147</f>
        <v>5192.3500000000004</v>
      </c>
      <c r="N147" s="10">
        <f>+'A) Base RI'!Q147</f>
        <v>13718.99</v>
      </c>
      <c r="O147" s="10">
        <f t="shared" si="13"/>
        <v>189716.03333333333</v>
      </c>
      <c r="P147" s="10">
        <f>+'A) Base RI'!L147</f>
        <v>284574.05</v>
      </c>
      <c r="Q147" s="34">
        <f>'A) Base RI'!AS147</f>
        <v>1.5</v>
      </c>
      <c r="R147" s="412">
        <f t="shared" si="14"/>
        <v>2770871.0333333337</v>
      </c>
      <c r="S147" s="33">
        <f>+'A) Base RI'!AN147</f>
        <v>74.5</v>
      </c>
      <c r="T147" s="412">
        <f t="shared" si="15"/>
        <v>2575962.6500000004</v>
      </c>
      <c r="U147" s="412">
        <f t="shared" si="16"/>
        <v>37192.899776286358</v>
      </c>
      <c r="V147" s="10">
        <f>+'A) Base RI'!O147</f>
        <v>3108.3</v>
      </c>
      <c r="W147" s="10">
        <f>+'A) Base RI'!P147</f>
        <v>90394.05</v>
      </c>
      <c r="X147" s="10">
        <f>+'A) Base RI'!R147</f>
        <v>21970.65</v>
      </c>
      <c r="Y147" s="412">
        <f t="shared" si="17"/>
        <v>115473</v>
      </c>
      <c r="Z147" s="10">
        <f>+'A) Base RI'!N147</f>
        <v>207758.15</v>
      </c>
      <c r="AA147" s="10">
        <f>'A) Base RI'!AO147</f>
        <v>992</v>
      </c>
    </row>
    <row r="148" spans="1:27" x14ac:dyDescent="0.25">
      <c r="A148" s="8">
        <f>'A) Base RI'!A148</f>
        <v>5638</v>
      </c>
      <c r="B148" s="32" t="str">
        <f>'A) Base RI'!B148</f>
        <v>Lonay</v>
      </c>
      <c r="C148" s="10">
        <f>'A) Base RI'!C148+'A) Base RI'!D148</f>
        <v>7076589.29</v>
      </c>
      <c r="D148" s="10">
        <f>'A) Base RI'!AP148</f>
        <v>-107181.02</v>
      </c>
      <c r="E148" s="31">
        <f>'A) Base RI'!AQ148</f>
        <v>0</v>
      </c>
      <c r="F148" s="31">
        <f>'A) Base RI'!AR148</f>
        <v>-12185.43</v>
      </c>
      <c r="G148" s="412">
        <f t="shared" si="12"/>
        <v>6957222.8400000008</v>
      </c>
      <c r="H148" s="10">
        <f>+'A) Base RI'!E148</f>
        <v>0</v>
      </c>
      <c r="I148" s="10">
        <f>+'A) Base RI'!F148</f>
        <v>0</v>
      </c>
      <c r="J148" s="10">
        <f>+'A) Base RI'!G148+'A) Base RI'!H148+'A) Base RI'!X148</f>
        <v>626598.05000000005</v>
      </c>
      <c r="K148" s="10">
        <f>+'A) Base RI'!I148</f>
        <v>212486.2</v>
      </c>
      <c r="L148" s="10">
        <f>+'A) Base RI'!J148</f>
        <v>130473.22</v>
      </c>
      <c r="M148" s="10">
        <f>+'A) Base RI'!K148</f>
        <v>62974.15</v>
      </c>
      <c r="N148" s="10">
        <f>+'A) Base RI'!Q148</f>
        <v>8379.7900000000009</v>
      </c>
      <c r="O148" s="10">
        <f t="shared" si="13"/>
        <v>644454.9</v>
      </c>
      <c r="P148" s="10">
        <f>+'A) Base RI'!L148</f>
        <v>644454.9</v>
      </c>
      <c r="Q148" s="34">
        <f>'A) Base RI'!AS148</f>
        <v>1</v>
      </c>
      <c r="R148" s="412">
        <f t="shared" si="14"/>
        <v>8642589.1500000004</v>
      </c>
      <c r="S148" s="33">
        <f>+'A) Base RI'!AN148</f>
        <v>55</v>
      </c>
      <c r="T148" s="412">
        <f t="shared" si="15"/>
        <v>7935160.1000000006</v>
      </c>
      <c r="U148" s="412">
        <f t="shared" si="16"/>
        <v>157137.98454545456</v>
      </c>
      <c r="V148" s="10">
        <f>+'A) Base RI'!O148</f>
        <v>2114261</v>
      </c>
      <c r="W148" s="10">
        <f>+'A) Base RI'!P148</f>
        <v>596402.05000000005</v>
      </c>
      <c r="X148" s="10">
        <f>+'A) Base RI'!R148</f>
        <v>436565.85</v>
      </c>
      <c r="Y148" s="412">
        <f t="shared" si="17"/>
        <v>3147228.9</v>
      </c>
      <c r="Z148" s="10">
        <f>+'A) Base RI'!N148</f>
        <v>214877.05</v>
      </c>
      <c r="AA148" s="10">
        <f>'A) Base RI'!AO148</f>
        <v>2676</v>
      </c>
    </row>
    <row r="149" spans="1:27" x14ac:dyDescent="0.25">
      <c r="A149" s="8">
        <f>'A) Base RI'!A149</f>
        <v>5639</v>
      </c>
      <c r="B149" s="32" t="str">
        <f>'A) Base RI'!B149</f>
        <v>Lully</v>
      </c>
      <c r="C149" s="10">
        <f>'A) Base RI'!C149+'A) Base RI'!D149</f>
        <v>2656508.1800000002</v>
      </c>
      <c r="D149" s="10">
        <f>'A) Base RI'!AP149</f>
        <v>-14999.26</v>
      </c>
      <c r="E149" s="31">
        <f>'A) Base RI'!AQ149</f>
        <v>0</v>
      </c>
      <c r="F149" s="31">
        <f>'A) Base RI'!AR149</f>
        <v>0</v>
      </c>
      <c r="G149" s="412">
        <f t="shared" si="12"/>
        <v>2641508.9200000004</v>
      </c>
      <c r="H149" s="10">
        <f>+'A) Base RI'!E149</f>
        <v>0</v>
      </c>
      <c r="I149" s="10">
        <f>+'A) Base RI'!F149</f>
        <v>0</v>
      </c>
      <c r="J149" s="10">
        <f>+'A) Base RI'!G149+'A) Base RI'!H149+'A) Base RI'!X149</f>
        <v>16620.049999999988</v>
      </c>
      <c r="K149" s="10">
        <f>+'A) Base RI'!I149</f>
        <v>0</v>
      </c>
      <c r="L149" s="10">
        <f>+'A) Base RI'!J149</f>
        <v>20138.64</v>
      </c>
      <c r="M149" s="10">
        <f>+'A) Base RI'!K149</f>
        <v>2899.85</v>
      </c>
      <c r="N149" s="10">
        <f>+'A) Base RI'!Q149</f>
        <v>0</v>
      </c>
      <c r="O149" s="10">
        <f t="shared" si="13"/>
        <v>196594.88</v>
      </c>
      <c r="P149" s="10">
        <f>+'A) Base RI'!L149</f>
        <v>245743.6</v>
      </c>
      <c r="Q149" s="34">
        <f>'A) Base RI'!AS149</f>
        <v>1.25</v>
      </c>
      <c r="R149" s="412">
        <f t="shared" si="14"/>
        <v>2877762.3400000003</v>
      </c>
      <c r="S149" s="33">
        <f>+'A) Base RI'!AN149</f>
        <v>61</v>
      </c>
      <c r="T149" s="412">
        <f t="shared" si="15"/>
        <v>2678267.6100000003</v>
      </c>
      <c r="U149" s="412">
        <f t="shared" si="16"/>
        <v>47176.43180327869</v>
      </c>
      <c r="V149" s="10">
        <f>+'A) Base RI'!O149</f>
        <v>26199.7</v>
      </c>
      <c r="W149" s="10">
        <f>+'A) Base RI'!P149</f>
        <v>19754.650000000001</v>
      </c>
      <c r="X149" s="10">
        <f>+'A) Base RI'!R149</f>
        <v>72627.05</v>
      </c>
      <c r="Y149" s="412">
        <f t="shared" si="17"/>
        <v>118581.40000000001</v>
      </c>
      <c r="Z149" s="10">
        <f>+'A) Base RI'!N149</f>
        <v>19523.8</v>
      </c>
      <c r="AA149" s="10">
        <f>'A) Base RI'!AO149</f>
        <v>818</v>
      </c>
    </row>
    <row r="150" spans="1:27" x14ac:dyDescent="0.25">
      <c r="A150" s="8">
        <f>'A) Base RI'!A150</f>
        <v>5640</v>
      </c>
      <c r="B150" s="32" t="str">
        <f>'A) Base RI'!B150</f>
        <v>Lussy-sur-Morges</v>
      </c>
      <c r="C150" s="10">
        <f>'A) Base RI'!C150+'A) Base RI'!D150</f>
        <v>3713958.83</v>
      </c>
      <c r="D150" s="10">
        <f>'A) Base RI'!AP150</f>
        <v>-16185.91</v>
      </c>
      <c r="E150" s="31">
        <f>'A) Base RI'!AQ150</f>
        <v>0</v>
      </c>
      <c r="F150" s="31">
        <f>'A) Base RI'!AR150</f>
        <v>-20264.330000000002</v>
      </c>
      <c r="G150" s="412">
        <f t="shared" si="12"/>
        <v>3677508.59</v>
      </c>
      <c r="H150" s="10">
        <f>+'A) Base RI'!E150</f>
        <v>0</v>
      </c>
      <c r="I150" s="10">
        <f>+'A) Base RI'!F150</f>
        <v>0</v>
      </c>
      <c r="J150" s="10">
        <f>+'A) Base RI'!G150+'A) Base RI'!H150+'A) Base RI'!X150</f>
        <v>39788.850000000013</v>
      </c>
      <c r="K150" s="10">
        <f>+'A) Base RI'!I150</f>
        <v>119895.5</v>
      </c>
      <c r="L150" s="10">
        <f>+'A) Base RI'!J150</f>
        <v>18504.43</v>
      </c>
      <c r="M150" s="10">
        <f>+'A) Base RI'!K150</f>
        <v>3117.85</v>
      </c>
      <c r="N150" s="10">
        <f>+'A) Base RI'!Q150</f>
        <v>28.27</v>
      </c>
      <c r="O150" s="10">
        <f t="shared" si="13"/>
        <v>193586.65</v>
      </c>
      <c r="P150" s="10">
        <f>+'A) Base RI'!L150</f>
        <v>193586.65</v>
      </c>
      <c r="Q150" s="34">
        <f>'A) Base RI'!AS150</f>
        <v>1</v>
      </c>
      <c r="R150" s="412">
        <f t="shared" si="14"/>
        <v>4052430.14</v>
      </c>
      <c r="S150" s="33">
        <f>+'A) Base RI'!AN150</f>
        <v>66</v>
      </c>
      <c r="T150" s="412">
        <f t="shared" si="15"/>
        <v>3855725.64</v>
      </c>
      <c r="U150" s="412">
        <f t="shared" si="16"/>
        <v>61400.456666666665</v>
      </c>
      <c r="V150" s="10">
        <f>+'A) Base RI'!O150</f>
        <v>113753.3</v>
      </c>
      <c r="W150" s="10">
        <f>+'A) Base RI'!P150</f>
        <v>195804.35</v>
      </c>
      <c r="X150" s="10">
        <f>+'A) Base RI'!R150</f>
        <v>143142.1</v>
      </c>
      <c r="Y150" s="412">
        <f t="shared" si="17"/>
        <v>452699.75</v>
      </c>
      <c r="Z150" s="10">
        <f>+'A) Base RI'!N150</f>
        <v>15620.7</v>
      </c>
      <c r="AA150" s="10">
        <f>'A) Base RI'!AO150</f>
        <v>696</v>
      </c>
    </row>
    <row r="151" spans="1:27" x14ac:dyDescent="0.25">
      <c r="A151" s="8">
        <f>'A) Base RI'!A151</f>
        <v>5642</v>
      </c>
      <c r="B151" s="32" t="str">
        <f>'A) Base RI'!B151</f>
        <v>Morges</v>
      </c>
      <c r="C151" s="10">
        <f>'A) Base RI'!C151+'A) Base RI'!D151</f>
        <v>43655049.599999994</v>
      </c>
      <c r="D151" s="10">
        <f>'A) Base RI'!AP151</f>
        <v>-926252.95</v>
      </c>
      <c r="E151" s="31">
        <f>'A) Base RI'!AQ151</f>
        <v>0</v>
      </c>
      <c r="F151" s="31">
        <f>'A) Base RI'!AR151</f>
        <v>-71725.69</v>
      </c>
      <c r="G151" s="412">
        <f t="shared" si="12"/>
        <v>42657070.959999993</v>
      </c>
      <c r="H151" s="10">
        <f>+'A) Base RI'!E151</f>
        <v>0</v>
      </c>
      <c r="I151" s="10">
        <f>+'A) Base RI'!F151</f>
        <v>0</v>
      </c>
      <c r="J151" s="10">
        <f>+'A) Base RI'!G151+'A) Base RI'!H151+'A) Base RI'!X151</f>
        <v>9760724.5499999989</v>
      </c>
      <c r="K151" s="10">
        <f>+'A) Base RI'!I151</f>
        <v>386281.49</v>
      </c>
      <c r="L151" s="10">
        <f>+'A) Base RI'!J151</f>
        <v>974774.53</v>
      </c>
      <c r="M151" s="10">
        <f>+'A) Base RI'!K151</f>
        <v>469443.35</v>
      </c>
      <c r="N151" s="10">
        <f>+'A) Base RI'!Q151</f>
        <v>248701.47</v>
      </c>
      <c r="O151" s="10">
        <f t="shared" si="13"/>
        <v>3187867.1</v>
      </c>
      <c r="P151" s="10">
        <f>+'A) Base RI'!L151</f>
        <v>3187867.1</v>
      </c>
      <c r="Q151" s="34">
        <f>'A) Base RI'!AS151</f>
        <v>1</v>
      </c>
      <c r="R151" s="412">
        <f t="shared" si="14"/>
        <v>57684863.449999996</v>
      </c>
      <c r="S151" s="33">
        <f>+'A) Base RI'!AN151</f>
        <v>68.5</v>
      </c>
      <c r="T151" s="412">
        <f t="shared" si="15"/>
        <v>54027552.999999993</v>
      </c>
      <c r="U151" s="412">
        <f t="shared" si="16"/>
        <v>842114.79489051085</v>
      </c>
      <c r="V151" s="10">
        <f>+'A) Base RI'!O151</f>
        <v>3595802.8</v>
      </c>
      <c r="W151" s="10">
        <f>+'A) Base RI'!P151</f>
        <v>1515678.2</v>
      </c>
      <c r="X151" s="10">
        <f>+'A) Base RI'!R151</f>
        <v>866803.05</v>
      </c>
      <c r="Y151" s="412">
        <f t="shared" si="17"/>
        <v>5978284.0499999998</v>
      </c>
      <c r="Z151" s="10">
        <f>+'A) Base RI'!N151</f>
        <v>1302438.1000000001</v>
      </c>
      <c r="AA151" s="10">
        <f>'A) Base RI'!AO151</f>
        <v>15862</v>
      </c>
    </row>
    <row r="152" spans="1:27" x14ac:dyDescent="0.25">
      <c r="A152" s="8">
        <f>'A) Base RI'!A152</f>
        <v>5643</v>
      </c>
      <c r="B152" s="32" t="str">
        <f>'A) Base RI'!B152</f>
        <v>Préverenges</v>
      </c>
      <c r="C152" s="10">
        <f>'A) Base RI'!C152+'A) Base RI'!D152</f>
        <v>14056898.890000001</v>
      </c>
      <c r="D152" s="10">
        <f>'A) Base RI'!AP152</f>
        <v>-192147.49</v>
      </c>
      <c r="E152" s="31">
        <f>'A) Base RI'!AQ152</f>
        <v>0</v>
      </c>
      <c r="F152" s="31">
        <f>'A) Base RI'!AR152</f>
        <v>-32210.31</v>
      </c>
      <c r="G152" s="412">
        <f t="shared" si="12"/>
        <v>13832541.09</v>
      </c>
      <c r="H152" s="10">
        <f>+'A) Base RI'!E152</f>
        <v>0</v>
      </c>
      <c r="I152" s="10">
        <f>+'A) Base RI'!F152</f>
        <v>0</v>
      </c>
      <c r="J152" s="10">
        <f>+'A) Base RI'!G152+'A) Base RI'!H152+'A) Base RI'!X152</f>
        <v>881877.95</v>
      </c>
      <c r="K152" s="10">
        <f>+'A) Base RI'!I152</f>
        <v>358888.1</v>
      </c>
      <c r="L152" s="10">
        <f>+'A) Base RI'!J152</f>
        <v>295460.8</v>
      </c>
      <c r="M152" s="10">
        <f>+'A) Base RI'!K152</f>
        <v>108921.35</v>
      </c>
      <c r="N152" s="10">
        <f>+'A) Base RI'!Q152</f>
        <v>16539.09</v>
      </c>
      <c r="O152" s="10">
        <f t="shared" si="13"/>
        <v>1105116.3</v>
      </c>
      <c r="P152" s="10">
        <f>+'A) Base RI'!L152</f>
        <v>1105116.3</v>
      </c>
      <c r="Q152" s="34">
        <f>'A) Base RI'!AS152</f>
        <v>1</v>
      </c>
      <c r="R152" s="412">
        <f t="shared" si="14"/>
        <v>16599344.68</v>
      </c>
      <c r="S152" s="33">
        <f>+'A) Base RI'!AN152</f>
        <v>64</v>
      </c>
      <c r="T152" s="412">
        <f t="shared" si="15"/>
        <v>15385307.029999999</v>
      </c>
      <c r="U152" s="412">
        <f t="shared" si="16"/>
        <v>259364.760625</v>
      </c>
      <c r="V152" s="10">
        <f>+'A) Base RI'!O152</f>
        <v>1167339</v>
      </c>
      <c r="W152" s="10">
        <f>+'A) Base RI'!P152</f>
        <v>344960.75</v>
      </c>
      <c r="X152" s="10">
        <f>+'A) Base RI'!R152</f>
        <v>267113.75</v>
      </c>
      <c r="Y152" s="412">
        <f t="shared" si="17"/>
        <v>1779413.5</v>
      </c>
      <c r="Z152" s="10">
        <f>+'A) Base RI'!N152</f>
        <v>126106.3</v>
      </c>
      <c r="AA152" s="10">
        <f>'A) Base RI'!AO152</f>
        <v>5243</v>
      </c>
    </row>
    <row r="153" spans="1:27" x14ac:dyDescent="0.25">
      <c r="A153" s="8">
        <f>'A) Base RI'!A153</f>
        <v>5644</v>
      </c>
      <c r="B153" s="32" t="str">
        <f>'A) Base RI'!B153</f>
        <v>Reverolle</v>
      </c>
      <c r="C153" s="10">
        <f>'A) Base RI'!C153+'A) Base RI'!D153</f>
        <v>1159504.8799999999</v>
      </c>
      <c r="D153" s="10">
        <f>'A) Base RI'!AP153</f>
        <v>-2568.08</v>
      </c>
      <c r="E153" s="31">
        <f>'A) Base RI'!AQ153</f>
        <v>0</v>
      </c>
      <c r="F153" s="31">
        <f>'A) Base RI'!AR153</f>
        <v>-461.69</v>
      </c>
      <c r="G153" s="412">
        <f t="shared" si="12"/>
        <v>1156475.1099999999</v>
      </c>
      <c r="H153" s="10">
        <f>+'A) Base RI'!E153</f>
        <v>0</v>
      </c>
      <c r="I153" s="10">
        <f>+'A) Base RI'!F153</f>
        <v>0</v>
      </c>
      <c r="J153" s="10">
        <f>+'A) Base RI'!G153+'A) Base RI'!H153+'A) Base RI'!X153</f>
        <v>15483.300000000001</v>
      </c>
      <c r="K153" s="10">
        <f>+'A) Base RI'!I153</f>
        <v>0</v>
      </c>
      <c r="L153" s="10">
        <f>+'A) Base RI'!J153</f>
        <v>29983.67</v>
      </c>
      <c r="M153" s="10">
        <f>+'A) Base RI'!K153</f>
        <v>0</v>
      </c>
      <c r="N153" s="10">
        <f>+'A) Base RI'!Q153</f>
        <v>0</v>
      </c>
      <c r="O153" s="10">
        <f t="shared" si="13"/>
        <v>79397.45</v>
      </c>
      <c r="P153" s="10">
        <f>+'A) Base RI'!L153</f>
        <v>79397.45</v>
      </c>
      <c r="Q153" s="34">
        <f>'A) Base RI'!AS153</f>
        <v>1</v>
      </c>
      <c r="R153" s="412">
        <f t="shared" si="14"/>
        <v>1281339.5299999998</v>
      </c>
      <c r="S153" s="33">
        <f>+'A) Base RI'!AN153</f>
        <v>76</v>
      </c>
      <c r="T153" s="412">
        <f t="shared" si="15"/>
        <v>1201942.0799999998</v>
      </c>
      <c r="U153" s="412">
        <f t="shared" si="16"/>
        <v>16859.730657894735</v>
      </c>
      <c r="V153" s="10">
        <f>+'A) Base RI'!O153</f>
        <v>5382.7</v>
      </c>
      <c r="W153" s="10">
        <f>+'A) Base RI'!P153</f>
        <v>27356.9</v>
      </c>
      <c r="X153" s="10">
        <f>+'A) Base RI'!R153</f>
        <v>45609.55</v>
      </c>
      <c r="Y153" s="412">
        <f t="shared" si="17"/>
        <v>78349.150000000009</v>
      </c>
      <c r="Z153" s="10">
        <f>+'A) Base RI'!N153</f>
        <v>5384.9</v>
      </c>
      <c r="AA153" s="10">
        <f>'A) Base RI'!AO153</f>
        <v>413</v>
      </c>
    </row>
    <row r="154" spans="1:27" x14ac:dyDescent="0.25">
      <c r="A154" s="8">
        <f>'A) Base RI'!A154</f>
        <v>5645</v>
      </c>
      <c r="B154" s="32" t="str">
        <f>'A) Base RI'!B154</f>
        <v>Romanel-sur-Morges</v>
      </c>
      <c r="C154" s="10">
        <f>'A) Base RI'!C154+'A) Base RI'!D154</f>
        <v>1192505.8</v>
      </c>
      <c r="D154" s="10">
        <f>'A) Base RI'!AP154</f>
        <v>-31008.32</v>
      </c>
      <c r="E154" s="31">
        <f>'A) Base RI'!AQ154</f>
        <v>0</v>
      </c>
      <c r="F154" s="31">
        <f>'A) Base RI'!AR154</f>
        <v>-3331.97</v>
      </c>
      <c r="G154" s="412">
        <f t="shared" si="12"/>
        <v>1158165.51</v>
      </c>
      <c r="H154" s="10">
        <f>+'A) Base RI'!E154</f>
        <v>0</v>
      </c>
      <c r="I154" s="10">
        <f>+'A) Base RI'!F154</f>
        <v>0</v>
      </c>
      <c r="J154" s="10">
        <f>+'A) Base RI'!G154+'A) Base RI'!H154+'A) Base RI'!X154</f>
        <v>285732.40000000002</v>
      </c>
      <c r="K154" s="10">
        <f>+'A) Base RI'!I154</f>
        <v>0</v>
      </c>
      <c r="L154" s="10">
        <f>+'A) Base RI'!J154</f>
        <v>43274.31</v>
      </c>
      <c r="M154" s="10">
        <f>+'A) Base RI'!K154</f>
        <v>20606.599999999999</v>
      </c>
      <c r="N154" s="10">
        <f>+'A) Base RI'!Q154</f>
        <v>27.15</v>
      </c>
      <c r="O154" s="10">
        <f t="shared" si="13"/>
        <v>157832.95000000001</v>
      </c>
      <c r="P154" s="10">
        <f>+'A) Base RI'!L154</f>
        <v>157832.95000000001</v>
      </c>
      <c r="Q154" s="34">
        <f>'A) Base RI'!AS154</f>
        <v>1</v>
      </c>
      <c r="R154" s="412">
        <f t="shared" si="14"/>
        <v>1665638.9200000002</v>
      </c>
      <c r="S154" s="33">
        <f>+'A) Base RI'!AN154</f>
        <v>56</v>
      </c>
      <c r="T154" s="412">
        <f t="shared" si="15"/>
        <v>1487199.37</v>
      </c>
      <c r="U154" s="412">
        <f t="shared" si="16"/>
        <v>29743.552142857145</v>
      </c>
      <c r="V154" s="10">
        <f>+'A) Base RI'!O154</f>
        <v>27306.7</v>
      </c>
      <c r="W154" s="10">
        <f>+'A) Base RI'!P154</f>
        <v>76500.899999999994</v>
      </c>
      <c r="X154" s="10">
        <f>+'A) Base RI'!R154</f>
        <v>34024.15</v>
      </c>
      <c r="Y154" s="412">
        <f t="shared" si="17"/>
        <v>137831.75</v>
      </c>
      <c r="Z154" s="10">
        <f>+'A) Base RI'!N154</f>
        <v>70369.600000000006</v>
      </c>
      <c r="AA154" s="10">
        <f>'A) Base RI'!AO154</f>
        <v>470</v>
      </c>
    </row>
    <row r="155" spans="1:27" x14ac:dyDescent="0.25">
      <c r="A155" s="8">
        <f>'A) Base RI'!A155</f>
        <v>5646</v>
      </c>
      <c r="B155" s="32" t="str">
        <f>'A) Base RI'!B155</f>
        <v>Saint-Prex</v>
      </c>
      <c r="C155" s="10">
        <f>'A) Base RI'!C155+'A) Base RI'!D155</f>
        <v>14240417.700000001</v>
      </c>
      <c r="D155" s="10">
        <f>'A) Base RI'!AP155</f>
        <v>-231208.23</v>
      </c>
      <c r="E155" s="31">
        <f>'A) Base RI'!AQ155</f>
        <v>0</v>
      </c>
      <c r="F155" s="31">
        <f>'A) Base RI'!AR155</f>
        <v>-32363.4</v>
      </c>
      <c r="G155" s="412">
        <f t="shared" si="12"/>
        <v>13976846.07</v>
      </c>
      <c r="H155" s="10">
        <f>+'A) Base RI'!E155</f>
        <v>0</v>
      </c>
      <c r="I155" s="10">
        <f>+'A) Base RI'!F155</f>
        <v>0</v>
      </c>
      <c r="J155" s="10">
        <f>+'A) Base RI'!G155+'A) Base RI'!H155+'A) Base RI'!X155</f>
        <v>6198058.4500000002</v>
      </c>
      <c r="K155" s="10">
        <f>+'A) Base RI'!I155</f>
        <v>714109.59</v>
      </c>
      <c r="L155" s="10">
        <f>+'A) Base RI'!J155</f>
        <v>418996.58</v>
      </c>
      <c r="M155" s="10">
        <f>+'A) Base RI'!K155</f>
        <v>94264.9</v>
      </c>
      <c r="N155" s="10">
        <f>+'A) Base RI'!Q155</f>
        <v>15012.8</v>
      </c>
      <c r="O155" s="10">
        <f t="shared" si="13"/>
        <v>1632300.65</v>
      </c>
      <c r="P155" s="10">
        <f>+'A) Base RI'!L155</f>
        <v>1632300.65</v>
      </c>
      <c r="Q155" s="34">
        <f>'A) Base RI'!AS155</f>
        <v>1</v>
      </c>
      <c r="R155" s="412">
        <f t="shared" si="14"/>
        <v>23049589.039999995</v>
      </c>
      <c r="S155" s="33">
        <f>+'A) Base RI'!AN155</f>
        <v>55</v>
      </c>
      <c r="T155" s="412">
        <f t="shared" si="15"/>
        <v>21323023.489999998</v>
      </c>
      <c r="U155" s="412">
        <f t="shared" si="16"/>
        <v>419083.43709090899</v>
      </c>
      <c r="V155" s="10">
        <f>+'A) Base RI'!O155</f>
        <v>967461.4</v>
      </c>
      <c r="W155" s="10">
        <f>+'A) Base RI'!P155</f>
        <v>582807.35</v>
      </c>
      <c r="X155" s="10">
        <f>+'A) Base RI'!R155</f>
        <v>216281.25</v>
      </c>
      <c r="Y155" s="412">
        <f t="shared" si="17"/>
        <v>1766550</v>
      </c>
      <c r="Z155" s="10">
        <f>+'A) Base RI'!N155</f>
        <v>176250.1</v>
      </c>
      <c r="AA155" s="10">
        <f>'A) Base RI'!AO155</f>
        <v>5774</v>
      </c>
    </row>
    <row r="156" spans="1:27" x14ac:dyDescent="0.25">
      <c r="A156" s="8">
        <f>'A) Base RI'!A156</f>
        <v>5648</v>
      </c>
      <c r="B156" s="32" t="str">
        <f>'A) Base RI'!B156</f>
        <v>Saint-Sulpice</v>
      </c>
      <c r="C156" s="10">
        <f>'A) Base RI'!C156+'A) Base RI'!D156</f>
        <v>17568753.870000001</v>
      </c>
      <c r="D156" s="10">
        <f>'A) Base RI'!AP156</f>
        <v>-136579.99</v>
      </c>
      <c r="E156" s="31">
        <f>'A) Base RI'!AQ156</f>
        <v>0</v>
      </c>
      <c r="F156" s="31">
        <f>'A) Base RI'!AR156</f>
        <v>-46984.38</v>
      </c>
      <c r="G156" s="412">
        <f t="shared" si="12"/>
        <v>17385189.500000004</v>
      </c>
      <c r="H156" s="10">
        <f>+'A) Base RI'!E156</f>
        <v>0</v>
      </c>
      <c r="I156" s="10">
        <f>+'A) Base RI'!F156</f>
        <v>0</v>
      </c>
      <c r="J156" s="10">
        <f>+'A) Base RI'!G156+'A) Base RI'!H156+'A) Base RI'!X156</f>
        <v>1240714.1000000001</v>
      </c>
      <c r="K156" s="10">
        <f>+'A) Base RI'!I156</f>
        <v>334616.83</v>
      </c>
      <c r="L156" s="10">
        <f>+'A) Base RI'!J156</f>
        <v>510702.23</v>
      </c>
      <c r="M156" s="10">
        <f>+'A) Base RI'!K156</f>
        <v>107669.8</v>
      </c>
      <c r="N156" s="10">
        <f>+'A) Base RI'!Q156</f>
        <v>11460.43</v>
      </c>
      <c r="O156" s="10">
        <f t="shared" si="13"/>
        <v>1500589.2</v>
      </c>
      <c r="P156" s="10">
        <f>+'A) Base RI'!L156</f>
        <v>1200471.3600000001</v>
      </c>
      <c r="Q156" s="34">
        <f>'A) Base RI'!AS156</f>
        <v>0.8</v>
      </c>
      <c r="R156" s="412">
        <f t="shared" si="14"/>
        <v>21090942.090000004</v>
      </c>
      <c r="S156" s="33">
        <f>+'A) Base RI'!AN156</f>
        <v>55</v>
      </c>
      <c r="T156" s="412">
        <f t="shared" si="15"/>
        <v>19482683.090000004</v>
      </c>
      <c r="U156" s="412">
        <f t="shared" si="16"/>
        <v>383471.67436363641</v>
      </c>
      <c r="V156" s="10">
        <f>+'A) Base RI'!O156</f>
        <v>432571.95</v>
      </c>
      <c r="W156" s="10">
        <f>+'A) Base RI'!P156</f>
        <v>1019805.4</v>
      </c>
      <c r="X156" s="10">
        <f>+'A) Base RI'!R156</f>
        <v>877498.95</v>
      </c>
      <c r="Y156" s="412">
        <f t="shared" si="17"/>
        <v>2329876.2999999998</v>
      </c>
      <c r="Z156" s="10">
        <f>+'A) Base RI'!N156</f>
        <v>78291.899999999994</v>
      </c>
      <c r="AA156" s="10">
        <f>'A) Base RI'!AO156</f>
        <v>4717</v>
      </c>
    </row>
    <row r="157" spans="1:27" x14ac:dyDescent="0.25">
      <c r="A157" s="8">
        <f>'A) Base RI'!A157</f>
        <v>5649</v>
      </c>
      <c r="B157" s="32" t="str">
        <f>'A) Base RI'!B157</f>
        <v>Tolochenaz</v>
      </c>
      <c r="C157" s="10">
        <f>'A) Base RI'!C157+'A) Base RI'!D157</f>
        <v>4824305.59</v>
      </c>
      <c r="D157" s="10">
        <f>'A) Base RI'!AP157</f>
        <v>-79452.100000000006</v>
      </c>
      <c r="E157" s="31">
        <f>'A) Base RI'!AQ157</f>
        <v>0</v>
      </c>
      <c r="F157" s="31">
        <f>'A) Base RI'!AR157</f>
        <v>-5271.85</v>
      </c>
      <c r="G157" s="412">
        <f t="shared" si="12"/>
        <v>4739581.6400000006</v>
      </c>
      <c r="H157" s="10">
        <f>+'A) Base RI'!E157</f>
        <v>0</v>
      </c>
      <c r="I157" s="10">
        <f>+'A) Base RI'!F157</f>
        <v>0</v>
      </c>
      <c r="J157" s="10">
        <f>+'A) Base RI'!G157+'A) Base RI'!H157+'A) Base RI'!X157</f>
        <v>1428976.85</v>
      </c>
      <c r="K157" s="10">
        <f>+'A) Base RI'!I157</f>
        <v>-56037.05</v>
      </c>
      <c r="L157" s="10">
        <f>+'A) Base RI'!J157</f>
        <v>410441.92</v>
      </c>
      <c r="M157" s="10">
        <f>+'A) Base RI'!K157</f>
        <v>62475.1</v>
      </c>
      <c r="N157" s="10">
        <f>+'A) Base RI'!Q157</f>
        <v>-5078.16</v>
      </c>
      <c r="O157" s="10">
        <f t="shared" si="13"/>
        <v>556264.69999999995</v>
      </c>
      <c r="P157" s="10">
        <f>+'A) Base RI'!L157</f>
        <v>556264.69999999995</v>
      </c>
      <c r="Q157" s="34">
        <f>'A) Base RI'!AS157</f>
        <v>1</v>
      </c>
      <c r="R157" s="412">
        <f t="shared" si="14"/>
        <v>7136625</v>
      </c>
      <c r="S157" s="33">
        <f>+'A) Base RI'!AN157</f>
        <v>65</v>
      </c>
      <c r="T157" s="412">
        <f t="shared" si="15"/>
        <v>6517885.2000000002</v>
      </c>
      <c r="U157" s="412">
        <f t="shared" si="16"/>
        <v>109794.23076923077</v>
      </c>
      <c r="V157" s="10">
        <f>+'A) Base RI'!O157</f>
        <v>22152.799999999999</v>
      </c>
      <c r="W157" s="10">
        <f>+'A) Base RI'!P157</f>
        <v>70804.3</v>
      </c>
      <c r="X157" s="10">
        <f>+'A) Base RI'!R157</f>
        <v>60016.75</v>
      </c>
      <c r="Y157" s="412">
        <f t="shared" si="17"/>
        <v>152973.85</v>
      </c>
      <c r="Z157" s="10">
        <f>+'A) Base RI'!N157</f>
        <v>359125.2</v>
      </c>
      <c r="AA157" s="10">
        <f>'A) Base RI'!AO157</f>
        <v>1907</v>
      </c>
    </row>
    <row r="158" spans="1:27" x14ac:dyDescent="0.25">
      <c r="A158" s="8">
        <f>'A) Base RI'!A158</f>
        <v>5650</v>
      </c>
      <c r="B158" s="32" t="str">
        <f>'A) Base RI'!B158</f>
        <v>Vaux-sur-Morges</v>
      </c>
      <c r="C158" s="10">
        <f>'A) Base RI'!C158+'A) Base RI'!D158</f>
        <v>8999323.8200000003</v>
      </c>
      <c r="D158" s="10">
        <f>'A) Base RI'!AP158</f>
        <v>-3418.06</v>
      </c>
      <c r="E158" s="31">
        <f>'A) Base RI'!AQ158</f>
        <v>0</v>
      </c>
      <c r="F158" s="31">
        <f>'A) Base RI'!AR158</f>
        <v>0</v>
      </c>
      <c r="G158" s="412">
        <f t="shared" si="12"/>
        <v>8995905.7599999998</v>
      </c>
      <c r="H158" s="10">
        <f>+'A) Base RI'!E158</f>
        <v>0</v>
      </c>
      <c r="I158" s="10">
        <f>+'A) Base RI'!F158</f>
        <v>0</v>
      </c>
      <c r="J158" s="10">
        <f>+'A) Base RI'!G158+'A) Base RI'!H158+'A) Base RI'!X158</f>
        <v>-25.300000000000182</v>
      </c>
      <c r="K158" s="10">
        <f>+'A) Base RI'!I158</f>
        <v>0</v>
      </c>
      <c r="L158" s="10">
        <f>+'A) Base RI'!J158</f>
        <v>78605.399999999994</v>
      </c>
      <c r="M158" s="10">
        <f>+'A) Base RI'!K158</f>
        <v>0</v>
      </c>
      <c r="N158" s="10">
        <f>+'A) Base RI'!Q158</f>
        <v>0</v>
      </c>
      <c r="O158" s="10">
        <f t="shared" si="13"/>
        <v>44257</v>
      </c>
      <c r="P158" s="10">
        <f>+'A) Base RI'!L158</f>
        <v>55321.25</v>
      </c>
      <c r="Q158" s="34">
        <f>'A) Base RI'!AS158</f>
        <v>1.25</v>
      </c>
      <c r="R158" s="412">
        <f t="shared" si="14"/>
        <v>9118742.8599999994</v>
      </c>
      <c r="S158" s="33">
        <f>+'A) Base RI'!AN158</f>
        <v>56</v>
      </c>
      <c r="T158" s="412">
        <f t="shared" si="15"/>
        <v>9074485.8599999994</v>
      </c>
      <c r="U158" s="412">
        <f t="shared" si="16"/>
        <v>162834.69392857142</v>
      </c>
      <c r="V158" s="10">
        <f>+'A) Base RI'!O158</f>
        <v>0</v>
      </c>
      <c r="W158" s="10">
        <f>+'A) Base RI'!P158</f>
        <v>13849</v>
      </c>
      <c r="X158" s="10">
        <f>+'A) Base RI'!R158</f>
        <v>0</v>
      </c>
      <c r="Y158" s="412">
        <f t="shared" si="17"/>
        <v>13849</v>
      </c>
      <c r="Z158" s="10">
        <f>+'A) Base RI'!N158</f>
        <v>0</v>
      </c>
      <c r="AA158" s="10">
        <f>'A) Base RI'!AO158</f>
        <v>196</v>
      </c>
    </row>
    <row r="159" spans="1:27" x14ac:dyDescent="0.25">
      <c r="A159" s="8">
        <f>'A) Base RI'!A159</f>
        <v>5651</v>
      </c>
      <c r="B159" s="32" t="str">
        <f>'A) Base RI'!B159</f>
        <v>Villars-Sainte-Croix</v>
      </c>
      <c r="C159" s="10">
        <f>'A) Base RI'!C159+'A) Base RI'!D159</f>
        <v>2484020.81</v>
      </c>
      <c r="D159" s="10">
        <f>'A) Base RI'!AP159</f>
        <v>-84189.47</v>
      </c>
      <c r="E159" s="31">
        <f>'A) Base RI'!AQ159</f>
        <v>0</v>
      </c>
      <c r="F159" s="31">
        <f>'A) Base RI'!AR159</f>
        <v>-175.33</v>
      </c>
      <c r="G159" s="412">
        <f t="shared" si="12"/>
        <v>2399656.0099999998</v>
      </c>
      <c r="H159" s="10">
        <f>+'A) Base RI'!E159</f>
        <v>0</v>
      </c>
      <c r="I159" s="10">
        <f>+'A) Base RI'!F159</f>
        <v>0</v>
      </c>
      <c r="J159" s="10">
        <f>+'A) Base RI'!G159+'A) Base RI'!H159+'A) Base RI'!X159</f>
        <v>724365.85</v>
      </c>
      <c r="K159" s="10">
        <f>+'A) Base RI'!I159</f>
        <v>0</v>
      </c>
      <c r="L159" s="10">
        <f>+'A) Base RI'!J159</f>
        <v>70492.320000000007</v>
      </c>
      <c r="M159" s="10">
        <f>+'A) Base RI'!K159</f>
        <v>37359.9</v>
      </c>
      <c r="N159" s="10">
        <f>+'A) Base RI'!Q159</f>
        <v>8859.3799999999992</v>
      </c>
      <c r="O159" s="10">
        <f t="shared" si="13"/>
        <v>397600.6</v>
      </c>
      <c r="P159" s="10">
        <f>+'A) Base RI'!L159</f>
        <v>397600.6</v>
      </c>
      <c r="Q159" s="34">
        <f>'A) Base RI'!AS159</f>
        <v>1</v>
      </c>
      <c r="R159" s="412">
        <f t="shared" si="14"/>
        <v>3638334.0599999996</v>
      </c>
      <c r="S159" s="33">
        <f>+'A) Base RI'!AN159</f>
        <v>62</v>
      </c>
      <c r="T159" s="412">
        <f t="shared" si="15"/>
        <v>3203373.5599999996</v>
      </c>
      <c r="U159" s="412">
        <f t="shared" si="16"/>
        <v>58682.807419354831</v>
      </c>
      <c r="V159" s="10">
        <f>+'A) Base RI'!O159</f>
        <v>0</v>
      </c>
      <c r="W159" s="10">
        <f>+'A) Base RI'!P159</f>
        <v>106095</v>
      </c>
      <c r="X159" s="10">
        <f>+'A) Base RI'!R159</f>
        <v>79948.649999999994</v>
      </c>
      <c r="Y159" s="412">
        <f t="shared" si="17"/>
        <v>186043.65</v>
      </c>
      <c r="Z159" s="10">
        <f>+'A) Base RI'!N159</f>
        <v>159294.39999999999</v>
      </c>
      <c r="AA159" s="10">
        <f>'A) Base RI'!AO159</f>
        <v>973</v>
      </c>
    </row>
    <row r="160" spans="1:27" x14ac:dyDescent="0.25">
      <c r="A160" s="8">
        <f>'A) Base RI'!A160</f>
        <v>5652</v>
      </c>
      <c r="B160" s="32" t="str">
        <f>'A) Base RI'!B160</f>
        <v>Villars-sous-Yens</v>
      </c>
      <c r="C160" s="10">
        <f>'A) Base RI'!C160+'A) Base RI'!D160</f>
        <v>2460559.13</v>
      </c>
      <c r="D160" s="10">
        <f>'A) Base RI'!AP160</f>
        <v>-30240.560000000001</v>
      </c>
      <c r="E160" s="31">
        <f>'A) Base RI'!AQ160</f>
        <v>0</v>
      </c>
      <c r="F160" s="31">
        <f>'A) Base RI'!AR160</f>
        <v>-1291.3699999999999</v>
      </c>
      <c r="G160" s="412">
        <f t="shared" si="12"/>
        <v>2429027.1999999997</v>
      </c>
      <c r="H160" s="10">
        <f>+'A) Base RI'!E160</f>
        <v>0</v>
      </c>
      <c r="I160" s="10">
        <f>+'A) Base RI'!F160</f>
        <v>0</v>
      </c>
      <c r="J160" s="10">
        <f>+'A) Base RI'!G160+'A) Base RI'!H160+'A) Base RI'!X160</f>
        <v>6241.75</v>
      </c>
      <c r="K160" s="10">
        <f>+'A) Base RI'!I160</f>
        <v>0</v>
      </c>
      <c r="L160" s="10">
        <f>+'A) Base RI'!J160</f>
        <v>-47839.44</v>
      </c>
      <c r="M160" s="10">
        <f>+'A) Base RI'!K160</f>
        <v>863.65</v>
      </c>
      <c r="N160" s="10">
        <f>+'A) Base RI'!Q160</f>
        <v>6540.02</v>
      </c>
      <c r="O160" s="10">
        <f t="shared" si="13"/>
        <v>108242.04166666667</v>
      </c>
      <c r="P160" s="10">
        <f>+'A) Base RI'!L160</f>
        <v>129890.45</v>
      </c>
      <c r="Q160" s="34">
        <f>'A) Base RI'!AS160</f>
        <v>1.2</v>
      </c>
      <c r="R160" s="412">
        <f t="shared" si="14"/>
        <v>2503075.2216666662</v>
      </c>
      <c r="S160" s="33">
        <f>+'A) Base RI'!AN160</f>
        <v>76</v>
      </c>
      <c r="T160" s="412">
        <f t="shared" si="15"/>
        <v>2393969.5299999998</v>
      </c>
      <c r="U160" s="412">
        <f t="shared" si="16"/>
        <v>32935.200285087711</v>
      </c>
      <c r="V160" s="10">
        <f>+'A) Base RI'!O160</f>
        <v>744.6</v>
      </c>
      <c r="W160" s="10">
        <f>+'A) Base RI'!P160</f>
        <v>45085.75</v>
      </c>
      <c r="X160" s="10">
        <f>+'A) Base RI'!R160</f>
        <v>19488.400000000001</v>
      </c>
      <c r="Y160" s="412">
        <f t="shared" si="17"/>
        <v>65318.75</v>
      </c>
      <c r="Z160" s="10">
        <f>+'A) Base RI'!N160</f>
        <v>3541.45</v>
      </c>
      <c r="AA160" s="10">
        <f>'A) Base RI'!AO160</f>
        <v>603</v>
      </c>
    </row>
    <row r="161" spans="1:27" x14ac:dyDescent="0.25">
      <c r="A161" s="8">
        <f>'A) Base RI'!A161</f>
        <v>5653</v>
      </c>
      <c r="B161" s="32" t="str">
        <f>'A) Base RI'!B161</f>
        <v>Vufflens-le-Château</v>
      </c>
      <c r="C161" s="10">
        <f>'A) Base RI'!C161+'A) Base RI'!D161</f>
        <v>3844807.2800000003</v>
      </c>
      <c r="D161" s="10">
        <f>'A) Base RI'!AP161</f>
        <v>-2683.39</v>
      </c>
      <c r="E161" s="31">
        <f>'A) Base RI'!AQ161</f>
        <v>0</v>
      </c>
      <c r="F161" s="31">
        <f>'A) Base RI'!AR161</f>
        <v>-10523.06</v>
      </c>
      <c r="G161" s="412">
        <f t="shared" si="12"/>
        <v>3831600.83</v>
      </c>
      <c r="H161" s="10">
        <f>+'A) Base RI'!E161</f>
        <v>0</v>
      </c>
      <c r="I161" s="10">
        <f>+'A) Base RI'!F161</f>
        <v>0</v>
      </c>
      <c r="J161" s="10">
        <f>+'A) Base RI'!G161+'A) Base RI'!H161+'A) Base RI'!X161</f>
        <v>57055.55</v>
      </c>
      <c r="K161" s="10">
        <f>+'A) Base RI'!I161</f>
        <v>122474.25</v>
      </c>
      <c r="L161" s="10">
        <f>+'A) Base RI'!J161</f>
        <v>45635.3</v>
      </c>
      <c r="M161" s="10">
        <f>+'A) Base RI'!K161</f>
        <v>3412.75</v>
      </c>
      <c r="N161" s="10">
        <f>+'A) Base RI'!Q161</f>
        <v>0</v>
      </c>
      <c r="O161" s="10">
        <f t="shared" si="13"/>
        <v>251830.99999999997</v>
      </c>
      <c r="P161" s="10">
        <f>+'A) Base RI'!L161</f>
        <v>201464.8</v>
      </c>
      <c r="Q161" s="34">
        <f>'A) Base RI'!AS161</f>
        <v>0.8</v>
      </c>
      <c r="R161" s="412">
        <f t="shared" si="14"/>
        <v>4312009.68</v>
      </c>
      <c r="S161" s="33">
        <f>+'A) Base RI'!AN161</f>
        <v>60</v>
      </c>
      <c r="T161" s="412">
        <f t="shared" si="15"/>
        <v>4056765.9299999997</v>
      </c>
      <c r="U161" s="412">
        <f t="shared" si="16"/>
        <v>71866.827999999994</v>
      </c>
      <c r="V161" s="10">
        <f>+'A) Base RI'!O161</f>
        <v>1641167.4</v>
      </c>
      <c r="W161" s="10">
        <f>+'A) Base RI'!P161</f>
        <v>108889</v>
      </c>
      <c r="X161" s="10">
        <f>+'A) Base RI'!R161</f>
        <v>75926.100000000006</v>
      </c>
      <c r="Y161" s="412">
        <f t="shared" si="17"/>
        <v>1825982.5</v>
      </c>
      <c r="Z161" s="10">
        <f>+'A) Base RI'!N161</f>
        <v>1599.2</v>
      </c>
      <c r="AA161" s="10">
        <f>'A) Base RI'!AO161</f>
        <v>883</v>
      </c>
    </row>
    <row r="162" spans="1:27" x14ac:dyDescent="0.25">
      <c r="A162" s="8">
        <f>'A) Base RI'!A162</f>
        <v>5654</v>
      </c>
      <c r="B162" s="32" t="str">
        <f>'A) Base RI'!B162</f>
        <v>Vullierens</v>
      </c>
      <c r="C162" s="10">
        <f>'A) Base RI'!C162+'A) Base RI'!D162</f>
        <v>1227898.08</v>
      </c>
      <c r="D162" s="10">
        <f>'A) Base RI'!AP162</f>
        <v>-7285.54</v>
      </c>
      <c r="E162" s="31">
        <f>'A) Base RI'!AQ162</f>
        <v>0</v>
      </c>
      <c r="F162" s="31">
        <f>'A) Base RI'!AR162</f>
        <v>-335.82</v>
      </c>
      <c r="G162" s="412">
        <f t="shared" si="12"/>
        <v>1220276.72</v>
      </c>
      <c r="H162" s="10">
        <f>+'A) Base RI'!E162</f>
        <v>0</v>
      </c>
      <c r="I162" s="10">
        <f>+'A) Base RI'!F162</f>
        <v>0</v>
      </c>
      <c r="J162" s="10">
        <f>+'A) Base RI'!G162+'A) Base RI'!H162+'A) Base RI'!X162</f>
        <v>8089.45</v>
      </c>
      <c r="K162" s="10">
        <f>+'A) Base RI'!I162</f>
        <v>0</v>
      </c>
      <c r="L162" s="10">
        <f>+'A) Base RI'!J162</f>
        <v>28665.41</v>
      </c>
      <c r="M162" s="10">
        <f>+'A) Base RI'!K162</f>
        <v>1512.45</v>
      </c>
      <c r="N162" s="10">
        <f>+'A) Base RI'!Q162</f>
        <v>12677.46</v>
      </c>
      <c r="O162" s="10">
        <f t="shared" si="13"/>
        <v>101901.1</v>
      </c>
      <c r="P162" s="10">
        <f>+'A) Base RI'!L162</f>
        <v>101901.1</v>
      </c>
      <c r="Q162" s="34">
        <f>'A) Base RI'!AS162</f>
        <v>1</v>
      </c>
      <c r="R162" s="412">
        <f t="shared" si="14"/>
        <v>1373122.5899999999</v>
      </c>
      <c r="S162" s="33">
        <f>+'A) Base RI'!AN162</f>
        <v>76</v>
      </c>
      <c r="T162" s="412">
        <f t="shared" si="15"/>
        <v>1269709.0399999998</v>
      </c>
      <c r="U162" s="412">
        <f t="shared" si="16"/>
        <v>18067.402499999997</v>
      </c>
      <c r="V162" s="10">
        <f>+'A) Base RI'!O162</f>
        <v>7570.4</v>
      </c>
      <c r="W162" s="10">
        <f>+'A) Base RI'!P162</f>
        <v>30107</v>
      </c>
      <c r="X162" s="10">
        <f>+'A) Base RI'!R162</f>
        <v>12263.3</v>
      </c>
      <c r="Y162" s="412">
        <f t="shared" si="17"/>
        <v>49940.7</v>
      </c>
      <c r="Z162" s="10">
        <f>+'A) Base RI'!N162</f>
        <v>6198.3</v>
      </c>
      <c r="AA162" s="10">
        <f>'A) Base RI'!AO162</f>
        <v>513</v>
      </c>
    </row>
    <row r="163" spans="1:27" x14ac:dyDescent="0.25">
      <c r="A163" s="8">
        <f>'A) Base RI'!A163</f>
        <v>5655</v>
      </c>
      <c r="B163" s="32" t="str">
        <f>'A) Base RI'!B163</f>
        <v>Yens</v>
      </c>
      <c r="C163" s="10">
        <f>'A) Base RI'!C163+'A) Base RI'!D163</f>
        <v>5107931.82</v>
      </c>
      <c r="D163" s="10">
        <f>'A) Base RI'!AP163</f>
        <v>-21967.68</v>
      </c>
      <c r="E163" s="31">
        <f>'A) Base RI'!AQ163</f>
        <v>0</v>
      </c>
      <c r="F163" s="31">
        <f>'A) Base RI'!AR163</f>
        <v>-9516.2199999999993</v>
      </c>
      <c r="G163" s="412">
        <f t="shared" si="12"/>
        <v>5076447.9200000009</v>
      </c>
      <c r="H163" s="10">
        <f>+'A) Base RI'!E163</f>
        <v>0</v>
      </c>
      <c r="I163" s="10">
        <f>+'A) Base RI'!F163</f>
        <v>0</v>
      </c>
      <c r="J163" s="10">
        <f>+'A) Base RI'!G163+'A) Base RI'!H163+'A) Base RI'!X163</f>
        <v>77207.7</v>
      </c>
      <c r="K163" s="10">
        <f>+'A) Base RI'!I163</f>
        <v>67621.55</v>
      </c>
      <c r="L163" s="10">
        <f>+'A) Base RI'!J163</f>
        <v>6472.53</v>
      </c>
      <c r="M163" s="10">
        <f>+'A) Base RI'!K163</f>
        <v>8380.2999999999993</v>
      </c>
      <c r="N163" s="10">
        <f>+'A) Base RI'!Q163</f>
        <v>4258.6000000000004</v>
      </c>
      <c r="O163" s="10">
        <f t="shared" si="13"/>
        <v>397516.65</v>
      </c>
      <c r="P163" s="10">
        <f>+'A) Base RI'!L163</f>
        <v>397516.65</v>
      </c>
      <c r="Q163" s="34">
        <f>'A) Base RI'!AS163</f>
        <v>1</v>
      </c>
      <c r="R163" s="412">
        <f t="shared" si="14"/>
        <v>5637905.2500000009</v>
      </c>
      <c r="S163" s="33">
        <f>+'A) Base RI'!AN163</f>
        <v>73</v>
      </c>
      <c r="T163" s="412">
        <f t="shared" si="15"/>
        <v>5232008.3000000007</v>
      </c>
      <c r="U163" s="412">
        <f t="shared" si="16"/>
        <v>77231.578767123297</v>
      </c>
      <c r="V163" s="10">
        <f>+'A) Base RI'!O163</f>
        <v>39902.199999999997</v>
      </c>
      <c r="W163" s="10">
        <f>+'A) Base RI'!P163</f>
        <v>238146.9</v>
      </c>
      <c r="X163" s="10">
        <f>+'A) Base RI'!R163</f>
        <v>213875.35</v>
      </c>
      <c r="Y163" s="412">
        <f t="shared" si="17"/>
        <v>491924.44999999995</v>
      </c>
      <c r="Z163" s="10">
        <f>+'A) Base RI'!N163</f>
        <v>61074.9</v>
      </c>
      <c r="AA163" s="10">
        <f>'A) Base RI'!AO163</f>
        <v>1477</v>
      </c>
    </row>
    <row r="164" spans="1:27" x14ac:dyDescent="0.25">
      <c r="A164" s="8">
        <f>'A) Base RI'!A164</f>
        <v>5661</v>
      </c>
      <c r="B164" s="32" t="str">
        <f>'A) Base RI'!B164</f>
        <v>Boulens</v>
      </c>
      <c r="C164" s="10">
        <f>'A) Base RI'!C164+'A) Base RI'!D164</f>
        <v>665986.23</v>
      </c>
      <c r="D164" s="10">
        <f>'A) Base RI'!AP164</f>
        <v>-17.5</v>
      </c>
      <c r="E164" s="31">
        <f>'A) Base RI'!AQ164</f>
        <v>0</v>
      </c>
      <c r="F164" s="31">
        <f>'A) Base RI'!AR164</f>
        <v>0</v>
      </c>
      <c r="G164" s="412">
        <f t="shared" si="12"/>
        <v>665968.73</v>
      </c>
      <c r="H164" s="10">
        <f>+'A) Base RI'!E164</f>
        <v>0</v>
      </c>
      <c r="I164" s="10">
        <f>+'A) Base RI'!F164</f>
        <v>0</v>
      </c>
      <c r="J164" s="10">
        <f>+'A) Base RI'!G164+'A) Base RI'!H164+'A) Base RI'!X164</f>
        <v>2348.5</v>
      </c>
      <c r="K164" s="10">
        <f>+'A) Base RI'!I164</f>
        <v>0</v>
      </c>
      <c r="L164" s="10">
        <f>+'A) Base RI'!J164</f>
        <v>9757.7800000000007</v>
      </c>
      <c r="M164" s="10">
        <f>+'A) Base RI'!K164</f>
        <v>425</v>
      </c>
      <c r="N164" s="10">
        <f>+'A) Base RI'!Q164</f>
        <v>1204.74</v>
      </c>
      <c r="O164" s="10">
        <f t="shared" si="13"/>
        <v>55213</v>
      </c>
      <c r="P164" s="10">
        <f>+'A) Base RI'!L164</f>
        <v>55213</v>
      </c>
      <c r="Q164" s="34">
        <f>'A) Base RI'!AS164</f>
        <v>1</v>
      </c>
      <c r="R164" s="412">
        <f t="shared" si="14"/>
        <v>734917.75</v>
      </c>
      <c r="S164" s="33">
        <f>+'A) Base RI'!AN164</f>
        <v>73</v>
      </c>
      <c r="T164" s="412">
        <f t="shared" si="15"/>
        <v>679279.75</v>
      </c>
      <c r="U164" s="412">
        <f t="shared" si="16"/>
        <v>10067.366438356165</v>
      </c>
      <c r="V164" s="10">
        <f>+'A) Base RI'!O164</f>
        <v>557.70000000000005</v>
      </c>
      <c r="W164" s="10">
        <f>+'A) Base RI'!P164</f>
        <v>1925</v>
      </c>
      <c r="X164" s="10">
        <f>+'A) Base RI'!R164</f>
        <v>0</v>
      </c>
      <c r="Y164" s="412">
        <f t="shared" si="17"/>
        <v>2482.6999999999998</v>
      </c>
      <c r="Z164" s="10">
        <f>+'A) Base RI'!N164</f>
        <v>16467.349999999999</v>
      </c>
      <c r="AA164" s="10">
        <f>'A) Base RI'!AO164</f>
        <v>361</v>
      </c>
    </row>
    <row r="165" spans="1:27" x14ac:dyDescent="0.25">
      <c r="A165" s="8">
        <f>'A) Base RI'!A165</f>
        <v>5663</v>
      </c>
      <c r="B165" s="32" t="str">
        <f>'A) Base RI'!B165</f>
        <v>Bussy-sur-Moudon</v>
      </c>
      <c r="C165" s="10">
        <f>'A) Base RI'!C165+'A) Base RI'!D165</f>
        <v>464690.39</v>
      </c>
      <c r="D165" s="10">
        <f>'A) Base RI'!AP165</f>
        <v>-9479.2199999999993</v>
      </c>
      <c r="E165" s="31">
        <f>'A) Base RI'!AQ165</f>
        <v>0</v>
      </c>
      <c r="F165" s="31">
        <f>'A) Base RI'!AR165</f>
        <v>0</v>
      </c>
      <c r="G165" s="412">
        <f t="shared" si="12"/>
        <v>455211.17000000004</v>
      </c>
      <c r="H165" s="10">
        <f>+'A) Base RI'!E165</f>
        <v>0</v>
      </c>
      <c r="I165" s="10">
        <f>+'A) Base RI'!F165</f>
        <v>1360</v>
      </c>
      <c r="J165" s="10">
        <f>+'A) Base RI'!G165+'A) Base RI'!H165+'A) Base RI'!X165</f>
        <v>13988.199999999999</v>
      </c>
      <c r="K165" s="10">
        <f>+'A) Base RI'!I165</f>
        <v>0</v>
      </c>
      <c r="L165" s="10">
        <f>+'A) Base RI'!J165</f>
        <v>7572.79</v>
      </c>
      <c r="M165" s="10">
        <f>+'A) Base RI'!K165</f>
        <v>67.650000000000006</v>
      </c>
      <c r="N165" s="10">
        <f>+'A) Base RI'!Q165</f>
        <v>-0.32</v>
      </c>
      <c r="O165" s="10">
        <f t="shared" si="13"/>
        <v>30402.7</v>
      </c>
      <c r="P165" s="10">
        <f>+'A) Base RI'!L165</f>
        <v>30402.7</v>
      </c>
      <c r="Q165" s="34">
        <f>'A) Base RI'!AS165</f>
        <v>1</v>
      </c>
      <c r="R165" s="412">
        <f t="shared" si="14"/>
        <v>508602.19000000006</v>
      </c>
      <c r="S165" s="33">
        <f>+'A) Base RI'!AN165</f>
        <v>80</v>
      </c>
      <c r="T165" s="412">
        <f t="shared" si="15"/>
        <v>476771.84000000003</v>
      </c>
      <c r="U165" s="412">
        <f t="shared" si="16"/>
        <v>6357.5273750000006</v>
      </c>
      <c r="V165" s="10">
        <f>+'A) Base RI'!O165</f>
        <v>0</v>
      </c>
      <c r="W165" s="10">
        <f>+'A) Base RI'!P165</f>
        <v>21339.95</v>
      </c>
      <c r="X165" s="10">
        <f>+'A) Base RI'!R165</f>
        <v>24054.2</v>
      </c>
      <c r="Y165" s="412">
        <f t="shared" si="17"/>
        <v>45394.15</v>
      </c>
      <c r="Z165" s="10">
        <f>+'A) Base RI'!N165</f>
        <v>0</v>
      </c>
      <c r="AA165" s="10">
        <f>'A) Base RI'!AO165</f>
        <v>218</v>
      </c>
    </row>
    <row r="166" spans="1:27" x14ac:dyDescent="0.25">
      <c r="A166" s="8">
        <f>'A) Base RI'!A166</f>
        <v>5665</v>
      </c>
      <c r="B166" s="32" t="str">
        <f>'A) Base RI'!B166</f>
        <v>Chavannes-sur-Moudon</v>
      </c>
      <c r="C166" s="10">
        <f>'A) Base RI'!C166+'A) Base RI'!D166</f>
        <v>314261.71000000002</v>
      </c>
      <c r="D166" s="10">
        <f>'A) Base RI'!AP166</f>
        <v>-58.23</v>
      </c>
      <c r="E166" s="31">
        <f>'A) Base RI'!AQ166</f>
        <v>0</v>
      </c>
      <c r="F166" s="31">
        <f>'A) Base RI'!AR166</f>
        <v>0</v>
      </c>
      <c r="G166" s="412">
        <f t="shared" si="12"/>
        <v>314203.48000000004</v>
      </c>
      <c r="H166" s="10">
        <f>+'A) Base RI'!E166</f>
        <v>0</v>
      </c>
      <c r="I166" s="10">
        <f>+'A) Base RI'!F166</f>
        <v>0</v>
      </c>
      <c r="J166" s="10">
        <f>+'A) Base RI'!G166+'A) Base RI'!H166+'A) Base RI'!X166</f>
        <v>551.59999999999991</v>
      </c>
      <c r="K166" s="10">
        <f>+'A) Base RI'!I166</f>
        <v>0</v>
      </c>
      <c r="L166" s="10">
        <f>+'A) Base RI'!J166</f>
        <v>6370.32</v>
      </c>
      <c r="M166" s="10">
        <f>+'A) Base RI'!K166</f>
        <v>4.5</v>
      </c>
      <c r="N166" s="10">
        <f>+'A) Base RI'!Q166</f>
        <v>0</v>
      </c>
      <c r="O166" s="10">
        <f t="shared" si="13"/>
        <v>24517.7</v>
      </c>
      <c r="P166" s="10">
        <f>+'A) Base RI'!L166</f>
        <v>24517.7</v>
      </c>
      <c r="Q166" s="34">
        <f>'A) Base RI'!AS166</f>
        <v>1</v>
      </c>
      <c r="R166" s="412">
        <f t="shared" si="14"/>
        <v>345647.60000000003</v>
      </c>
      <c r="S166" s="33">
        <f>+'A) Base RI'!AN166</f>
        <v>73</v>
      </c>
      <c r="T166" s="412">
        <f t="shared" si="15"/>
        <v>321125.40000000002</v>
      </c>
      <c r="U166" s="412">
        <f t="shared" si="16"/>
        <v>4734.8986301369869</v>
      </c>
      <c r="V166" s="10">
        <f>+'A) Base RI'!O166</f>
        <v>0</v>
      </c>
      <c r="W166" s="10">
        <f>+'A) Base RI'!P166</f>
        <v>12534.55</v>
      </c>
      <c r="X166" s="10">
        <f>+'A) Base RI'!R166</f>
        <v>16966.8</v>
      </c>
      <c r="Y166" s="412">
        <f t="shared" si="17"/>
        <v>29501.35</v>
      </c>
      <c r="Z166" s="10">
        <f>+'A) Base RI'!N166</f>
        <v>0</v>
      </c>
      <c r="AA166" s="10">
        <f>'A) Base RI'!AO166</f>
        <v>210</v>
      </c>
    </row>
    <row r="167" spans="1:27" x14ac:dyDescent="0.25">
      <c r="A167" s="8">
        <f>'A) Base RI'!A167</f>
        <v>5669</v>
      </c>
      <c r="B167" s="32" t="str">
        <f>'A) Base RI'!B167</f>
        <v>Curtilles</v>
      </c>
      <c r="C167" s="10">
        <f>'A) Base RI'!C167+'A) Base RI'!D167</f>
        <v>709754.74</v>
      </c>
      <c r="D167" s="10">
        <f>'A) Base RI'!AP167</f>
        <v>-18897.330000000002</v>
      </c>
      <c r="E167" s="31">
        <f>'A) Base RI'!AQ167</f>
        <v>0</v>
      </c>
      <c r="F167" s="31">
        <f>'A) Base RI'!AR167</f>
        <v>-138.72999999999999</v>
      </c>
      <c r="G167" s="412">
        <f t="shared" si="12"/>
        <v>690718.68</v>
      </c>
      <c r="H167" s="10">
        <f>+'A) Base RI'!E167</f>
        <v>0</v>
      </c>
      <c r="I167" s="10">
        <f>+'A) Base RI'!F167</f>
        <v>0</v>
      </c>
      <c r="J167" s="10">
        <f>+'A) Base RI'!G167+'A) Base RI'!H167+'A) Base RI'!X167</f>
        <v>3852.75</v>
      </c>
      <c r="K167" s="10">
        <f>+'A) Base RI'!I167</f>
        <v>0</v>
      </c>
      <c r="L167" s="10">
        <f>+'A) Base RI'!J167</f>
        <v>8617.1</v>
      </c>
      <c r="M167" s="10">
        <f>+'A) Base RI'!K167</f>
        <v>356.7</v>
      </c>
      <c r="N167" s="10">
        <f>+'A) Base RI'!Q167</f>
        <v>0</v>
      </c>
      <c r="O167" s="10">
        <f t="shared" si="13"/>
        <v>46619.7</v>
      </c>
      <c r="P167" s="10">
        <f>+'A) Base RI'!L167</f>
        <v>23309.85</v>
      </c>
      <c r="Q167" s="34">
        <f>'A) Base RI'!AS167</f>
        <v>0.5</v>
      </c>
      <c r="R167" s="412">
        <f t="shared" si="14"/>
        <v>750164.92999999993</v>
      </c>
      <c r="S167" s="33">
        <f>+'A) Base RI'!AN167</f>
        <v>75</v>
      </c>
      <c r="T167" s="412">
        <f t="shared" si="15"/>
        <v>703188.53</v>
      </c>
      <c r="U167" s="412">
        <f t="shared" si="16"/>
        <v>10002.199066666666</v>
      </c>
      <c r="V167" s="10">
        <f>+'A) Base RI'!O167</f>
        <v>0</v>
      </c>
      <c r="W167" s="10">
        <f>+'A) Base RI'!P167</f>
        <v>12328.35</v>
      </c>
      <c r="X167" s="10">
        <f>+'A) Base RI'!R167</f>
        <v>2904.75</v>
      </c>
      <c r="Y167" s="412">
        <f t="shared" si="17"/>
        <v>15233.1</v>
      </c>
      <c r="Z167" s="10">
        <f>+'A) Base RI'!N167</f>
        <v>0</v>
      </c>
      <c r="AA167" s="10">
        <f>'A) Base RI'!AO167</f>
        <v>310</v>
      </c>
    </row>
    <row r="168" spans="1:27" x14ac:dyDescent="0.25">
      <c r="A168" s="8">
        <f>'A) Base RI'!A168</f>
        <v>5671</v>
      </c>
      <c r="B168" s="32" t="str">
        <f>'A) Base RI'!B168</f>
        <v>Dompierre</v>
      </c>
      <c r="C168" s="10">
        <f>'A) Base RI'!C168+'A) Base RI'!D168</f>
        <v>499716.2</v>
      </c>
      <c r="D168" s="10">
        <f>'A) Base RI'!AP168</f>
        <v>-14179.7</v>
      </c>
      <c r="E168" s="31">
        <f>'A) Base RI'!AQ168</f>
        <v>0</v>
      </c>
      <c r="F168" s="31">
        <f>'A) Base RI'!AR168</f>
        <v>0</v>
      </c>
      <c r="G168" s="412">
        <f t="shared" si="12"/>
        <v>485536.5</v>
      </c>
      <c r="H168" s="10">
        <f>+'A) Base RI'!E168</f>
        <v>0</v>
      </c>
      <c r="I168" s="10">
        <f>+'A) Base RI'!F168</f>
        <v>0</v>
      </c>
      <c r="J168" s="10">
        <f>+'A) Base RI'!G168+'A) Base RI'!H168+'A) Base RI'!X168</f>
        <v>8550.6</v>
      </c>
      <c r="K168" s="10">
        <f>+'A) Base RI'!I168</f>
        <v>0</v>
      </c>
      <c r="L168" s="10">
        <f>+'A) Base RI'!J168</f>
        <v>-1378.84</v>
      </c>
      <c r="M168" s="10">
        <f>+'A) Base RI'!K168</f>
        <v>223.5</v>
      </c>
      <c r="N168" s="10">
        <f>+'A) Base RI'!Q168</f>
        <v>169.8</v>
      </c>
      <c r="O168" s="10">
        <f t="shared" si="13"/>
        <v>32609.200000000001</v>
      </c>
      <c r="P168" s="10">
        <f>+'A) Base RI'!L168</f>
        <v>32609.200000000001</v>
      </c>
      <c r="Q168" s="34">
        <f>'A) Base RI'!AS168</f>
        <v>1</v>
      </c>
      <c r="R168" s="412">
        <f t="shared" si="14"/>
        <v>525710.75999999989</v>
      </c>
      <c r="S168" s="33">
        <f>+'A) Base RI'!AN168</f>
        <v>80</v>
      </c>
      <c r="T168" s="412">
        <f t="shared" si="15"/>
        <v>492878.05999999994</v>
      </c>
      <c r="U168" s="412">
        <f t="shared" si="16"/>
        <v>6571.3844999999983</v>
      </c>
      <c r="V168" s="10">
        <f>+'A) Base RI'!O168</f>
        <v>0</v>
      </c>
      <c r="W168" s="10">
        <f>+'A) Base RI'!P168</f>
        <v>19723</v>
      </c>
      <c r="X168" s="10">
        <f>+'A) Base RI'!R168</f>
        <v>28291.05</v>
      </c>
      <c r="Y168" s="412">
        <f t="shared" si="17"/>
        <v>48014.05</v>
      </c>
      <c r="Z168" s="10">
        <f>+'A) Base RI'!N168</f>
        <v>0</v>
      </c>
      <c r="AA168" s="10">
        <f>'A) Base RI'!AO168</f>
        <v>232</v>
      </c>
    </row>
    <row r="169" spans="1:27" x14ac:dyDescent="0.25">
      <c r="A169" s="8">
        <f>'A) Base RI'!A169</f>
        <v>5673</v>
      </c>
      <c r="B169" s="32" t="str">
        <f>'A) Base RI'!B169</f>
        <v>Hermenches</v>
      </c>
      <c r="C169" s="10">
        <f>'A) Base RI'!C169+'A) Base RI'!D169</f>
        <v>715895.80999999994</v>
      </c>
      <c r="D169" s="10">
        <f>'A) Base RI'!AP169</f>
        <v>-22722.15</v>
      </c>
      <c r="E169" s="31">
        <f>'A) Base RI'!AQ169</f>
        <v>0</v>
      </c>
      <c r="F169" s="31">
        <f>'A) Base RI'!AR169</f>
        <v>-48.33</v>
      </c>
      <c r="G169" s="412">
        <f t="shared" si="12"/>
        <v>693125.33</v>
      </c>
      <c r="H169" s="10">
        <f>+'A) Base RI'!E169</f>
        <v>0</v>
      </c>
      <c r="I169" s="10">
        <f>+'A) Base RI'!F169</f>
        <v>1940</v>
      </c>
      <c r="J169" s="10">
        <f>+'A) Base RI'!G169+'A) Base RI'!H169+'A) Base RI'!X169</f>
        <v>3480.9999999999995</v>
      </c>
      <c r="K169" s="10">
        <f>+'A) Base RI'!I169</f>
        <v>0</v>
      </c>
      <c r="L169" s="10">
        <f>+'A) Base RI'!J169</f>
        <v>-2566.7800000000002</v>
      </c>
      <c r="M169" s="10">
        <f>+'A) Base RI'!K169</f>
        <v>7.5</v>
      </c>
      <c r="N169" s="10">
        <f>+'A) Base RI'!Q169</f>
        <v>417.37</v>
      </c>
      <c r="O169" s="10">
        <f t="shared" si="13"/>
        <v>46823</v>
      </c>
      <c r="P169" s="10">
        <f>+'A) Base RI'!L169</f>
        <v>28093.8</v>
      </c>
      <c r="Q169" s="34">
        <f>'A) Base RI'!AS169</f>
        <v>0.6</v>
      </c>
      <c r="R169" s="412">
        <f t="shared" si="14"/>
        <v>743227.41999999993</v>
      </c>
      <c r="S169" s="33">
        <f>+'A) Base RI'!AN169</f>
        <v>75</v>
      </c>
      <c r="T169" s="412">
        <f t="shared" si="15"/>
        <v>694456.91999999993</v>
      </c>
      <c r="U169" s="412">
        <f t="shared" si="16"/>
        <v>9909.6989333333331</v>
      </c>
      <c r="V169" s="10">
        <f>+'A) Base RI'!O169</f>
        <v>1115.5</v>
      </c>
      <c r="W169" s="10">
        <f>+'A) Base RI'!P169</f>
        <v>21242.45</v>
      </c>
      <c r="X169" s="10">
        <f>+'A) Base RI'!R169</f>
        <v>13870.5</v>
      </c>
      <c r="Y169" s="412">
        <f t="shared" si="17"/>
        <v>36228.449999999997</v>
      </c>
      <c r="Z169" s="10">
        <f>+'A) Base RI'!N169</f>
        <v>17325.349999999999</v>
      </c>
      <c r="AA169" s="10">
        <f>'A) Base RI'!AO169</f>
        <v>367</v>
      </c>
    </row>
    <row r="170" spans="1:27" x14ac:dyDescent="0.25">
      <c r="A170" s="8">
        <f>'A) Base RI'!A170</f>
        <v>5674</v>
      </c>
      <c r="B170" s="32" t="str">
        <f>'A) Base RI'!B170</f>
        <v>Lovatens</v>
      </c>
      <c r="C170" s="10">
        <f>'A) Base RI'!C170+'A) Base RI'!D170</f>
        <v>226547.00999999998</v>
      </c>
      <c r="D170" s="10">
        <f>'A) Base RI'!AP170</f>
        <v>-15.89</v>
      </c>
      <c r="E170" s="31">
        <f>'A) Base RI'!AQ170</f>
        <v>0</v>
      </c>
      <c r="F170" s="31">
        <f>'A) Base RI'!AR170</f>
        <v>0</v>
      </c>
      <c r="G170" s="412">
        <f t="shared" si="12"/>
        <v>226531.11999999997</v>
      </c>
      <c r="H170" s="10">
        <f>+'A) Base RI'!E170</f>
        <v>0</v>
      </c>
      <c r="I170" s="10">
        <f>+'A) Base RI'!F170</f>
        <v>0</v>
      </c>
      <c r="J170" s="10">
        <f>+'A) Base RI'!G170+'A) Base RI'!H170+'A) Base RI'!X170</f>
        <v>-286.2</v>
      </c>
      <c r="K170" s="10">
        <f>+'A) Base RI'!I170</f>
        <v>0</v>
      </c>
      <c r="L170" s="10">
        <f>+'A) Base RI'!J170</f>
        <v>-3248.21</v>
      </c>
      <c r="M170" s="10">
        <f>+'A) Base RI'!K170</f>
        <v>64.099999999999994</v>
      </c>
      <c r="N170" s="10">
        <f>+'A) Base RI'!Q170</f>
        <v>0</v>
      </c>
      <c r="O170" s="10">
        <f t="shared" si="13"/>
        <v>18068</v>
      </c>
      <c r="P170" s="10">
        <f>+'A) Base RI'!L170</f>
        <v>12647.6</v>
      </c>
      <c r="Q170" s="34">
        <f>'A) Base RI'!AS170</f>
        <v>0.7</v>
      </c>
      <c r="R170" s="412">
        <f t="shared" si="14"/>
        <v>241128.80999999997</v>
      </c>
      <c r="S170" s="33">
        <f>+'A) Base RI'!AN170</f>
        <v>75</v>
      </c>
      <c r="T170" s="412">
        <f t="shared" si="15"/>
        <v>222996.70999999996</v>
      </c>
      <c r="U170" s="412">
        <f t="shared" si="16"/>
        <v>3215.0507999999995</v>
      </c>
      <c r="V170" s="10">
        <f>+'A) Base RI'!O170</f>
        <v>0</v>
      </c>
      <c r="W170" s="10">
        <f>+'A) Base RI'!P170</f>
        <v>189.35</v>
      </c>
      <c r="X170" s="10">
        <f>+'A) Base RI'!R170</f>
        <v>0</v>
      </c>
      <c r="Y170" s="412">
        <f t="shared" si="17"/>
        <v>189.35</v>
      </c>
      <c r="Z170" s="10">
        <f>+'A) Base RI'!N170</f>
        <v>0</v>
      </c>
      <c r="AA170" s="10">
        <f>'A) Base RI'!AO170</f>
        <v>136</v>
      </c>
    </row>
    <row r="171" spans="1:27" x14ac:dyDescent="0.25">
      <c r="A171" s="8">
        <f>'A) Base RI'!A171</f>
        <v>5675</v>
      </c>
      <c r="B171" s="32" t="str">
        <f>'A) Base RI'!B171</f>
        <v>Lucens</v>
      </c>
      <c r="C171" s="10">
        <f>'A) Base RI'!C171+'A) Base RI'!D171</f>
        <v>5545040.7599999998</v>
      </c>
      <c r="D171" s="10">
        <f>'A) Base RI'!AP171</f>
        <v>-226748.47</v>
      </c>
      <c r="E171" s="31">
        <f>'A) Base RI'!AQ171</f>
        <v>0</v>
      </c>
      <c r="F171" s="31">
        <f>'A) Base RI'!AR171</f>
        <v>-645.66999999999996</v>
      </c>
      <c r="G171" s="412">
        <f t="shared" si="12"/>
        <v>5317646.62</v>
      </c>
      <c r="H171" s="10">
        <f>+'A) Base RI'!E171</f>
        <v>0</v>
      </c>
      <c r="I171" s="10">
        <f>+'A) Base RI'!F171</f>
        <v>0</v>
      </c>
      <c r="J171" s="10">
        <f>+'A) Base RI'!G171+'A) Base RI'!H171+'A) Base RI'!X171</f>
        <v>451785.35</v>
      </c>
      <c r="K171" s="10">
        <f>+'A) Base RI'!I171</f>
        <v>0</v>
      </c>
      <c r="L171" s="10">
        <f>+'A) Base RI'!J171</f>
        <v>198177.01</v>
      </c>
      <c r="M171" s="10">
        <f>+'A) Base RI'!K171</f>
        <v>79567.75</v>
      </c>
      <c r="N171" s="10">
        <f>+'A) Base RI'!Q171</f>
        <v>72992.66</v>
      </c>
      <c r="O171" s="10">
        <f t="shared" si="13"/>
        <v>625160.27272727271</v>
      </c>
      <c r="P171" s="10">
        <f>+'A) Base RI'!L171</f>
        <v>687676.3</v>
      </c>
      <c r="Q171" s="34">
        <f>'A) Base RI'!AS171</f>
        <v>1.1000000000000001</v>
      </c>
      <c r="R171" s="412">
        <f t="shared" si="14"/>
        <v>6745329.6627272721</v>
      </c>
      <c r="S171" s="33">
        <f>+'A) Base RI'!AN171</f>
        <v>69</v>
      </c>
      <c r="T171" s="412">
        <f t="shared" si="15"/>
        <v>6040601.6399999997</v>
      </c>
      <c r="U171" s="412">
        <f t="shared" si="16"/>
        <v>97758.400909090895</v>
      </c>
      <c r="V171" s="10">
        <f>+'A) Base RI'!O171</f>
        <v>85294.2</v>
      </c>
      <c r="W171" s="10">
        <f>+'A) Base RI'!P171</f>
        <v>655277.30000000005</v>
      </c>
      <c r="X171" s="10">
        <f>+'A) Base RI'!R171</f>
        <v>160087.54999999999</v>
      </c>
      <c r="Y171" s="412">
        <f t="shared" si="17"/>
        <v>900659.05</v>
      </c>
      <c r="Z171" s="10">
        <f>+'A) Base RI'!N171</f>
        <v>30334.9</v>
      </c>
      <c r="AA171" s="10">
        <f>'A) Base RI'!AO171</f>
        <v>4220</v>
      </c>
    </row>
    <row r="172" spans="1:27" x14ac:dyDescent="0.25">
      <c r="A172" s="8">
        <f>'A) Base RI'!A172</f>
        <v>5678</v>
      </c>
      <c r="B172" s="32" t="str">
        <f>'A) Base RI'!B172</f>
        <v>Moudon</v>
      </c>
      <c r="C172" s="10">
        <f>'A) Base RI'!C172+'A) Base RI'!D172</f>
        <v>7923875.1399999997</v>
      </c>
      <c r="D172" s="10">
        <f>'A) Base RI'!AP172</f>
        <v>-375161.61</v>
      </c>
      <c r="E172" s="31">
        <f>'A) Base RI'!AQ172</f>
        <v>0</v>
      </c>
      <c r="F172" s="31">
        <f>'A) Base RI'!AR172</f>
        <v>-1873.93</v>
      </c>
      <c r="G172" s="412">
        <f t="shared" si="12"/>
        <v>7546839.5999999996</v>
      </c>
      <c r="H172" s="10">
        <f>+'A) Base RI'!E172</f>
        <v>0</v>
      </c>
      <c r="I172" s="10">
        <f>+'A) Base RI'!F172</f>
        <v>34497.199999999997</v>
      </c>
      <c r="J172" s="10">
        <f>+'A) Base RI'!G172+'A) Base RI'!H172+'A) Base RI'!X172</f>
        <v>523936.69999999995</v>
      </c>
      <c r="K172" s="10">
        <f>+'A) Base RI'!I172</f>
        <v>0</v>
      </c>
      <c r="L172" s="10">
        <f>+'A) Base RI'!J172</f>
        <v>425548.7</v>
      </c>
      <c r="M172" s="10">
        <f>+'A) Base RI'!K172</f>
        <v>66149.149999999994</v>
      </c>
      <c r="N172" s="10">
        <f>+'A) Base RI'!Q172</f>
        <v>63702.52</v>
      </c>
      <c r="O172" s="10">
        <f t="shared" si="13"/>
        <v>795346.6</v>
      </c>
      <c r="P172" s="10">
        <f>+'A) Base RI'!L172</f>
        <v>795346.6</v>
      </c>
      <c r="Q172" s="34">
        <f>'A) Base RI'!AS172</f>
        <v>1</v>
      </c>
      <c r="R172" s="412">
        <f t="shared" si="14"/>
        <v>9456020.4699999988</v>
      </c>
      <c r="S172" s="33">
        <f>+'A) Base RI'!AN172</f>
        <v>75</v>
      </c>
      <c r="T172" s="412">
        <f t="shared" si="15"/>
        <v>8560027.5199999996</v>
      </c>
      <c r="U172" s="412">
        <f t="shared" si="16"/>
        <v>126080.27293333331</v>
      </c>
      <c r="V172" s="10">
        <f>+'A) Base RI'!O172</f>
        <v>690611</v>
      </c>
      <c r="W172" s="10">
        <f>+'A) Base RI'!P172</f>
        <v>404404.45</v>
      </c>
      <c r="X172" s="10">
        <f>+'A) Base RI'!R172</f>
        <v>285736.5</v>
      </c>
      <c r="Y172" s="412">
        <f t="shared" si="17"/>
        <v>1380751.95</v>
      </c>
      <c r="Z172" s="10">
        <f>+'A) Base RI'!N172</f>
        <v>212403.65</v>
      </c>
      <c r="AA172" s="10">
        <f>'A) Base RI'!AO172</f>
        <v>6080</v>
      </c>
    </row>
    <row r="173" spans="1:27" x14ac:dyDescent="0.25">
      <c r="A173" s="8">
        <f>'A) Base RI'!A173</f>
        <v>5680</v>
      </c>
      <c r="B173" s="32" t="str">
        <f>'A) Base RI'!B173</f>
        <v>Ogens</v>
      </c>
      <c r="C173" s="10">
        <f>'A) Base RI'!C173+'A) Base RI'!D173</f>
        <v>440961.07</v>
      </c>
      <c r="D173" s="10">
        <f>'A) Base RI'!AP173</f>
        <v>-10978.59</v>
      </c>
      <c r="E173" s="31">
        <f>'A) Base RI'!AQ173</f>
        <v>0</v>
      </c>
      <c r="F173" s="31">
        <f>'A) Base RI'!AR173</f>
        <v>-1.19</v>
      </c>
      <c r="G173" s="412">
        <f t="shared" si="12"/>
        <v>429981.29</v>
      </c>
      <c r="H173" s="10">
        <f>+'A) Base RI'!E173</f>
        <v>0</v>
      </c>
      <c r="I173" s="10">
        <f>+'A) Base RI'!F173</f>
        <v>0</v>
      </c>
      <c r="J173" s="10">
        <f>+'A) Base RI'!G173+'A) Base RI'!H173+'A) Base RI'!X173</f>
        <v>11835.75</v>
      </c>
      <c r="K173" s="10">
        <f>+'A) Base RI'!I173</f>
        <v>0</v>
      </c>
      <c r="L173" s="10">
        <f>+'A) Base RI'!J173</f>
        <v>538.85</v>
      </c>
      <c r="M173" s="10">
        <f>+'A) Base RI'!K173</f>
        <v>625</v>
      </c>
      <c r="N173" s="10">
        <f>+'A) Base RI'!Q173</f>
        <v>1060.17</v>
      </c>
      <c r="O173" s="10">
        <f t="shared" si="13"/>
        <v>48412.233333333337</v>
      </c>
      <c r="P173" s="10">
        <f>+'A) Base RI'!L173</f>
        <v>72618.350000000006</v>
      </c>
      <c r="Q173" s="34">
        <f>'A) Base RI'!AS173</f>
        <v>1.5</v>
      </c>
      <c r="R173" s="412">
        <f t="shared" si="14"/>
        <v>492453.29333333328</v>
      </c>
      <c r="S173" s="33">
        <f>+'A) Base RI'!AN173</f>
        <v>78</v>
      </c>
      <c r="T173" s="412">
        <f t="shared" si="15"/>
        <v>443416.05999999994</v>
      </c>
      <c r="U173" s="412">
        <f t="shared" si="16"/>
        <v>6313.5037606837595</v>
      </c>
      <c r="V173" s="10">
        <f>+'A) Base RI'!O173</f>
        <v>0</v>
      </c>
      <c r="W173" s="10">
        <f>+'A) Base RI'!P173</f>
        <v>44268.3</v>
      </c>
      <c r="X173" s="10">
        <f>+'A) Base RI'!R173</f>
        <v>29081.75</v>
      </c>
      <c r="Y173" s="412">
        <f t="shared" si="17"/>
        <v>73350.05</v>
      </c>
      <c r="Z173" s="10">
        <f>+'A) Base RI'!N173</f>
        <v>0</v>
      </c>
      <c r="AA173" s="10">
        <f>'A) Base RI'!AO173</f>
        <v>296</v>
      </c>
    </row>
    <row r="174" spans="1:27" x14ac:dyDescent="0.25">
      <c r="A174" s="8">
        <f>'A) Base RI'!A174</f>
        <v>5683</v>
      </c>
      <c r="B174" s="32" t="str">
        <f>'A) Base RI'!B174</f>
        <v>Prévonloup</v>
      </c>
      <c r="C174" s="10">
        <f>'A) Base RI'!C174+'A) Base RI'!D174</f>
        <v>332308.21999999997</v>
      </c>
      <c r="D174" s="10">
        <f>'A) Base RI'!AP174</f>
        <v>-19115.46</v>
      </c>
      <c r="E174" s="31">
        <f>'A) Base RI'!AQ174</f>
        <v>0</v>
      </c>
      <c r="F174" s="31">
        <f>'A) Base RI'!AR174</f>
        <v>0</v>
      </c>
      <c r="G174" s="412">
        <f t="shared" si="12"/>
        <v>313192.75999999995</v>
      </c>
      <c r="H174" s="10">
        <f>+'A) Base RI'!E174</f>
        <v>0</v>
      </c>
      <c r="I174" s="10">
        <f>+'A) Base RI'!F174</f>
        <v>0</v>
      </c>
      <c r="J174" s="10">
        <f>+'A) Base RI'!G174+'A) Base RI'!H174+'A) Base RI'!X174</f>
        <v>-2387.9499999999998</v>
      </c>
      <c r="K174" s="10">
        <f>+'A) Base RI'!I174</f>
        <v>0</v>
      </c>
      <c r="L174" s="10">
        <f>+'A) Base RI'!J174</f>
        <v>-936.58</v>
      </c>
      <c r="M174" s="10">
        <f>+'A) Base RI'!K174</f>
        <v>2220.5</v>
      </c>
      <c r="N174" s="10">
        <f>+'A) Base RI'!Q174</f>
        <v>-1032.82</v>
      </c>
      <c r="O174" s="10">
        <f t="shared" si="13"/>
        <v>28558.75</v>
      </c>
      <c r="P174" s="10">
        <f>+'A) Base RI'!L174</f>
        <v>28558.75</v>
      </c>
      <c r="Q174" s="34">
        <f>'A) Base RI'!AS174</f>
        <v>1</v>
      </c>
      <c r="R174" s="412">
        <f t="shared" si="14"/>
        <v>339614.65999999992</v>
      </c>
      <c r="S174" s="33">
        <f>+'A) Base RI'!AN174</f>
        <v>74</v>
      </c>
      <c r="T174" s="412">
        <f t="shared" si="15"/>
        <v>308835.40999999992</v>
      </c>
      <c r="U174" s="412">
        <f t="shared" si="16"/>
        <v>4589.3872972972958</v>
      </c>
      <c r="V174" s="10">
        <f>+'A) Base RI'!O174</f>
        <v>0</v>
      </c>
      <c r="W174" s="10">
        <f>+'A) Base RI'!P174</f>
        <v>8253.2999999999993</v>
      </c>
      <c r="X174" s="10">
        <f>+'A) Base RI'!R174</f>
        <v>0</v>
      </c>
      <c r="Y174" s="412">
        <f t="shared" si="17"/>
        <v>8253.2999999999993</v>
      </c>
      <c r="Z174" s="10">
        <f>+'A) Base RI'!N174</f>
        <v>0</v>
      </c>
      <c r="AA174" s="10">
        <f>'A) Base RI'!AO174</f>
        <v>194</v>
      </c>
    </row>
    <row r="175" spans="1:27" x14ac:dyDescent="0.25">
      <c r="A175" s="8">
        <f>'A) Base RI'!A175</f>
        <v>5684</v>
      </c>
      <c r="B175" s="32" t="str">
        <f>'A) Base RI'!B175</f>
        <v>Rossenges</v>
      </c>
      <c r="C175" s="10">
        <f>'A) Base RI'!C175+'A) Base RI'!D175</f>
        <v>227965.34</v>
      </c>
      <c r="D175" s="10">
        <f>'A) Base RI'!AP175</f>
        <v>-4645.16</v>
      </c>
      <c r="E175" s="31">
        <f>'A) Base RI'!AQ175</f>
        <v>0</v>
      </c>
      <c r="F175" s="31">
        <f>'A) Base RI'!AR175</f>
        <v>-9.93</v>
      </c>
      <c r="G175" s="412">
        <f t="shared" si="12"/>
        <v>223310.25</v>
      </c>
      <c r="H175" s="10">
        <f>+'A) Base RI'!E175</f>
        <v>0</v>
      </c>
      <c r="I175" s="10">
        <f>+'A) Base RI'!F175</f>
        <v>0</v>
      </c>
      <c r="J175" s="10">
        <f>+'A) Base RI'!G175+'A) Base RI'!H175+'A) Base RI'!X175</f>
        <v>1016.4499999999999</v>
      </c>
      <c r="K175" s="10">
        <f>+'A) Base RI'!I175</f>
        <v>0</v>
      </c>
      <c r="L175" s="10">
        <f>+'A) Base RI'!J175</f>
        <v>0</v>
      </c>
      <c r="M175" s="10">
        <f>+'A) Base RI'!K175</f>
        <v>0</v>
      </c>
      <c r="N175" s="10">
        <f>+'A) Base RI'!Q175</f>
        <v>0</v>
      </c>
      <c r="O175" s="10">
        <f t="shared" si="13"/>
        <v>8077.3749999999991</v>
      </c>
      <c r="P175" s="10">
        <f>+'A) Base RI'!L175</f>
        <v>6461.9</v>
      </c>
      <c r="Q175" s="34">
        <f>'A) Base RI'!AS175</f>
        <v>0.8</v>
      </c>
      <c r="R175" s="412">
        <f t="shared" si="14"/>
        <v>232404.07500000001</v>
      </c>
      <c r="S175" s="33">
        <f>+'A) Base RI'!AN175</f>
        <v>75</v>
      </c>
      <c r="T175" s="412">
        <f t="shared" si="15"/>
        <v>224326.7</v>
      </c>
      <c r="U175" s="412">
        <f t="shared" si="16"/>
        <v>3098.721</v>
      </c>
      <c r="V175" s="10">
        <f>+'A) Base RI'!O175</f>
        <v>0</v>
      </c>
      <c r="W175" s="10">
        <f>+'A) Base RI'!P175</f>
        <v>0</v>
      </c>
      <c r="X175" s="10">
        <f>+'A) Base RI'!R175</f>
        <v>0</v>
      </c>
      <c r="Y175" s="412">
        <f t="shared" si="17"/>
        <v>0</v>
      </c>
      <c r="Z175" s="10">
        <f>+'A) Base RI'!N175</f>
        <v>0</v>
      </c>
      <c r="AA175" s="10">
        <f>'A) Base RI'!AO175</f>
        <v>84</v>
      </c>
    </row>
    <row r="176" spans="1:27" x14ac:dyDescent="0.25">
      <c r="A176" s="8">
        <f>'A) Base RI'!A176</f>
        <v>5688</v>
      </c>
      <c r="B176" s="32" t="str">
        <f>'A) Base RI'!B176</f>
        <v>Syens</v>
      </c>
      <c r="C176" s="10">
        <f>'A) Base RI'!C176+'A) Base RI'!D176</f>
        <v>154776.03</v>
      </c>
      <c r="D176" s="10">
        <f>'A) Base RI'!AP176</f>
        <v>-5.27</v>
      </c>
      <c r="E176" s="31">
        <f>'A) Base RI'!AQ176</f>
        <v>0</v>
      </c>
      <c r="F176" s="31">
        <f>'A) Base RI'!AR176</f>
        <v>0</v>
      </c>
      <c r="G176" s="412">
        <f t="shared" si="12"/>
        <v>154770.76</v>
      </c>
      <c r="H176" s="10">
        <f>+'A) Base RI'!E176</f>
        <v>0</v>
      </c>
      <c r="I176" s="10">
        <f>+'A) Base RI'!F176</f>
        <v>0</v>
      </c>
      <c r="J176" s="10">
        <f>+'A) Base RI'!G176+'A) Base RI'!H176+'A) Base RI'!X176</f>
        <v>23020.85</v>
      </c>
      <c r="K176" s="10">
        <f>+'A) Base RI'!I176</f>
        <v>0</v>
      </c>
      <c r="L176" s="10">
        <f>+'A) Base RI'!J176</f>
        <v>5766.42</v>
      </c>
      <c r="M176" s="10">
        <f>+'A) Base RI'!K176</f>
        <v>52.5</v>
      </c>
      <c r="N176" s="10">
        <f>+'A) Base RI'!Q176</f>
        <v>0</v>
      </c>
      <c r="O176" s="10">
        <f t="shared" si="13"/>
        <v>23709.5</v>
      </c>
      <c r="P176" s="10">
        <f>+'A) Base RI'!L176</f>
        <v>23709.5</v>
      </c>
      <c r="Q176" s="34">
        <f>'A) Base RI'!AS176</f>
        <v>1</v>
      </c>
      <c r="R176" s="412">
        <f t="shared" si="14"/>
        <v>207320.03000000003</v>
      </c>
      <c r="S176" s="33">
        <f>+'A) Base RI'!AN176</f>
        <v>75.599999999999994</v>
      </c>
      <c r="T176" s="412">
        <f t="shared" si="15"/>
        <v>183558.03000000003</v>
      </c>
      <c r="U176" s="412">
        <f t="shared" si="16"/>
        <v>2742.3284391534398</v>
      </c>
      <c r="V176" s="10">
        <f>+'A) Base RI'!O176</f>
        <v>0</v>
      </c>
      <c r="W176" s="10">
        <f>+'A) Base RI'!P176</f>
        <v>4.1500000000000004</v>
      </c>
      <c r="X176" s="10">
        <f>+'A) Base RI'!R176</f>
        <v>0</v>
      </c>
      <c r="Y176" s="412">
        <f t="shared" si="17"/>
        <v>4.1500000000000004</v>
      </c>
      <c r="Z176" s="10">
        <f>+'A) Base RI'!N176</f>
        <v>398.4</v>
      </c>
      <c r="AA176" s="10">
        <f>'A) Base RI'!AO176</f>
        <v>155</v>
      </c>
    </row>
    <row r="177" spans="1:27" x14ac:dyDescent="0.25">
      <c r="A177" s="8">
        <f>'A) Base RI'!A177</f>
        <v>5690</v>
      </c>
      <c r="B177" s="32" t="str">
        <f>'A) Base RI'!B177</f>
        <v>Villars-le-Comte</v>
      </c>
      <c r="C177" s="10">
        <f>'A) Base RI'!C177+'A) Base RI'!D177</f>
        <v>190438.57</v>
      </c>
      <c r="D177" s="10">
        <f>'A) Base RI'!AP177</f>
        <v>-1209.22</v>
      </c>
      <c r="E177" s="31">
        <f>'A) Base RI'!AQ177</f>
        <v>0</v>
      </c>
      <c r="F177" s="31">
        <f>'A) Base RI'!AR177</f>
        <v>0</v>
      </c>
      <c r="G177" s="412">
        <f t="shared" si="12"/>
        <v>189229.35</v>
      </c>
      <c r="H177" s="10">
        <f>+'A) Base RI'!E177</f>
        <v>0</v>
      </c>
      <c r="I177" s="10">
        <f>+'A) Base RI'!F177</f>
        <v>830</v>
      </c>
      <c r="J177" s="10">
        <f>+'A) Base RI'!G177+'A) Base RI'!H177+'A) Base RI'!X177</f>
        <v>447.95000000000005</v>
      </c>
      <c r="K177" s="10">
        <f>+'A) Base RI'!I177</f>
        <v>0</v>
      </c>
      <c r="L177" s="10">
        <f>+'A) Base RI'!J177</f>
        <v>74.989999999999995</v>
      </c>
      <c r="M177" s="10">
        <f>+'A) Base RI'!K177</f>
        <v>184.1</v>
      </c>
      <c r="N177" s="10">
        <f>+'A) Base RI'!Q177</f>
        <v>0</v>
      </c>
      <c r="O177" s="10">
        <f t="shared" si="13"/>
        <v>20505.125000000004</v>
      </c>
      <c r="P177" s="10">
        <f>+'A) Base RI'!L177</f>
        <v>24606.15</v>
      </c>
      <c r="Q177" s="34">
        <f>'A) Base RI'!AS177</f>
        <v>1.2</v>
      </c>
      <c r="R177" s="412">
        <f t="shared" si="14"/>
        <v>211271.51500000001</v>
      </c>
      <c r="S177" s="33">
        <f>+'A) Base RI'!AN177</f>
        <v>70</v>
      </c>
      <c r="T177" s="412">
        <f t="shared" si="15"/>
        <v>189752.29</v>
      </c>
      <c r="U177" s="412">
        <f t="shared" si="16"/>
        <v>3018.1645000000003</v>
      </c>
      <c r="V177" s="10">
        <f>+'A) Base RI'!O177</f>
        <v>143331.4</v>
      </c>
      <c r="W177" s="10">
        <f>+'A) Base RI'!P177</f>
        <v>4698.1000000000004</v>
      </c>
      <c r="X177" s="10">
        <f>+'A) Base RI'!R177</f>
        <v>9702.5</v>
      </c>
      <c r="Y177" s="412">
        <f t="shared" si="17"/>
        <v>157732</v>
      </c>
      <c r="Z177" s="10">
        <f>+'A) Base RI'!N177</f>
        <v>0</v>
      </c>
      <c r="AA177" s="10">
        <f>'A) Base RI'!AO177</f>
        <v>122</v>
      </c>
    </row>
    <row r="178" spans="1:27" x14ac:dyDescent="0.25">
      <c r="A178" s="8">
        <f>'A) Base RI'!A178</f>
        <v>5692</v>
      </c>
      <c r="B178" s="32" t="str">
        <f>'A) Base RI'!B178</f>
        <v>Vucherens</v>
      </c>
      <c r="C178" s="10">
        <f>'A) Base RI'!C178+'A) Base RI'!D178</f>
        <v>1162889.49</v>
      </c>
      <c r="D178" s="10">
        <f>'A) Base RI'!AP178</f>
        <v>-13064.71</v>
      </c>
      <c r="E178" s="31">
        <f>'A) Base RI'!AQ178</f>
        <v>0</v>
      </c>
      <c r="F178" s="31">
        <f>'A) Base RI'!AR178</f>
        <v>-20.58</v>
      </c>
      <c r="G178" s="412">
        <f t="shared" si="12"/>
        <v>1149804.2</v>
      </c>
      <c r="H178" s="10">
        <f>+'A) Base RI'!E178</f>
        <v>0</v>
      </c>
      <c r="I178" s="10">
        <f>+'A) Base RI'!F178</f>
        <v>0</v>
      </c>
      <c r="J178" s="10">
        <f>+'A) Base RI'!G178+'A) Base RI'!H178+'A) Base RI'!X178</f>
        <v>872.55</v>
      </c>
      <c r="K178" s="10">
        <f>+'A) Base RI'!I178</f>
        <v>0</v>
      </c>
      <c r="L178" s="10">
        <f>+'A) Base RI'!J178</f>
        <v>18224.849999999999</v>
      </c>
      <c r="M178" s="10">
        <f>+'A) Base RI'!K178</f>
        <v>2423.4499999999998</v>
      </c>
      <c r="N178" s="10">
        <f>+'A) Base RI'!Q178</f>
        <v>0</v>
      </c>
      <c r="O178" s="10">
        <f t="shared" si="13"/>
        <v>92848</v>
      </c>
      <c r="P178" s="10">
        <f>+'A) Base RI'!L178</f>
        <v>92848</v>
      </c>
      <c r="Q178" s="34">
        <f>'A) Base RI'!AS178</f>
        <v>1</v>
      </c>
      <c r="R178" s="412">
        <f t="shared" si="14"/>
        <v>1264173.05</v>
      </c>
      <c r="S178" s="33">
        <f>+'A) Base RI'!AN178</f>
        <v>79</v>
      </c>
      <c r="T178" s="412">
        <f t="shared" si="15"/>
        <v>1168901.6000000001</v>
      </c>
      <c r="U178" s="412">
        <f t="shared" si="16"/>
        <v>16002.190506329114</v>
      </c>
      <c r="V178" s="10">
        <f>+'A) Base RI'!O178</f>
        <v>0</v>
      </c>
      <c r="W178" s="10">
        <f>+'A) Base RI'!P178</f>
        <v>55154</v>
      </c>
      <c r="X178" s="10">
        <f>+'A) Base RI'!R178</f>
        <v>40705.449999999997</v>
      </c>
      <c r="Y178" s="412">
        <f t="shared" si="17"/>
        <v>95859.45</v>
      </c>
      <c r="Z178" s="10">
        <f>+'A) Base RI'!N178</f>
        <v>8874.2999999999993</v>
      </c>
      <c r="AA178" s="10">
        <f>'A) Base RI'!AO178</f>
        <v>580</v>
      </c>
    </row>
    <row r="179" spans="1:27" x14ac:dyDescent="0.25">
      <c r="A179" s="8">
        <f>'A) Base RI'!A179</f>
        <v>5693</v>
      </c>
      <c r="B179" s="32" t="str">
        <f>'A) Base RI'!B179</f>
        <v>Montanaire</v>
      </c>
      <c r="C179" s="10">
        <f>'A) Base RI'!C179+'A) Base RI'!D179</f>
        <v>4722195.9499999993</v>
      </c>
      <c r="D179" s="10">
        <f>'A) Base RI'!AP179</f>
        <v>-212044.27</v>
      </c>
      <c r="E179" s="31">
        <f>'A) Base RI'!AQ179</f>
        <v>0</v>
      </c>
      <c r="F179" s="31">
        <f>'A) Base RI'!AR179</f>
        <v>-281.23</v>
      </c>
      <c r="G179" s="412">
        <f t="shared" si="12"/>
        <v>4509870.4499999993</v>
      </c>
      <c r="H179" s="10">
        <f>+'A) Base RI'!E179</f>
        <v>0</v>
      </c>
      <c r="I179" s="10">
        <f>+'A) Base RI'!F179</f>
        <v>0</v>
      </c>
      <c r="J179" s="10">
        <f>+'A) Base RI'!G179+'A) Base RI'!H179+'A) Base RI'!X179</f>
        <v>36180.349999999977</v>
      </c>
      <c r="K179" s="10">
        <f>+'A) Base RI'!I179</f>
        <v>0</v>
      </c>
      <c r="L179" s="10">
        <f>+'A) Base RI'!J179</f>
        <v>77341.009999999995</v>
      </c>
      <c r="M179" s="10">
        <f>+'A) Base RI'!K179</f>
        <v>885.8</v>
      </c>
      <c r="N179" s="10">
        <f>+'A) Base RI'!Q179</f>
        <v>94603.39</v>
      </c>
      <c r="O179" s="10">
        <f t="shared" si="13"/>
        <v>379238.3</v>
      </c>
      <c r="P179" s="10">
        <f>+'A) Base RI'!L179</f>
        <v>379238.3</v>
      </c>
      <c r="Q179" s="34">
        <f>'A) Base RI'!AS179</f>
        <v>1</v>
      </c>
      <c r="R179" s="412">
        <f t="shared" si="14"/>
        <v>5098119.299999998</v>
      </c>
      <c r="S179" s="33">
        <f>+'A) Base RI'!AN179</f>
        <v>72</v>
      </c>
      <c r="T179" s="412">
        <f t="shared" si="15"/>
        <v>4717995.1999999983</v>
      </c>
      <c r="U179" s="412">
        <f t="shared" si="16"/>
        <v>70807.212499999965</v>
      </c>
      <c r="V179" s="10">
        <f>+'A) Base RI'!O179</f>
        <v>13396.8</v>
      </c>
      <c r="W179" s="10">
        <f>+'A) Base RI'!P179</f>
        <v>155186.5</v>
      </c>
      <c r="X179" s="10">
        <f>+'A) Base RI'!R179</f>
        <v>155158.9</v>
      </c>
      <c r="Y179" s="412">
        <f t="shared" si="17"/>
        <v>323742.19999999995</v>
      </c>
      <c r="Z179" s="10">
        <f>+'A) Base RI'!N179</f>
        <v>22355.5</v>
      </c>
      <c r="AA179" s="10">
        <f>'A) Base RI'!AO179</f>
        <v>2717</v>
      </c>
    </row>
    <row r="180" spans="1:27" x14ac:dyDescent="0.25">
      <c r="A180" s="8">
        <f>'A) Base RI'!A180</f>
        <v>5701</v>
      </c>
      <c r="B180" s="32" t="str">
        <f>'A) Base RI'!B180</f>
        <v>Arnex-sur-Nyon</v>
      </c>
      <c r="C180" s="10">
        <f>'A) Base RI'!C180+'A) Base RI'!D180</f>
        <v>658935.77</v>
      </c>
      <c r="D180" s="10">
        <f>'A) Base RI'!AP180</f>
        <v>-12788.5</v>
      </c>
      <c r="E180" s="31">
        <f>'A) Base RI'!AQ180</f>
        <v>0</v>
      </c>
      <c r="F180" s="31">
        <f>'A) Base RI'!AR180</f>
        <v>-408.19</v>
      </c>
      <c r="G180" s="412">
        <f t="shared" si="12"/>
        <v>645739.08000000007</v>
      </c>
      <c r="H180" s="10">
        <f>+'A) Base RI'!E180</f>
        <v>0</v>
      </c>
      <c r="I180" s="10">
        <f>+'A) Base RI'!F180</f>
        <v>0</v>
      </c>
      <c r="J180" s="10">
        <f>+'A) Base RI'!G180+'A) Base RI'!H180+'A) Base RI'!X180</f>
        <v>42188.95</v>
      </c>
      <c r="K180" s="10">
        <f>+'A) Base RI'!I180</f>
        <v>68770.899999999994</v>
      </c>
      <c r="L180" s="10">
        <f>+'A) Base RI'!J180</f>
        <v>18865.12</v>
      </c>
      <c r="M180" s="10">
        <f>+'A) Base RI'!K180</f>
        <v>-496.75</v>
      </c>
      <c r="N180" s="10">
        <f>+'A) Base RI'!Q180</f>
        <v>0</v>
      </c>
      <c r="O180" s="10">
        <f t="shared" si="13"/>
        <v>69702.100000000006</v>
      </c>
      <c r="P180" s="10">
        <f>+'A) Base RI'!L180</f>
        <v>69702.100000000006</v>
      </c>
      <c r="Q180" s="34">
        <f>'A) Base RI'!AS180</f>
        <v>1</v>
      </c>
      <c r="R180" s="412">
        <f t="shared" si="14"/>
        <v>844769.4</v>
      </c>
      <c r="S180" s="33">
        <f>+'A) Base RI'!AN180</f>
        <v>70</v>
      </c>
      <c r="T180" s="412">
        <f t="shared" si="15"/>
        <v>775564.05</v>
      </c>
      <c r="U180" s="412">
        <f t="shared" si="16"/>
        <v>12068.134285714286</v>
      </c>
      <c r="V180" s="10">
        <f>+'A) Base RI'!O180</f>
        <v>30548.400000000001</v>
      </c>
      <c r="W180" s="10">
        <f>+'A) Base RI'!P180</f>
        <v>11565.4</v>
      </c>
      <c r="X180" s="10">
        <f>+'A) Base RI'!R180</f>
        <v>0</v>
      </c>
      <c r="Y180" s="412">
        <f t="shared" si="17"/>
        <v>42113.8</v>
      </c>
      <c r="Z180" s="10">
        <f>+'A) Base RI'!N180</f>
        <v>0</v>
      </c>
      <c r="AA180" s="10">
        <f>'A) Base RI'!AO180</f>
        <v>229</v>
      </c>
    </row>
    <row r="181" spans="1:27" x14ac:dyDescent="0.25">
      <c r="A181" s="8">
        <f>'A) Base RI'!A181</f>
        <v>5702</v>
      </c>
      <c r="B181" s="32" t="str">
        <f>'A) Base RI'!B181</f>
        <v>Arzier-Le Muids</v>
      </c>
      <c r="C181" s="10">
        <f>'A) Base RI'!C181+'A) Base RI'!D181</f>
        <v>9534691.9199999999</v>
      </c>
      <c r="D181" s="10">
        <f>'A) Base RI'!AP181</f>
        <v>-97536.73</v>
      </c>
      <c r="E181" s="31">
        <f>'A) Base RI'!AQ181</f>
        <v>0</v>
      </c>
      <c r="F181" s="31">
        <f>'A) Base RI'!AR181</f>
        <v>-25255.599999999999</v>
      </c>
      <c r="G181" s="412">
        <f t="shared" si="12"/>
        <v>9411899.5899999999</v>
      </c>
      <c r="H181" s="10">
        <f>+'A) Base RI'!E181</f>
        <v>0</v>
      </c>
      <c r="I181" s="10">
        <f>+'A) Base RI'!F181</f>
        <v>0</v>
      </c>
      <c r="J181" s="10">
        <f>+'A) Base RI'!G181+'A) Base RI'!H181+'A) Base RI'!X181</f>
        <v>432011.2</v>
      </c>
      <c r="K181" s="10">
        <f>+'A) Base RI'!I181</f>
        <v>408952.26</v>
      </c>
      <c r="L181" s="10">
        <f>+'A) Base RI'!J181</f>
        <v>46710.89</v>
      </c>
      <c r="M181" s="10">
        <f>+'A) Base RI'!K181</f>
        <v>12753.15</v>
      </c>
      <c r="N181" s="10">
        <f>+'A) Base RI'!Q181</f>
        <v>32415.46</v>
      </c>
      <c r="O181" s="10">
        <f t="shared" si="13"/>
        <v>788234.66666666663</v>
      </c>
      <c r="P181" s="10">
        <f>+'A) Base RI'!L181</f>
        <v>1182352</v>
      </c>
      <c r="Q181" s="34">
        <f>'A) Base RI'!AS181</f>
        <v>1.5</v>
      </c>
      <c r="R181" s="412">
        <f t="shared" si="14"/>
        <v>11132977.216666667</v>
      </c>
      <c r="S181" s="33">
        <f>+'A) Base RI'!AN181</f>
        <v>64</v>
      </c>
      <c r="T181" s="412">
        <f t="shared" si="15"/>
        <v>10331989.4</v>
      </c>
      <c r="U181" s="412">
        <f t="shared" si="16"/>
        <v>173952.76901041667</v>
      </c>
      <c r="V181" s="10">
        <f>+'A) Base RI'!O181</f>
        <v>113223.5</v>
      </c>
      <c r="W181" s="10">
        <f>+'A) Base RI'!P181</f>
        <v>791698.1</v>
      </c>
      <c r="X181" s="10">
        <f>+'A) Base RI'!R181</f>
        <v>405610.55</v>
      </c>
      <c r="Y181" s="412">
        <f t="shared" si="17"/>
        <v>1310532.1499999999</v>
      </c>
      <c r="Z181" s="10">
        <f>+'A) Base RI'!N181</f>
        <v>56289.4</v>
      </c>
      <c r="AA181" s="10">
        <f>'A) Base RI'!AO181</f>
        <v>2801</v>
      </c>
    </row>
    <row r="182" spans="1:27" x14ac:dyDescent="0.25">
      <c r="A182" s="8">
        <f>'A) Base RI'!A182</f>
        <v>5703</v>
      </c>
      <c r="B182" s="32" t="str">
        <f>'A) Base RI'!B182</f>
        <v>Bassins</v>
      </c>
      <c r="C182" s="10">
        <f>'A) Base RI'!C182+'A) Base RI'!D182</f>
        <v>3963352.65</v>
      </c>
      <c r="D182" s="10">
        <f>'A) Base RI'!AP182</f>
        <v>-74973.509999999995</v>
      </c>
      <c r="E182" s="31">
        <f>'A) Base RI'!AQ182</f>
        <v>0</v>
      </c>
      <c r="F182" s="31">
        <f>'A) Base RI'!AR182</f>
        <v>-962.97</v>
      </c>
      <c r="G182" s="412">
        <f t="shared" si="12"/>
        <v>3887416.17</v>
      </c>
      <c r="H182" s="10">
        <f>+'A) Base RI'!E182</f>
        <v>0</v>
      </c>
      <c r="I182" s="10">
        <f>+'A) Base RI'!F182</f>
        <v>0</v>
      </c>
      <c r="J182" s="10">
        <f>+'A) Base RI'!G182+'A) Base RI'!H182+'A) Base RI'!X182</f>
        <v>21422.85</v>
      </c>
      <c r="K182" s="10">
        <f>+'A) Base RI'!I182</f>
        <v>33499.1</v>
      </c>
      <c r="L182" s="10">
        <f>+'A) Base RI'!J182</f>
        <v>109867.44</v>
      </c>
      <c r="M182" s="10">
        <f>+'A) Base RI'!K182</f>
        <v>610.79999999999995</v>
      </c>
      <c r="N182" s="10">
        <f>+'A) Base RI'!Q182</f>
        <v>742.12</v>
      </c>
      <c r="O182" s="10">
        <f t="shared" si="13"/>
        <v>311870.35714285716</v>
      </c>
      <c r="P182" s="10">
        <f>+'A) Base RI'!L182</f>
        <v>436618.5</v>
      </c>
      <c r="Q182" s="34">
        <f>'A) Base RI'!AS182</f>
        <v>1.4</v>
      </c>
      <c r="R182" s="412">
        <f t="shared" si="14"/>
        <v>4365428.8371428568</v>
      </c>
      <c r="S182" s="33">
        <f>+'A) Base RI'!AN182</f>
        <v>74</v>
      </c>
      <c r="T182" s="412">
        <f t="shared" si="15"/>
        <v>4052947.68</v>
      </c>
      <c r="U182" s="412">
        <f t="shared" si="16"/>
        <v>58992.28158301158</v>
      </c>
      <c r="V182" s="10">
        <f>+'A) Base RI'!O182</f>
        <v>103271.2</v>
      </c>
      <c r="W182" s="10">
        <f>+'A) Base RI'!P182</f>
        <v>175898.55</v>
      </c>
      <c r="X182" s="10">
        <f>+'A) Base RI'!R182</f>
        <v>57400.1</v>
      </c>
      <c r="Y182" s="412">
        <f t="shared" si="17"/>
        <v>336569.85</v>
      </c>
      <c r="Z182" s="10">
        <f>+'A) Base RI'!N182</f>
        <v>23240.400000000001</v>
      </c>
      <c r="AA182" s="10">
        <f>'A) Base RI'!AO182</f>
        <v>1395</v>
      </c>
    </row>
    <row r="183" spans="1:27" x14ac:dyDescent="0.25">
      <c r="A183" s="8">
        <f>'A) Base RI'!A183</f>
        <v>5704</v>
      </c>
      <c r="B183" s="32" t="str">
        <f>'A) Base RI'!B183</f>
        <v>Begnins</v>
      </c>
      <c r="C183" s="10">
        <f>'A) Base RI'!C183+'A) Base RI'!D183</f>
        <v>7315062.1499999994</v>
      </c>
      <c r="D183" s="10">
        <f>'A) Base RI'!AP183</f>
        <v>-100052.17</v>
      </c>
      <c r="E183" s="31">
        <f>'A) Base RI'!AQ183</f>
        <v>0</v>
      </c>
      <c r="F183" s="31">
        <f>'A) Base RI'!AR183</f>
        <v>-150278.01999999999</v>
      </c>
      <c r="G183" s="412">
        <f t="shared" si="12"/>
        <v>7064731.96</v>
      </c>
      <c r="H183" s="10">
        <f>+'A) Base RI'!E183</f>
        <v>0</v>
      </c>
      <c r="I183" s="10">
        <f>+'A) Base RI'!F183</f>
        <v>0</v>
      </c>
      <c r="J183" s="10">
        <f>+'A) Base RI'!G183+'A) Base RI'!H183+'A) Base RI'!X183</f>
        <v>138632.4</v>
      </c>
      <c r="K183" s="10">
        <f>+'A) Base RI'!I183</f>
        <v>427515.55</v>
      </c>
      <c r="L183" s="10">
        <f>+'A) Base RI'!J183</f>
        <v>119653.12</v>
      </c>
      <c r="M183" s="10">
        <f>+'A) Base RI'!K183</f>
        <v>14444.5</v>
      </c>
      <c r="N183" s="10">
        <f>+'A) Base RI'!Q183</f>
        <v>16688.71</v>
      </c>
      <c r="O183" s="10">
        <f t="shared" si="13"/>
        <v>510484.33333333331</v>
      </c>
      <c r="P183" s="10">
        <f>+'A) Base RI'!L183</f>
        <v>765726.5</v>
      </c>
      <c r="Q183" s="34">
        <f>'A) Base RI'!AS183</f>
        <v>1.5</v>
      </c>
      <c r="R183" s="412">
        <f t="shared" si="14"/>
        <v>8292150.5733333332</v>
      </c>
      <c r="S183" s="33">
        <f>+'A) Base RI'!AN183</f>
        <v>64</v>
      </c>
      <c r="T183" s="412">
        <f t="shared" si="15"/>
        <v>7767221.7400000002</v>
      </c>
      <c r="U183" s="412">
        <f t="shared" si="16"/>
        <v>129564.85270833333</v>
      </c>
      <c r="V183" s="10">
        <f>+'A) Base RI'!O183</f>
        <v>93498.5</v>
      </c>
      <c r="W183" s="10">
        <f>+'A) Base RI'!P183</f>
        <v>301834.65000000002</v>
      </c>
      <c r="X183" s="10">
        <f>+'A) Base RI'!R183</f>
        <v>205732.7</v>
      </c>
      <c r="Y183" s="412">
        <f t="shared" si="17"/>
        <v>601065.85000000009</v>
      </c>
      <c r="Z183" s="10">
        <f>+'A) Base RI'!N183</f>
        <v>49246.95</v>
      </c>
      <c r="AA183" s="10">
        <f>'A) Base RI'!AO183</f>
        <v>1931</v>
      </c>
    </row>
    <row r="184" spans="1:27" x14ac:dyDescent="0.25">
      <c r="A184" s="8">
        <f>'A) Base RI'!A184</f>
        <v>5705</v>
      </c>
      <c r="B184" s="32" t="str">
        <f>'A) Base RI'!B184</f>
        <v>Bogis-Bossey</v>
      </c>
      <c r="C184" s="10">
        <f>'A) Base RI'!C184+'A) Base RI'!D184</f>
        <v>3354472.17</v>
      </c>
      <c r="D184" s="10">
        <f>'A) Base RI'!AP184</f>
        <v>-5748.53</v>
      </c>
      <c r="E184" s="31">
        <f>'A) Base RI'!AQ184</f>
        <v>0</v>
      </c>
      <c r="F184" s="31">
        <f>'A) Base RI'!AR184</f>
        <v>-25224.7</v>
      </c>
      <c r="G184" s="412">
        <f t="shared" si="12"/>
        <v>3323498.94</v>
      </c>
      <c r="H184" s="10">
        <f>+'A) Base RI'!E184</f>
        <v>0</v>
      </c>
      <c r="I184" s="10">
        <f>+'A) Base RI'!F184</f>
        <v>0</v>
      </c>
      <c r="J184" s="10">
        <f>+'A) Base RI'!G184+'A) Base RI'!H184+'A) Base RI'!X184</f>
        <v>18846.75</v>
      </c>
      <c r="K184" s="10">
        <f>+'A) Base RI'!I184</f>
        <v>33742.699999999997</v>
      </c>
      <c r="L184" s="10">
        <f>+'A) Base RI'!J184</f>
        <v>620.73</v>
      </c>
      <c r="M184" s="10">
        <f>+'A) Base RI'!K184</f>
        <v>9128.25</v>
      </c>
      <c r="N184" s="10">
        <f>+'A) Base RI'!Q184</f>
        <v>0</v>
      </c>
      <c r="O184" s="10">
        <f t="shared" si="13"/>
        <v>219345.45</v>
      </c>
      <c r="P184" s="10">
        <f>+'A) Base RI'!L184</f>
        <v>219345.45</v>
      </c>
      <c r="Q184" s="34">
        <f>'A) Base RI'!AS184</f>
        <v>1</v>
      </c>
      <c r="R184" s="412">
        <f t="shared" si="14"/>
        <v>3605182.8200000003</v>
      </c>
      <c r="S184" s="33">
        <f>+'A) Base RI'!AN184</f>
        <v>76</v>
      </c>
      <c r="T184" s="412">
        <f t="shared" si="15"/>
        <v>3376709.12</v>
      </c>
      <c r="U184" s="412">
        <f t="shared" si="16"/>
        <v>47436.61605263158</v>
      </c>
      <c r="V184" s="10">
        <f>+'A) Base RI'!O184</f>
        <v>0</v>
      </c>
      <c r="W184" s="10">
        <f>+'A) Base RI'!P184</f>
        <v>131958.75</v>
      </c>
      <c r="X184" s="10">
        <f>+'A) Base RI'!R184</f>
        <v>176488.7</v>
      </c>
      <c r="Y184" s="412">
        <f t="shared" si="17"/>
        <v>308447.45</v>
      </c>
      <c r="Z184" s="10">
        <f>+'A) Base RI'!N184</f>
        <v>26663.15</v>
      </c>
      <c r="AA184" s="10">
        <f>'A) Base RI'!AO184</f>
        <v>825</v>
      </c>
    </row>
    <row r="185" spans="1:27" x14ac:dyDescent="0.25">
      <c r="A185" s="8">
        <f>'A) Base RI'!A185</f>
        <v>5706</v>
      </c>
      <c r="B185" s="32" t="str">
        <f>'A) Base RI'!B185</f>
        <v>Borex</v>
      </c>
      <c r="C185" s="10">
        <f>'A) Base RI'!C185+'A) Base RI'!D185</f>
        <v>3986356.37</v>
      </c>
      <c r="D185" s="10">
        <f>'A) Base RI'!AP185</f>
        <v>-20986.82</v>
      </c>
      <c r="E185" s="31">
        <f>'A) Base RI'!AQ185</f>
        <v>0</v>
      </c>
      <c r="F185" s="31">
        <f>'A) Base RI'!AR185</f>
        <v>-6025.35</v>
      </c>
      <c r="G185" s="412">
        <f t="shared" si="12"/>
        <v>3959344.2</v>
      </c>
      <c r="H185" s="10">
        <f>+'A) Base RI'!E185</f>
        <v>0</v>
      </c>
      <c r="I185" s="10">
        <f>+'A) Base RI'!F185</f>
        <v>0</v>
      </c>
      <c r="J185" s="10">
        <f>+'A) Base RI'!G185+'A) Base RI'!H185+'A) Base RI'!X185</f>
        <v>49725.100000000006</v>
      </c>
      <c r="K185" s="10">
        <f>+'A) Base RI'!I185</f>
        <v>0</v>
      </c>
      <c r="L185" s="10">
        <f>+'A) Base RI'!J185</f>
        <v>127826.57</v>
      </c>
      <c r="M185" s="10">
        <f>+'A) Base RI'!K185</f>
        <v>18825.8</v>
      </c>
      <c r="N185" s="10">
        <f>+'A) Base RI'!Q185</f>
        <v>0</v>
      </c>
      <c r="O185" s="10">
        <f t="shared" si="13"/>
        <v>291914.3</v>
      </c>
      <c r="P185" s="10">
        <f>+'A) Base RI'!L185</f>
        <v>437871.45</v>
      </c>
      <c r="Q185" s="34">
        <f>'A) Base RI'!AS185</f>
        <v>1.5</v>
      </c>
      <c r="R185" s="412">
        <f t="shared" si="14"/>
        <v>4447635.97</v>
      </c>
      <c r="S185" s="33">
        <f>+'A) Base RI'!AN185</f>
        <v>58</v>
      </c>
      <c r="T185" s="412">
        <f t="shared" si="15"/>
        <v>4136895.87</v>
      </c>
      <c r="U185" s="412">
        <f t="shared" si="16"/>
        <v>76683.378793103446</v>
      </c>
      <c r="V185" s="10">
        <f>+'A) Base RI'!O185</f>
        <v>0</v>
      </c>
      <c r="W185" s="10">
        <f>+'A) Base RI'!P185</f>
        <v>111051.6</v>
      </c>
      <c r="X185" s="10">
        <f>+'A) Base RI'!R185</f>
        <v>124492.5</v>
      </c>
      <c r="Y185" s="412">
        <f t="shared" si="17"/>
        <v>235544.1</v>
      </c>
      <c r="Z185" s="10">
        <f>+'A) Base RI'!N185</f>
        <v>9244.4</v>
      </c>
      <c r="AA185" s="10">
        <f>'A) Base RI'!AO185</f>
        <v>1132</v>
      </c>
    </row>
    <row r="186" spans="1:27" x14ac:dyDescent="0.25">
      <c r="A186" s="8">
        <f>'A) Base RI'!A186</f>
        <v>5707</v>
      </c>
      <c r="B186" s="32" t="str">
        <f>'A) Base RI'!B186</f>
        <v>Chavannes-de-Bogis</v>
      </c>
      <c r="C186" s="10">
        <f>'A) Base RI'!C186+'A) Base RI'!D186</f>
        <v>3887285.65</v>
      </c>
      <c r="D186" s="10">
        <f>'A) Base RI'!AP186</f>
        <v>-7689.16</v>
      </c>
      <c r="E186" s="31">
        <f>'A) Base RI'!AQ186</f>
        <v>0</v>
      </c>
      <c r="F186" s="31">
        <f>'A) Base RI'!AR186</f>
        <v>-1790.64</v>
      </c>
      <c r="G186" s="412">
        <f t="shared" si="12"/>
        <v>3877805.8499999996</v>
      </c>
      <c r="H186" s="10">
        <f>+'A) Base RI'!E186</f>
        <v>0</v>
      </c>
      <c r="I186" s="10">
        <f>+'A) Base RI'!F186</f>
        <v>0</v>
      </c>
      <c r="J186" s="10">
        <f>+'A) Base RI'!G186+'A) Base RI'!H186+'A) Base RI'!X186</f>
        <v>246228.15</v>
      </c>
      <c r="K186" s="10">
        <f>+'A) Base RI'!I186</f>
        <v>38591.15</v>
      </c>
      <c r="L186" s="10">
        <f>+'A) Base RI'!J186</f>
        <v>104652.25</v>
      </c>
      <c r="M186" s="10">
        <f>+'A) Base RI'!K186</f>
        <v>60418.7</v>
      </c>
      <c r="N186" s="10">
        <f>+'A) Base RI'!Q186</f>
        <v>0</v>
      </c>
      <c r="O186" s="10">
        <f t="shared" si="13"/>
        <v>469454.60000000003</v>
      </c>
      <c r="P186" s="10">
        <f>+'A) Base RI'!L186</f>
        <v>704181.9</v>
      </c>
      <c r="Q186" s="34">
        <f>'A) Base RI'!AS186</f>
        <v>1.5</v>
      </c>
      <c r="R186" s="412">
        <f t="shared" si="14"/>
        <v>4797150.6999999993</v>
      </c>
      <c r="S186" s="33">
        <f>+'A) Base RI'!AN186</f>
        <v>59</v>
      </c>
      <c r="T186" s="412">
        <f t="shared" si="15"/>
        <v>4267277.3999999994</v>
      </c>
      <c r="U186" s="412">
        <f t="shared" si="16"/>
        <v>81307.638983050841</v>
      </c>
      <c r="V186" s="10">
        <f>+'A) Base RI'!O186</f>
        <v>0</v>
      </c>
      <c r="W186" s="10">
        <f>+'A) Base RI'!P186</f>
        <v>202039.75</v>
      </c>
      <c r="X186" s="10">
        <f>+'A) Base RI'!R186</f>
        <v>149086.04999999999</v>
      </c>
      <c r="Y186" s="412">
        <f t="shared" si="17"/>
        <v>351125.8</v>
      </c>
      <c r="Z186" s="10">
        <f>+'A) Base RI'!N186</f>
        <v>690372.3</v>
      </c>
      <c r="AA186" s="10">
        <f>'A) Base RI'!AO186</f>
        <v>1357</v>
      </c>
    </row>
    <row r="187" spans="1:27" x14ac:dyDescent="0.25">
      <c r="A187" s="8">
        <f>'A) Base RI'!A187</f>
        <v>5708</v>
      </c>
      <c r="B187" s="32" t="str">
        <f>'A) Base RI'!B187</f>
        <v>Chavannes-des-Bois</v>
      </c>
      <c r="C187" s="10">
        <f>'A) Base RI'!C187+'A) Base RI'!D187</f>
        <v>3952976.97</v>
      </c>
      <c r="D187" s="10">
        <f>'A) Base RI'!AP187</f>
        <v>-12920.05</v>
      </c>
      <c r="E187" s="31">
        <f>'A) Base RI'!AQ187</f>
        <v>0</v>
      </c>
      <c r="F187" s="31">
        <f>'A) Base RI'!AR187</f>
        <v>-2776.99</v>
      </c>
      <c r="G187" s="412">
        <f t="shared" si="12"/>
        <v>3937279.93</v>
      </c>
      <c r="H187" s="10">
        <f>+'A) Base RI'!E187</f>
        <v>0</v>
      </c>
      <c r="I187" s="10">
        <f>+'A) Base RI'!F187</f>
        <v>0</v>
      </c>
      <c r="J187" s="10">
        <f>+'A) Base RI'!G187+'A) Base RI'!H187+'A) Base RI'!X187</f>
        <v>3285.95</v>
      </c>
      <c r="K187" s="10">
        <f>+'A) Base RI'!I187</f>
        <v>17.350000000005799</v>
      </c>
      <c r="L187" s="10">
        <f>+'A) Base RI'!J187</f>
        <v>170753.68</v>
      </c>
      <c r="M187" s="10">
        <f>+'A) Base RI'!K187</f>
        <v>4383.1499999999996</v>
      </c>
      <c r="N187" s="10">
        <f>+'A) Base RI'!Q187</f>
        <v>0</v>
      </c>
      <c r="O187" s="10">
        <f t="shared" si="13"/>
        <v>284185.2</v>
      </c>
      <c r="P187" s="10">
        <f>+'A) Base RI'!L187</f>
        <v>426277.8</v>
      </c>
      <c r="Q187" s="34">
        <f>'A) Base RI'!AS187</f>
        <v>1.5</v>
      </c>
      <c r="R187" s="412">
        <f t="shared" si="14"/>
        <v>4399905.2600000007</v>
      </c>
      <c r="S187" s="33">
        <f>+'A) Base RI'!AN187</f>
        <v>68</v>
      </c>
      <c r="T187" s="412">
        <f t="shared" si="15"/>
        <v>4111336.9100000006</v>
      </c>
      <c r="U187" s="412">
        <f t="shared" si="16"/>
        <v>64704.48911764707</v>
      </c>
      <c r="V187" s="10">
        <f>+'A) Base RI'!O187</f>
        <v>0</v>
      </c>
      <c r="W187" s="10">
        <f>+'A) Base RI'!P187</f>
        <v>346401.1</v>
      </c>
      <c r="X187" s="10">
        <f>+'A) Base RI'!R187</f>
        <v>130515.85</v>
      </c>
      <c r="Y187" s="412">
        <f t="shared" si="17"/>
        <v>476916.94999999995</v>
      </c>
      <c r="Z187" s="10">
        <f>+'A) Base RI'!N187</f>
        <v>2082.3000000000002</v>
      </c>
      <c r="AA187" s="10">
        <f>'A) Base RI'!AO187</f>
        <v>960</v>
      </c>
    </row>
    <row r="188" spans="1:27" x14ac:dyDescent="0.25">
      <c r="A188" s="8">
        <f>'A) Base RI'!A188</f>
        <v>5709</v>
      </c>
      <c r="B188" s="32" t="str">
        <f>'A) Base RI'!B188</f>
        <v>Chéserex</v>
      </c>
      <c r="C188" s="10">
        <f>'A) Base RI'!C188+'A) Base RI'!D188</f>
        <v>4651391.24</v>
      </c>
      <c r="D188" s="10">
        <f>'A) Base RI'!AP188</f>
        <v>-27100.03</v>
      </c>
      <c r="E188" s="31">
        <f>'A) Base RI'!AQ188</f>
        <v>0</v>
      </c>
      <c r="F188" s="31">
        <f>'A) Base RI'!AR188</f>
        <v>-28486.15</v>
      </c>
      <c r="G188" s="412">
        <f t="shared" si="12"/>
        <v>4595805.0599999996</v>
      </c>
      <c r="H188" s="10">
        <f>+'A) Base RI'!E188</f>
        <v>0</v>
      </c>
      <c r="I188" s="10">
        <f>+'A) Base RI'!F188</f>
        <v>0</v>
      </c>
      <c r="J188" s="10">
        <f>+'A) Base RI'!G188+'A) Base RI'!H188+'A) Base RI'!X188</f>
        <v>182095.85</v>
      </c>
      <c r="K188" s="10">
        <f>+'A) Base RI'!I188</f>
        <v>507817.55</v>
      </c>
      <c r="L188" s="10">
        <f>+'A) Base RI'!J188</f>
        <v>39511.449999999997</v>
      </c>
      <c r="M188" s="10">
        <f>+'A) Base RI'!K188</f>
        <v>3269.95</v>
      </c>
      <c r="N188" s="10">
        <f>+'A) Base RI'!Q188</f>
        <v>4636.7299999999996</v>
      </c>
      <c r="O188" s="10">
        <f t="shared" si="13"/>
        <v>334185.3</v>
      </c>
      <c r="P188" s="10">
        <f>+'A) Base RI'!L188</f>
        <v>334185.3</v>
      </c>
      <c r="Q188" s="34">
        <f>'A) Base RI'!AS188</f>
        <v>1</v>
      </c>
      <c r="R188" s="412">
        <f t="shared" si="14"/>
        <v>5667321.8899999997</v>
      </c>
      <c r="S188" s="33">
        <f>+'A) Base RI'!AN188</f>
        <v>57</v>
      </c>
      <c r="T188" s="412">
        <f t="shared" si="15"/>
        <v>5329866.6399999997</v>
      </c>
      <c r="U188" s="412">
        <f t="shared" si="16"/>
        <v>99426.699824561394</v>
      </c>
      <c r="V188" s="10">
        <f>+'A) Base RI'!O188</f>
        <v>86653</v>
      </c>
      <c r="W188" s="10">
        <f>+'A) Base RI'!P188</f>
        <v>341376</v>
      </c>
      <c r="X188" s="10">
        <f>+'A) Base RI'!R188</f>
        <v>178548.8</v>
      </c>
      <c r="Y188" s="412">
        <f t="shared" si="17"/>
        <v>606577.80000000005</v>
      </c>
      <c r="Z188" s="10">
        <f>+'A) Base RI'!N188</f>
        <v>40088.300000000003</v>
      </c>
      <c r="AA188" s="10">
        <f>'A) Base RI'!AO188</f>
        <v>1238</v>
      </c>
    </row>
    <row r="189" spans="1:27" x14ac:dyDescent="0.25">
      <c r="A189" s="8">
        <f>'A) Base RI'!A189</f>
        <v>5710</v>
      </c>
      <c r="B189" s="32" t="str">
        <f>'A) Base RI'!B189</f>
        <v>Coinsins</v>
      </c>
      <c r="C189" s="10">
        <f>'A) Base RI'!C189+'A) Base RI'!D189</f>
        <v>757582.25</v>
      </c>
      <c r="D189" s="10">
        <f>'A) Base RI'!AP189</f>
        <v>-13637.42</v>
      </c>
      <c r="E189" s="31">
        <f>'A) Base RI'!AQ189</f>
        <v>0</v>
      </c>
      <c r="F189" s="31">
        <f>'A) Base RI'!AR189</f>
        <v>-26741.74</v>
      </c>
      <c r="G189" s="412">
        <f t="shared" si="12"/>
        <v>717203.09</v>
      </c>
      <c r="H189" s="10">
        <f>+'A) Base RI'!E189</f>
        <v>0</v>
      </c>
      <c r="I189" s="10">
        <f>+'A) Base RI'!F189</f>
        <v>0</v>
      </c>
      <c r="J189" s="10">
        <f>+'A) Base RI'!G189+'A) Base RI'!H189+'A) Base RI'!X189</f>
        <v>4687054.1500000004</v>
      </c>
      <c r="K189" s="10">
        <f>+'A) Base RI'!I189</f>
        <v>110957.8</v>
      </c>
      <c r="L189" s="10">
        <f>+'A) Base RI'!J189</f>
        <v>58616.94</v>
      </c>
      <c r="M189" s="10">
        <f>+'A) Base RI'!K189</f>
        <v>5052.8999999999996</v>
      </c>
      <c r="N189" s="10">
        <f>+'A) Base RI'!Q189</f>
        <v>8314.25</v>
      </c>
      <c r="O189" s="10">
        <f t="shared" si="13"/>
        <v>130458.2</v>
      </c>
      <c r="P189" s="10">
        <f>+'A) Base RI'!L189</f>
        <v>130458.2</v>
      </c>
      <c r="Q189" s="34">
        <f>'A) Base RI'!AS189</f>
        <v>1</v>
      </c>
      <c r="R189" s="412">
        <f t="shared" si="14"/>
        <v>5717657.330000001</v>
      </c>
      <c r="S189" s="33">
        <f>+'A) Base RI'!AN189</f>
        <v>51</v>
      </c>
      <c r="T189" s="412">
        <f t="shared" si="15"/>
        <v>5582146.2300000004</v>
      </c>
      <c r="U189" s="412">
        <f t="shared" si="16"/>
        <v>112110.92803921571</v>
      </c>
      <c r="V189" s="10">
        <f>+'A) Base RI'!O189</f>
        <v>0</v>
      </c>
      <c r="W189" s="10">
        <f>+'A) Base RI'!P189</f>
        <v>57629</v>
      </c>
      <c r="X189" s="10">
        <f>+'A) Base RI'!R189</f>
        <v>58607.4</v>
      </c>
      <c r="Y189" s="412">
        <f t="shared" si="17"/>
        <v>116236.4</v>
      </c>
      <c r="Z189" s="10">
        <f>+'A) Base RI'!N189</f>
        <v>58083.9</v>
      </c>
      <c r="AA189" s="10">
        <f>'A) Base RI'!AO189</f>
        <v>494</v>
      </c>
    </row>
    <row r="190" spans="1:27" x14ac:dyDescent="0.25">
      <c r="A190" s="8">
        <f>'A) Base RI'!A190</f>
        <v>5711</v>
      </c>
      <c r="B190" s="32" t="str">
        <f>'A) Base RI'!B190</f>
        <v>Commugny</v>
      </c>
      <c r="C190" s="10">
        <f>'A) Base RI'!C190+'A) Base RI'!D190</f>
        <v>13717414.800000001</v>
      </c>
      <c r="D190" s="10">
        <f>'A) Base RI'!AP190</f>
        <v>-114347.05</v>
      </c>
      <c r="E190" s="31">
        <f>'A) Base RI'!AQ190</f>
        <v>0</v>
      </c>
      <c r="F190" s="31">
        <f>'A) Base RI'!AR190</f>
        <v>-162910.26999999999</v>
      </c>
      <c r="G190" s="412">
        <f t="shared" si="12"/>
        <v>13440157.48</v>
      </c>
      <c r="H190" s="10">
        <f>+'A) Base RI'!E190</f>
        <v>0</v>
      </c>
      <c r="I190" s="10">
        <f>+'A) Base RI'!F190</f>
        <v>0</v>
      </c>
      <c r="J190" s="10">
        <f>+'A) Base RI'!G190+'A) Base RI'!H190+'A) Base RI'!X190</f>
        <v>103474.2</v>
      </c>
      <c r="K190" s="10">
        <f>+'A) Base RI'!I190</f>
        <v>207489.45</v>
      </c>
      <c r="L190" s="10">
        <f>+'A) Base RI'!J190</f>
        <v>-6677.29</v>
      </c>
      <c r="M190" s="10">
        <f>+'A) Base RI'!K190</f>
        <v>15537.15</v>
      </c>
      <c r="N190" s="10">
        <f>+'A) Base RI'!Q190</f>
        <v>39963.14</v>
      </c>
      <c r="O190" s="10">
        <f t="shared" si="13"/>
        <v>876830.61538461538</v>
      </c>
      <c r="P190" s="10">
        <f>+'A) Base RI'!L190</f>
        <v>1139879.8</v>
      </c>
      <c r="Q190" s="34">
        <f>'A) Base RI'!AS190</f>
        <v>1.3</v>
      </c>
      <c r="R190" s="412">
        <f t="shared" si="14"/>
        <v>14676774.745384617</v>
      </c>
      <c r="S190" s="33">
        <f>+'A) Base RI'!AN190</f>
        <v>57</v>
      </c>
      <c r="T190" s="412">
        <f t="shared" si="15"/>
        <v>13784406.98</v>
      </c>
      <c r="U190" s="412">
        <f t="shared" si="16"/>
        <v>257487.27623481784</v>
      </c>
      <c r="V190" s="10">
        <f>+'A) Base RI'!O190</f>
        <v>0</v>
      </c>
      <c r="W190" s="10">
        <f>+'A) Base RI'!P190</f>
        <v>714705.85</v>
      </c>
      <c r="X190" s="10">
        <f>+'A) Base RI'!R190</f>
        <v>659573.5</v>
      </c>
      <c r="Y190" s="412">
        <f t="shared" si="17"/>
        <v>1374279.35</v>
      </c>
      <c r="Z190" s="10">
        <f>+'A) Base RI'!N190</f>
        <v>21638.05</v>
      </c>
      <c r="AA190" s="10">
        <f>'A) Base RI'!AO190</f>
        <v>2935</v>
      </c>
    </row>
    <row r="191" spans="1:27" x14ac:dyDescent="0.25">
      <c r="A191" s="8">
        <f>'A) Base RI'!A191</f>
        <v>5712</v>
      </c>
      <c r="B191" s="32" t="str">
        <f>'A) Base RI'!B191</f>
        <v>Coppet</v>
      </c>
      <c r="C191" s="10">
        <f>'A) Base RI'!C191+'A) Base RI'!D191</f>
        <v>17451448.57</v>
      </c>
      <c r="D191" s="10">
        <f>'A) Base RI'!AP191</f>
        <v>-64869.15</v>
      </c>
      <c r="E191" s="31">
        <f>'A) Base RI'!AQ191</f>
        <v>0</v>
      </c>
      <c r="F191" s="31">
        <f>'A) Base RI'!AR191</f>
        <v>-50379.64</v>
      </c>
      <c r="G191" s="412">
        <f t="shared" si="12"/>
        <v>17336199.780000001</v>
      </c>
      <c r="H191" s="10">
        <f>+'A) Base RI'!E191</f>
        <v>0</v>
      </c>
      <c r="I191" s="10">
        <f>+'A) Base RI'!F191</f>
        <v>0</v>
      </c>
      <c r="J191" s="10">
        <f>+'A) Base RI'!G191+'A) Base RI'!H191+'A) Base RI'!X191</f>
        <v>437460.35000000003</v>
      </c>
      <c r="K191" s="10">
        <f>+'A) Base RI'!I191</f>
        <v>1131526.74</v>
      </c>
      <c r="L191" s="10">
        <f>+'A) Base RI'!J191</f>
        <v>564340.06000000006</v>
      </c>
      <c r="M191" s="10">
        <f>+'A) Base RI'!K191</f>
        <v>21065.8</v>
      </c>
      <c r="N191" s="10">
        <f>+'A) Base RI'!Q191</f>
        <v>6197.8</v>
      </c>
      <c r="O191" s="10">
        <f t="shared" si="13"/>
        <v>1122533</v>
      </c>
      <c r="P191" s="10">
        <f>+'A) Base RI'!L191</f>
        <v>1683799.5</v>
      </c>
      <c r="Q191" s="34">
        <f>'A) Base RI'!AS191</f>
        <v>1.5</v>
      </c>
      <c r="R191" s="412">
        <f t="shared" si="14"/>
        <v>20619323.530000001</v>
      </c>
      <c r="S191" s="33">
        <f>+'A) Base RI'!AN191</f>
        <v>53</v>
      </c>
      <c r="T191" s="412">
        <f t="shared" si="15"/>
        <v>19475724.73</v>
      </c>
      <c r="U191" s="412">
        <f t="shared" si="16"/>
        <v>389043.84018867929</v>
      </c>
      <c r="V191" s="10">
        <f>+'A) Base RI'!O191</f>
        <v>365553.7</v>
      </c>
      <c r="W191" s="10">
        <f>+'A) Base RI'!P191</f>
        <v>825607.2</v>
      </c>
      <c r="X191" s="10">
        <f>+'A) Base RI'!R191</f>
        <v>1012371.05</v>
      </c>
      <c r="Y191" s="412">
        <f t="shared" si="17"/>
        <v>2203531.9500000002</v>
      </c>
      <c r="Z191" s="10">
        <f>+'A) Base RI'!N191</f>
        <v>154539.25</v>
      </c>
      <c r="AA191" s="10">
        <f>'A) Base RI'!AO191</f>
        <v>3211</v>
      </c>
    </row>
    <row r="192" spans="1:27" x14ac:dyDescent="0.25">
      <c r="A192" s="8">
        <f>'A) Base RI'!A192</f>
        <v>5713</v>
      </c>
      <c r="B192" s="32" t="str">
        <f>'A) Base RI'!B192</f>
        <v>Crans-près-Céligny</v>
      </c>
      <c r="C192" s="10">
        <f>'A) Base RI'!C192+'A) Base RI'!D192</f>
        <v>14090876.600000001</v>
      </c>
      <c r="D192" s="10">
        <f>'A) Base RI'!AP192</f>
        <v>-64209.58</v>
      </c>
      <c r="E192" s="31">
        <f>'A) Base RI'!AQ192</f>
        <v>0</v>
      </c>
      <c r="F192" s="31">
        <f>'A) Base RI'!AR192</f>
        <v>-41516.92</v>
      </c>
      <c r="G192" s="412">
        <f t="shared" si="12"/>
        <v>13985150.100000001</v>
      </c>
      <c r="H192" s="10">
        <f>+'A) Base RI'!E192</f>
        <v>0</v>
      </c>
      <c r="I192" s="10">
        <f>+'A) Base RI'!F192</f>
        <v>0</v>
      </c>
      <c r="J192" s="10">
        <f>+'A) Base RI'!G192+'A) Base RI'!H192+'A) Base RI'!X192</f>
        <v>96682.7</v>
      </c>
      <c r="K192" s="10">
        <f>+'A) Base RI'!I192</f>
        <v>668928.5</v>
      </c>
      <c r="L192" s="10">
        <f>+'A) Base RI'!J192</f>
        <v>412482.02</v>
      </c>
      <c r="M192" s="10">
        <f>+'A) Base RI'!K192</f>
        <v>10277.5</v>
      </c>
      <c r="N192" s="10">
        <f>+'A) Base RI'!Q192</f>
        <v>2671.87</v>
      </c>
      <c r="O192" s="10">
        <f t="shared" si="13"/>
        <v>822395.25</v>
      </c>
      <c r="P192" s="10">
        <f>+'A) Base RI'!L192</f>
        <v>822395.25</v>
      </c>
      <c r="Q192" s="34">
        <f>'A) Base RI'!AS192</f>
        <v>1</v>
      </c>
      <c r="R192" s="412">
        <f t="shared" si="14"/>
        <v>15998587.939999999</v>
      </c>
      <c r="S192" s="33">
        <f>+'A) Base RI'!AN192</f>
        <v>56</v>
      </c>
      <c r="T192" s="412">
        <f t="shared" si="15"/>
        <v>15165915.189999999</v>
      </c>
      <c r="U192" s="412">
        <f t="shared" si="16"/>
        <v>285689.07035714283</v>
      </c>
      <c r="V192" s="10">
        <f>+'A) Base RI'!O192</f>
        <v>94826.2</v>
      </c>
      <c r="W192" s="10">
        <f>+'A) Base RI'!P192</f>
        <v>466061.65</v>
      </c>
      <c r="X192" s="10">
        <f>+'A) Base RI'!R192</f>
        <v>500656.8</v>
      </c>
      <c r="Y192" s="412">
        <f t="shared" si="17"/>
        <v>1061544.6499999999</v>
      </c>
      <c r="Z192" s="10">
        <f>+'A) Base RI'!N192</f>
        <v>21843.1</v>
      </c>
      <c r="AA192" s="10">
        <f>'A) Base RI'!AO192</f>
        <v>2286</v>
      </c>
    </row>
    <row r="193" spans="1:27" x14ac:dyDescent="0.25">
      <c r="A193" s="8">
        <f>'A) Base RI'!A193</f>
        <v>5714</v>
      </c>
      <c r="B193" s="32" t="str">
        <f>'A) Base RI'!B193</f>
        <v>Crassier</v>
      </c>
      <c r="C193" s="10">
        <f>'A) Base RI'!C193+'A) Base RI'!D193</f>
        <v>4264276.57</v>
      </c>
      <c r="D193" s="10">
        <f>'A) Base RI'!AP193</f>
        <v>-45271.55</v>
      </c>
      <c r="E193" s="31">
        <f>'A) Base RI'!AQ193</f>
        <v>0</v>
      </c>
      <c r="F193" s="31">
        <f>'A) Base RI'!AR193</f>
        <v>-2820.45</v>
      </c>
      <c r="G193" s="412">
        <f t="shared" si="12"/>
        <v>4216184.57</v>
      </c>
      <c r="H193" s="10">
        <f>+'A) Base RI'!E193</f>
        <v>0</v>
      </c>
      <c r="I193" s="10">
        <f>+'A) Base RI'!F193</f>
        <v>0</v>
      </c>
      <c r="J193" s="10">
        <f>+'A) Base RI'!G193+'A) Base RI'!H193+'A) Base RI'!X193</f>
        <v>83828.649999999994</v>
      </c>
      <c r="K193" s="10">
        <f>+'A) Base RI'!I193</f>
        <v>111940.2</v>
      </c>
      <c r="L193" s="10">
        <f>+'A) Base RI'!J193</f>
        <v>32606.69</v>
      </c>
      <c r="M193" s="10">
        <f>+'A) Base RI'!K193</f>
        <v>6423</v>
      </c>
      <c r="N193" s="10">
        <f>+'A) Base RI'!Q193</f>
        <v>3803.53</v>
      </c>
      <c r="O193" s="10">
        <f t="shared" si="13"/>
        <v>288713.65000000002</v>
      </c>
      <c r="P193" s="10">
        <f>+'A) Base RI'!L193</f>
        <v>288713.65000000002</v>
      </c>
      <c r="Q193" s="34">
        <f>'A) Base RI'!AS193</f>
        <v>1</v>
      </c>
      <c r="R193" s="412">
        <f t="shared" si="14"/>
        <v>4743500.2900000019</v>
      </c>
      <c r="S193" s="33">
        <f>+'A) Base RI'!AN193</f>
        <v>68</v>
      </c>
      <c r="T193" s="412">
        <f t="shared" si="15"/>
        <v>4448363.6400000015</v>
      </c>
      <c r="U193" s="412">
        <f t="shared" si="16"/>
        <v>69757.357205882377</v>
      </c>
      <c r="V193" s="10">
        <f>+'A) Base RI'!O193</f>
        <v>0</v>
      </c>
      <c r="W193" s="10">
        <f>+'A) Base RI'!P193</f>
        <v>143632.35</v>
      </c>
      <c r="X193" s="10">
        <f>+'A) Base RI'!R193</f>
        <v>162725.45000000001</v>
      </c>
      <c r="Y193" s="412">
        <f t="shared" si="17"/>
        <v>306357.80000000005</v>
      </c>
      <c r="Z193" s="10">
        <f>+'A) Base RI'!N193</f>
        <v>78593.5</v>
      </c>
      <c r="AA193" s="10">
        <f>'A) Base RI'!AO193</f>
        <v>1169</v>
      </c>
    </row>
    <row r="194" spans="1:27" x14ac:dyDescent="0.25">
      <c r="A194" s="8">
        <f>'A) Base RI'!A194</f>
        <v>5715</v>
      </c>
      <c r="B194" s="32" t="str">
        <f>'A) Base RI'!B194</f>
        <v>Duillier</v>
      </c>
      <c r="C194" s="10">
        <f>'A) Base RI'!C194+'A) Base RI'!D194</f>
        <v>4274196.62</v>
      </c>
      <c r="D194" s="10">
        <f>'A) Base RI'!AP194</f>
        <v>-166233.72</v>
      </c>
      <c r="E194" s="31">
        <f>'A) Base RI'!AQ194</f>
        <v>0</v>
      </c>
      <c r="F194" s="31">
        <f>'A) Base RI'!AR194</f>
        <v>-7101.43</v>
      </c>
      <c r="G194" s="412">
        <f t="shared" si="12"/>
        <v>4100861.4699999997</v>
      </c>
      <c r="H194" s="10">
        <f>+'A) Base RI'!E194</f>
        <v>0</v>
      </c>
      <c r="I194" s="10">
        <f>+'A) Base RI'!F194</f>
        <v>0</v>
      </c>
      <c r="J194" s="10">
        <f>+'A) Base RI'!G194+'A) Base RI'!H194+'A) Base RI'!X194</f>
        <v>40249.35</v>
      </c>
      <c r="K194" s="10">
        <f>+'A) Base RI'!I194</f>
        <v>32824.75</v>
      </c>
      <c r="L194" s="10">
        <f>+'A) Base RI'!J194</f>
        <v>98503.53</v>
      </c>
      <c r="M194" s="10">
        <f>+'A) Base RI'!K194</f>
        <v>-1241</v>
      </c>
      <c r="N194" s="10">
        <f>+'A) Base RI'!Q194</f>
        <v>85371.839999999997</v>
      </c>
      <c r="O194" s="10">
        <f t="shared" si="13"/>
        <v>272005.40000000002</v>
      </c>
      <c r="P194" s="10">
        <f>+'A) Base RI'!L194</f>
        <v>272005.40000000002</v>
      </c>
      <c r="Q194" s="34">
        <f>'A) Base RI'!AS194</f>
        <v>1</v>
      </c>
      <c r="R194" s="412">
        <f t="shared" si="14"/>
        <v>4628575.34</v>
      </c>
      <c r="S194" s="33">
        <f>+'A) Base RI'!AN194</f>
        <v>66</v>
      </c>
      <c r="T194" s="412">
        <f t="shared" si="15"/>
        <v>4357810.9399999995</v>
      </c>
      <c r="U194" s="412">
        <f t="shared" si="16"/>
        <v>70129.929393939397</v>
      </c>
      <c r="V194" s="10">
        <f>+'A) Base RI'!O194</f>
        <v>46385.8</v>
      </c>
      <c r="W194" s="10">
        <f>+'A) Base RI'!P194</f>
        <v>97376.85</v>
      </c>
      <c r="X194" s="10">
        <f>+'A) Base RI'!R194</f>
        <v>154757.35</v>
      </c>
      <c r="Y194" s="412">
        <f t="shared" si="17"/>
        <v>298520</v>
      </c>
      <c r="Z194" s="10">
        <f>+'A) Base RI'!N194</f>
        <v>59422.95</v>
      </c>
      <c r="AA194" s="10">
        <f>'A) Base RI'!AO194</f>
        <v>1090</v>
      </c>
    </row>
    <row r="195" spans="1:27" x14ac:dyDescent="0.25">
      <c r="A195" s="8">
        <f>'A) Base RI'!A195</f>
        <v>5716</v>
      </c>
      <c r="B195" s="32" t="str">
        <f>'A) Base RI'!B195</f>
        <v>Eysins</v>
      </c>
      <c r="C195" s="10">
        <f>'A) Base RI'!C195+'A) Base RI'!D195</f>
        <v>4523963.82</v>
      </c>
      <c r="D195" s="10">
        <f>'A) Base RI'!AP195</f>
        <v>-54331.56</v>
      </c>
      <c r="E195" s="31">
        <f>'A) Base RI'!AQ195</f>
        <v>0</v>
      </c>
      <c r="F195" s="31">
        <f>'A) Base RI'!AR195</f>
        <v>-52798.86</v>
      </c>
      <c r="G195" s="412">
        <f t="shared" si="12"/>
        <v>4416833.4000000004</v>
      </c>
      <c r="H195" s="10">
        <f>+'A) Base RI'!E195</f>
        <v>0</v>
      </c>
      <c r="I195" s="10">
        <f>+'A) Base RI'!F195</f>
        <v>0</v>
      </c>
      <c r="J195" s="10">
        <f>+'A) Base RI'!G195+'A) Base RI'!H195+'A) Base RI'!X195</f>
        <v>7170915.75</v>
      </c>
      <c r="K195" s="10">
        <f>+'A) Base RI'!I195</f>
        <v>-24162</v>
      </c>
      <c r="L195" s="10">
        <f>+'A) Base RI'!J195</f>
        <v>255987.84</v>
      </c>
      <c r="M195" s="10">
        <f>+'A) Base RI'!K195</f>
        <v>103514.3</v>
      </c>
      <c r="N195" s="10">
        <f>+'A) Base RI'!Q195</f>
        <v>10632.35</v>
      </c>
      <c r="O195" s="10">
        <f t="shared" si="13"/>
        <v>641222.05000000005</v>
      </c>
      <c r="P195" s="10">
        <f>+'A) Base RI'!L195</f>
        <v>641222.05000000005</v>
      </c>
      <c r="Q195" s="34">
        <f>'A) Base RI'!AS195</f>
        <v>1</v>
      </c>
      <c r="R195" s="412">
        <f t="shared" si="14"/>
        <v>12574943.690000001</v>
      </c>
      <c r="S195" s="33">
        <f>+'A) Base RI'!AN195</f>
        <v>61</v>
      </c>
      <c r="T195" s="412">
        <f t="shared" si="15"/>
        <v>11830207.34</v>
      </c>
      <c r="U195" s="412">
        <f t="shared" si="16"/>
        <v>206146.61786885248</v>
      </c>
      <c r="V195" s="10">
        <f>+'A) Base RI'!O195</f>
        <v>36537.300000000003</v>
      </c>
      <c r="W195" s="10">
        <f>+'A) Base RI'!P195</f>
        <v>349296.8</v>
      </c>
      <c r="X195" s="10">
        <f>+'A) Base RI'!R195</f>
        <v>136837.85</v>
      </c>
      <c r="Y195" s="412">
        <f t="shared" si="17"/>
        <v>522671.94999999995</v>
      </c>
      <c r="Z195" s="10">
        <f>+'A) Base RI'!N195</f>
        <v>485768.2</v>
      </c>
      <c r="AA195" s="10">
        <f>'A) Base RI'!AO195</f>
        <v>1737</v>
      </c>
    </row>
    <row r="196" spans="1:27" x14ac:dyDescent="0.25">
      <c r="A196" s="8">
        <f>'A) Base RI'!A196</f>
        <v>5717</v>
      </c>
      <c r="B196" s="32" t="str">
        <f>'A) Base RI'!B196</f>
        <v>Founex</v>
      </c>
      <c r="C196" s="10">
        <f>'A) Base RI'!C196+'A) Base RI'!D196</f>
        <v>17295076.800000001</v>
      </c>
      <c r="D196" s="10">
        <f>'A) Base RI'!AP196</f>
        <v>-80492.929999999993</v>
      </c>
      <c r="E196" s="31">
        <f>'A) Base RI'!AQ196</f>
        <v>-677.05</v>
      </c>
      <c r="F196" s="31">
        <f>'A) Base RI'!AR196</f>
        <v>-288985.55</v>
      </c>
      <c r="G196" s="412">
        <f t="shared" si="12"/>
        <v>16924921.27</v>
      </c>
      <c r="H196" s="10">
        <f>+'A) Base RI'!E196</f>
        <v>0</v>
      </c>
      <c r="I196" s="10">
        <f>+'A) Base RI'!F196</f>
        <v>0</v>
      </c>
      <c r="J196" s="10">
        <f>+'A) Base RI'!G196+'A) Base RI'!H196+'A) Base RI'!X196</f>
        <v>253811.35</v>
      </c>
      <c r="K196" s="10">
        <f>+'A) Base RI'!I196</f>
        <v>896177.1</v>
      </c>
      <c r="L196" s="10">
        <f>+'A) Base RI'!J196</f>
        <v>256975.7</v>
      </c>
      <c r="M196" s="10">
        <f>+'A) Base RI'!K196</f>
        <v>38705</v>
      </c>
      <c r="N196" s="10">
        <f>+'A) Base RI'!Q196</f>
        <v>12219.67</v>
      </c>
      <c r="O196" s="10">
        <f t="shared" si="13"/>
        <v>1269375.8999999999</v>
      </c>
      <c r="P196" s="10">
        <f>+'A) Base RI'!L196</f>
        <v>1269375.8999999999</v>
      </c>
      <c r="Q196" s="34">
        <f>'A) Base RI'!AS196</f>
        <v>1</v>
      </c>
      <c r="R196" s="412">
        <f t="shared" si="14"/>
        <v>19652185.990000002</v>
      </c>
      <c r="S196" s="33">
        <f>+'A) Base RI'!AN196</f>
        <v>57</v>
      </c>
      <c r="T196" s="412">
        <f t="shared" si="15"/>
        <v>18344105.090000004</v>
      </c>
      <c r="U196" s="412">
        <f t="shared" si="16"/>
        <v>344775.19280701759</v>
      </c>
      <c r="V196" s="10">
        <f>+'A) Base RI'!O196</f>
        <v>313199.09999999998</v>
      </c>
      <c r="W196" s="10">
        <f>+'A) Base RI'!P196</f>
        <v>1111030.1499999999</v>
      </c>
      <c r="X196" s="10">
        <f>+'A) Base RI'!R196</f>
        <v>932997.2</v>
      </c>
      <c r="Y196" s="412">
        <f t="shared" si="17"/>
        <v>2357226.4500000002</v>
      </c>
      <c r="Z196" s="10">
        <f>+'A) Base RI'!N196</f>
        <v>216727.3</v>
      </c>
      <c r="AA196" s="10">
        <f>'A) Base RI'!AO196</f>
        <v>3772</v>
      </c>
    </row>
    <row r="197" spans="1:27" x14ac:dyDescent="0.25">
      <c r="A197" s="8">
        <f>'A) Base RI'!A197</f>
        <v>5718</v>
      </c>
      <c r="B197" s="32" t="str">
        <f>'A) Base RI'!B197</f>
        <v>Genolier</v>
      </c>
      <c r="C197" s="10">
        <f>'A) Base RI'!C197+'A) Base RI'!D197</f>
        <v>8285796.8899999997</v>
      </c>
      <c r="D197" s="10">
        <f>'A) Base RI'!AP197</f>
        <v>-100284.6</v>
      </c>
      <c r="E197" s="31">
        <f>'A) Base RI'!AQ197</f>
        <v>0</v>
      </c>
      <c r="F197" s="31">
        <f>'A) Base RI'!AR197</f>
        <v>-13553.26</v>
      </c>
      <c r="G197" s="412">
        <f t="shared" si="12"/>
        <v>8171959.0300000003</v>
      </c>
      <c r="H197" s="10">
        <f>+'A) Base RI'!E197</f>
        <v>0</v>
      </c>
      <c r="I197" s="10">
        <f>+'A) Base RI'!F197</f>
        <v>0</v>
      </c>
      <c r="J197" s="10">
        <f>+'A) Base RI'!G197+'A) Base RI'!H197+'A) Base RI'!X197</f>
        <v>80559.89999999998</v>
      </c>
      <c r="K197" s="10">
        <f>+'A) Base RI'!I197</f>
        <v>239936.05</v>
      </c>
      <c r="L197" s="10">
        <f>+'A) Base RI'!J197</f>
        <v>176966.58</v>
      </c>
      <c r="M197" s="10">
        <f>+'A) Base RI'!K197</f>
        <v>39346.6</v>
      </c>
      <c r="N197" s="10">
        <f>+'A) Base RI'!Q197</f>
        <v>68471.08</v>
      </c>
      <c r="O197" s="10">
        <f t="shared" si="13"/>
        <v>653818.6</v>
      </c>
      <c r="P197" s="10">
        <f>+'A) Base RI'!L197</f>
        <v>653818.6</v>
      </c>
      <c r="Q197" s="34">
        <f>'A) Base RI'!AS197</f>
        <v>1</v>
      </c>
      <c r="R197" s="412">
        <f t="shared" si="14"/>
        <v>9431057.8399999999</v>
      </c>
      <c r="S197" s="33">
        <f>+'A) Base RI'!AN197</f>
        <v>55</v>
      </c>
      <c r="T197" s="412">
        <f t="shared" si="15"/>
        <v>8737892.6400000006</v>
      </c>
      <c r="U197" s="412">
        <f t="shared" si="16"/>
        <v>171473.77890909091</v>
      </c>
      <c r="V197" s="10">
        <f>+'A) Base RI'!O197</f>
        <v>499018.7</v>
      </c>
      <c r="W197" s="10">
        <f>+'A) Base RI'!P197</f>
        <v>636772.30000000005</v>
      </c>
      <c r="X197" s="10">
        <f>+'A) Base RI'!R197</f>
        <v>292877.40000000002</v>
      </c>
      <c r="Y197" s="412">
        <f t="shared" si="17"/>
        <v>1428668.4</v>
      </c>
      <c r="Z197" s="10">
        <f>+'A) Base RI'!N197</f>
        <v>281010.59999999998</v>
      </c>
      <c r="AA197" s="10">
        <f>'A) Base RI'!AO197</f>
        <v>2000</v>
      </c>
    </row>
    <row r="198" spans="1:27" x14ac:dyDescent="0.25">
      <c r="A198" s="8">
        <f>'A) Base RI'!A198</f>
        <v>5719</v>
      </c>
      <c r="B198" s="32" t="str">
        <f>'A) Base RI'!B198</f>
        <v>Gingins</v>
      </c>
      <c r="C198" s="10">
        <f>'A) Base RI'!C198+'A) Base RI'!D198</f>
        <v>7471010.1299999999</v>
      </c>
      <c r="D198" s="10">
        <f>'A) Base RI'!AP198</f>
        <v>-44485.760000000002</v>
      </c>
      <c r="E198" s="31">
        <f>'A) Base RI'!AQ198</f>
        <v>0</v>
      </c>
      <c r="F198" s="31">
        <f>'A) Base RI'!AR198</f>
        <v>-6182.23</v>
      </c>
      <c r="G198" s="412">
        <f t="shared" si="12"/>
        <v>7420342.1399999997</v>
      </c>
      <c r="H198" s="10">
        <f>+'A) Base RI'!E198</f>
        <v>0</v>
      </c>
      <c r="I198" s="10">
        <f>+'A) Base RI'!F198</f>
        <v>0</v>
      </c>
      <c r="J198" s="10">
        <f>+'A) Base RI'!G198+'A) Base RI'!H198+'A) Base RI'!X198</f>
        <v>100511.79999999999</v>
      </c>
      <c r="K198" s="10">
        <f>+'A) Base RI'!I198</f>
        <v>145661.79999999999</v>
      </c>
      <c r="L198" s="10">
        <f>+'A) Base RI'!J198</f>
        <v>74826.42</v>
      </c>
      <c r="M198" s="10">
        <f>+'A) Base RI'!K198</f>
        <v>-39267.199999999997</v>
      </c>
      <c r="N198" s="10">
        <f>+'A) Base RI'!Q198</f>
        <v>6889.27</v>
      </c>
      <c r="O198" s="10">
        <f t="shared" si="13"/>
        <v>403143.41666666669</v>
      </c>
      <c r="P198" s="10">
        <f>+'A) Base RI'!L198</f>
        <v>241886.05</v>
      </c>
      <c r="Q198" s="34">
        <f>'A) Base RI'!AS198</f>
        <v>0.6</v>
      </c>
      <c r="R198" s="412">
        <f t="shared" si="14"/>
        <v>8112107.6466666656</v>
      </c>
      <c r="S198" s="33">
        <f>+'A) Base RI'!AN198</f>
        <v>57</v>
      </c>
      <c r="T198" s="412">
        <f t="shared" si="15"/>
        <v>7748231.4299999988</v>
      </c>
      <c r="U198" s="412">
        <f t="shared" si="16"/>
        <v>142317.67801169588</v>
      </c>
      <c r="V198" s="10">
        <f>+'A) Base RI'!O198</f>
        <v>27481.8</v>
      </c>
      <c r="W198" s="10">
        <f>+'A) Base RI'!P198</f>
        <v>180299.4</v>
      </c>
      <c r="X198" s="10">
        <f>+'A) Base RI'!R198</f>
        <v>146778.15</v>
      </c>
      <c r="Y198" s="412">
        <f t="shared" si="17"/>
        <v>354559.35</v>
      </c>
      <c r="Z198" s="10">
        <f>+'A) Base RI'!N198</f>
        <v>55232.15</v>
      </c>
      <c r="AA198" s="10">
        <f>'A) Base RI'!AO198</f>
        <v>1239</v>
      </c>
    </row>
    <row r="199" spans="1:27" x14ac:dyDescent="0.25">
      <c r="A199" s="8">
        <f>'A) Base RI'!A199</f>
        <v>5720</v>
      </c>
      <c r="B199" s="32" t="str">
        <f>'A) Base RI'!B199</f>
        <v>Givrins</v>
      </c>
      <c r="C199" s="10">
        <f>'A) Base RI'!C199+'A) Base RI'!D199</f>
        <v>4589206.4399999995</v>
      </c>
      <c r="D199" s="10">
        <f>'A) Base RI'!AP199</f>
        <v>-44730.07</v>
      </c>
      <c r="E199" s="31">
        <f>'A) Base RI'!AQ199</f>
        <v>0</v>
      </c>
      <c r="F199" s="31">
        <f>'A) Base RI'!AR199</f>
        <v>-7872.43</v>
      </c>
      <c r="G199" s="412">
        <f t="shared" si="12"/>
        <v>4536603.9399999995</v>
      </c>
      <c r="H199" s="10">
        <f>+'A) Base RI'!E199</f>
        <v>0</v>
      </c>
      <c r="I199" s="10">
        <f>+'A) Base RI'!F199</f>
        <v>0</v>
      </c>
      <c r="J199" s="10">
        <f>+'A) Base RI'!G199+'A) Base RI'!H199+'A) Base RI'!X199</f>
        <v>82574.549999999988</v>
      </c>
      <c r="K199" s="10">
        <f>+'A) Base RI'!I199</f>
        <v>574825.85</v>
      </c>
      <c r="L199" s="10">
        <f>+'A) Base RI'!J199</f>
        <v>37717.85</v>
      </c>
      <c r="M199" s="10">
        <f>+'A) Base RI'!K199</f>
        <v>0</v>
      </c>
      <c r="N199" s="10">
        <f>+'A) Base RI'!Q199</f>
        <v>3407.15</v>
      </c>
      <c r="O199" s="10">
        <f t="shared" si="13"/>
        <v>296683.27777777781</v>
      </c>
      <c r="P199" s="10">
        <f>+'A) Base RI'!L199</f>
        <v>267014.95</v>
      </c>
      <c r="Q199" s="34">
        <f>'A) Base RI'!AS199</f>
        <v>0.9</v>
      </c>
      <c r="R199" s="412">
        <f t="shared" si="14"/>
        <v>5531812.6177777769</v>
      </c>
      <c r="S199" s="33">
        <f>+'A) Base RI'!AN199</f>
        <v>67</v>
      </c>
      <c r="T199" s="412">
        <f t="shared" si="15"/>
        <v>5235129.3399999989</v>
      </c>
      <c r="U199" s="412">
        <f t="shared" si="16"/>
        <v>82564.367429519058</v>
      </c>
      <c r="V199" s="10">
        <f>+'A) Base RI'!O199</f>
        <v>0</v>
      </c>
      <c r="W199" s="10">
        <f>+'A) Base RI'!P199</f>
        <v>332359.34999999998</v>
      </c>
      <c r="X199" s="10">
        <f>+'A) Base RI'!R199</f>
        <v>246977.95</v>
      </c>
      <c r="Y199" s="412">
        <f t="shared" si="17"/>
        <v>579337.30000000005</v>
      </c>
      <c r="Z199" s="10">
        <f>+'A) Base RI'!N199</f>
        <v>12988.35</v>
      </c>
      <c r="AA199" s="10">
        <f>'A) Base RI'!AO199</f>
        <v>1032</v>
      </c>
    </row>
    <row r="200" spans="1:27" x14ac:dyDescent="0.25">
      <c r="A200" s="8">
        <f>'A) Base RI'!A200</f>
        <v>5721</v>
      </c>
      <c r="B200" s="32" t="str">
        <f>'A) Base RI'!B200</f>
        <v>Gland</v>
      </c>
      <c r="C200" s="10">
        <f>'A) Base RI'!C200+'A) Base RI'!D200</f>
        <v>31175423.690000001</v>
      </c>
      <c r="D200" s="10">
        <f>'A) Base RI'!AP200</f>
        <v>-741438.48</v>
      </c>
      <c r="E200" s="31">
        <f>'A) Base RI'!AQ200</f>
        <v>0</v>
      </c>
      <c r="F200" s="31">
        <f>'A) Base RI'!AR200</f>
        <v>-31504.61</v>
      </c>
      <c r="G200" s="412">
        <f t="shared" ref="G200:G263" si="18">SUM(C200:F200)</f>
        <v>30402480.600000001</v>
      </c>
      <c r="H200" s="10">
        <f>+'A) Base RI'!E200</f>
        <v>0</v>
      </c>
      <c r="I200" s="10">
        <f>+'A) Base RI'!F200</f>
        <v>0</v>
      </c>
      <c r="J200" s="10">
        <f>+'A) Base RI'!G200+'A) Base RI'!H200+'A) Base RI'!X200</f>
        <v>5289122.2</v>
      </c>
      <c r="K200" s="10">
        <f>+'A) Base RI'!I200</f>
        <v>1005528.55</v>
      </c>
      <c r="L200" s="10">
        <f>+'A) Base RI'!J200</f>
        <v>935166.45</v>
      </c>
      <c r="M200" s="10">
        <f>+'A) Base RI'!K200</f>
        <v>348409</v>
      </c>
      <c r="N200" s="10">
        <f>+'A) Base RI'!Q200</f>
        <v>166904.13</v>
      </c>
      <c r="O200" s="10">
        <f t="shared" ref="O200:O263" si="19">(P200/Q200)*1</f>
        <v>2792261.2</v>
      </c>
      <c r="P200" s="10">
        <f>+'A) Base RI'!L200</f>
        <v>2792261.2</v>
      </c>
      <c r="Q200" s="34">
        <f>'A) Base RI'!AS200</f>
        <v>1</v>
      </c>
      <c r="R200" s="412">
        <f t="shared" ref="R200:R263" si="20">SUM(G200:O200)</f>
        <v>40939872.13000001</v>
      </c>
      <c r="S200" s="33">
        <f>+'A) Base RI'!AN200</f>
        <v>62.5</v>
      </c>
      <c r="T200" s="412">
        <f t="shared" ref="T200:T263" si="21">(G200+H200+J200+K200+L200+N200)</f>
        <v>37799201.930000007</v>
      </c>
      <c r="U200" s="412">
        <f t="shared" ref="U200:U263" si="22">R200/S200</f>
        <v>655037.95408000017</v>
      </c>
      <c r="V200" s="10">
        <f>+'A) Base RI'!O200</f>
        <v>12172546.199999999</v>
      </c>
      <c r="W200" s="10">
        <f>+'A) Base RI'!P200</f>
        <v>1086692.25</v>
      </c>
      <c r="X200" s="10">
        <f>+'A) Base RI'!R200</f>
        <v>778082.6</v>
      </c>
      <c r="Y200" s="412">
        <f t="shared" ref="Y200:Y263" si="23">SUM(V200:X200)</f>
        <v>14037321.049999999</v>
      </c>
      <c r="Z200" s="10">
        <f>+'A) Base RI'!N200</f>
        <v>1685223</v>
      </c>
      <c r="AA200" s="10">
        <f>'A) Base RI'!AO200</f>
        <v>13194</v>
      </c>
    </row>
    <row r="201" spans="1:27" x14ac:dyDescent="0.25">
      <c r="A201" s="8">
        <f>'A) Base RI'!A201</f>
        <v>5722</v>
      </c>
      <c r="B201" s="32" t="str">
        <f>'A) Base RI'!B201</f>
        <v>Grens</v>
      </c>
      <c r="C201" s="10">
        <f>'A) Base RI'!C201+'A) Base RI'!D201</f>
        <v>1177653.79</v>
      </c>
      <c r="D201" s="10">
        <f>'A) Base RI'!AP201</f>
        <v>-363.9</v>
      </c>
      <c r="E201" s="31">
        <f>'A) Base RI'!AQ201</f>
        <v>0</v>
      </c>
      <c r="F201" s="31">
        <f>'A) Base RI'!AR201</f>
        <v>-831.89</v>
      </c>
      <c r="G201" s="412">
        <f t="shared" si="18"/>
        <v>1176458.0000000002</v>
      </c>
      <c r="H201" s="10">
        <f>+'A) Base RI'!E201</f>
        <v>0</v>
      </c>
      <c r="I201" s="10">
        <f>+'A) Base RI'!F201</f>
        <v>0</v>
      </c>
      <c r="J201" s="10">
        <f>+'A) Base RI'!G201+'A) Base RI'!H201+'A) Base RI'!X201</f>
        <v>169.19999999999982</v>
      </c>
      <c r="K201" s="10">
        <f>+'A) Base RI'!I201</f>
        <v>0</v>
      </c>
      <c r="L201" s="10">
        <f>+'A) Base RI'!J201</f>
        <v>-9356.33</v>
      </c>
      <c r="M201" s="10">
        <f>+'A) Base RI'!K201</f>
        <v>5654</v>
      </c>
      <c r="N201" s="10">
        <f>+'A) Base RI'!Q201</f>
        <v>0</v>
      </c>
      <c r="O201" s="10">
        <f t="shared" si="19"/>
        <v>86104.75</v>
      </c>
      <c r="P201" s="10">
        <f>+'A) Base RI'!L201</f>
        <v>86104.75</v>
      </c>
      <c r="Q201" s="34">
        <f>'A) Base RI'!AS201</f>
        <v>1</v>
      </c>
      <c r="R201" s="412">
        <f t="shared" si="20"/>
        <v>1259029.6200000001</v>
      </c>
      <c r="S201" s="33">
        <f>+'A) Base RI'!AN201</f>
        <v>62</v>
      </c>
      <c r="T201" s="412">
        <f t="shared" si="21"/>
        <v>1167270.8700000001</v>
      </c>
      <c r="U201" s="412">
        <f t="shared" si="22"/>
        <v>20306.92935483871</v>
      </c>
      <c r="V201" s="10">
        <f>+'A) Base RI'!O201</f>
        <v>0</v>
      </c>
      <c r="W201" s="10">
        <f>+'A) Base RI'!P201</f>
        <v>38005</v>
      </c>
      <c r="X201" s="10">
        <f>+'A) Base RI'!R201</f>
        <v>90937.05</v>
      </c>
      <c r="Y201" s="412">
        <f t="shared" si="23"/>
        <v>128942.05</v>
      </c>
      <c r="Z201" s="10">
        <f>+'A) Base RI'!N201</f>
        <v>14870.05</v>
      </c>
      <c r="AA201" s="10">
        <f>'A) Base RI'!AO201</f>
        <v>383</v>
      </c>
    </row>
    <row r="202" spans="1:27" x14ac:dyDescent="0.25">
      <c r="A202" s="8">
        <f>'A) Base RI'!A202</f>
        <v>5723</v>
      </c>
      <c r="B202" s="32" t="str">
        <f>'A) Base RI'!B202</f>
        <v>Mies</v>
      </c>
      <c r="C202" s="10">
        <f>'A) Base RI'!C202+'A) Base RI'!D202</f>
        <v>28716534.919999998</v>
      </c>
      <c r="D202" s="10">
        <f>'A) Base RI'!AP202</f>
        <v>-22965.83</v>
      </c>
      <c r="E202" s="31">
        <f>'A) Base RI'!AQ202</f>
        <v>0</v>
      </c>
      <c r="F202" s="31">
        <f>'A) Base RI'!AR202</f>
        <v>-65097.79</v>
      </c>
      <c r="G202" s="412">
        <f t="shared" si="18"/>
        <v>28628471.300000001</v>
      </c>
      <c r="H202" s="10">
        <f>+'A) Base RI'!E202</f>
        <v>0</v>
      </c>
      <c r="I202" s="10">
        <f>+'A) Base RI'!F202</f>
        <v>0</v>
      </c>
      <c r="J202" s="10">
        <f>+'A) Base RI'!G202+'A) Base RI'!H202+'A) Base RI'!X202</f>
        <v>134259.1</v>
      </c>
      <c r="K202" s="10">
        <f>+'A) Base RI'!I202</f>
        <v>591373.35</v>
      </c>
      <c r="L202" s="10">
        <f>+'A) Base RI'!J202</f>
        <v>96222.3</v>
      </c>
      <c r="M202" s="10">
        <f>+'A) Base RI'!K202</f>
        <v>40930.199999999997</v>
      </c>
      <c r="N202" s="10">
        <f>+'A) Base RI'!Q202</f>
        <v>11415.21</v>
      </c>
      <c r="O202" s="10">
        <f t="shared" si="19"/>
        <v>800321.1</v>
      </c>
      <c r="P202" s="10">
        <f>+'A) Base RI'!L202</f>
        <v>800321.1</v>
      </c>
      <c r="Q202" s="34">
        <f>'A) Base RI'!AS202</f>
        <v>1</v>
      </c>
      <c r="R202" s="412">
        <f t="shared" si="20"/>
        <v>30302992.560000006</v>
      </c>
      <c r="S202" s="33">
        <f>+'A) Base RI'!AN202</f>
        <v>53</v>
      </c>
      <c r="T202" s="412">
        <f t="shared" si="21"/>
        <v>29461741.260000005</v>
      </c>
      <c r="U202" s="412">
        <f t="shared" si="22"/>
        <v>571754.57660377375</v>
      </c>
      <c r="V202" s="10">
        <f>+'A) Base RI'!O202</f>
        <v>130922.2</v>
      </c>
      <c r="W202" s="10">
        <f>+'A) Base RI'!P202</f>
        <v>369625.9</v>
      </c>
      <c r="X202" s="10">
        <f>+'A) Base RI'!R202</f>
        <v>545046.69999999995</v>
      </c>
      <c r="Y202" s="412">
        <f t="shared" si="23"/>
        <v>1045594.8</v>
      </c>
      <c r="Z202" s="10">
        <f>+'A) Base RI'!N202</f>
        <v>100227.75</v>
      </c>
      <c r="AA202" s="10">
        <f>'A) Base RI'!AO202</f>
        <v>2116</v>
      </c>
    </row>
    <row r="203" spans="1:27" x14ac:dyDescent="0.25">
      <c r="A203" s="8">
        <f>'A) Base RI'!A203</f>
        <v>5724</v>
      </c>
      <c r="B203" s="32" t="str">
        <f>'A) Base RI'!B203</f>
        <v>Nyon</v>
      </c>
      <c r="C203" s="10">
        <f>'A) Base RI'!C203+'A) Base RI'!D203</f>
        <v>65052676.739999995</v>
      </c>
      <c r="D203" s="10">
        <f>'A) Base RI'!AP203</f>
        <v>-832000.88</v>
      </c>
      <c r="E203" s="31">
        <f>'A) Base RI'!AQ203</f>
        <v>0</v>
      </c>
      <c r="F203" s="31">
        <f>'A) Base RI'!AR203</f>
        <v>-1186988.81</v>
      </c>
      <c r="G203" s="412">
        <f t="shared" si="18"/>
        <v>63033687.04999999</v>
      </c>
      <c r="H203" s="10">
        <f>+'A) Base RI'!E203</f>
        <v>0</v>
      </c>
      <c r="I203" s="10">
        <f>+'A) Base RI'!F203</f>
        <v>0</v>
      </c>
      <c r="J203" s="10">
        <f>+'A) Base RI'!G203+'A) Base RI'!H203+'A) Base RI'!X203</f>
        <v>10475868.449999999</v>
      </c>
      <c r="K203" s="10">
        <f>+'A) Base RI'!I203</f>
        <v>3026565.87</v>
      </c>
      <c r="L203" s="10">
        <f>+'A) Base RI'!J203</f>
        <v>2950881.6</v>
      </c>
      <c r="M203" s="10">
        <f>+'A) Base RI'!K203</f>
        <v>795429</v>
      </c>
      <c r="N203" s="10">
        <f>+'A) Base RI'!Q203</f>
        <v>120393.85</v>
      </c>
      <c r="O203" s="10">
        <f t="shared" si="19"/>
        <v>5183007.192307692</v>
      </c>
      <c r="P203" s="10">
        <f>+'A) Base RI'!L203</f>
        <v>6737909.3499999996</v>
      </c>
      <c r="Q203" s="34">
        <f>'A) Base RI'!AS203</f>
        <v>1.3</v>
      </c>
      <c r="R203" s="412">
        <f t="shared" si="20"/>
        <v>85585833.012307674</v>
      </c>
      <c r="S203" s="33">
        <f>+'A) Base RI'!AN203</f>
        <v>61</v>
      </c>
      <c r="T203" s="412">
        <f t="shared" si="21"/>
        <v>79607396.819999978</v>
      </c>
      <c r="U203" s="412">
        <f t="shared" si="22"/>
        <v>1403046.442824716</v>
      </c>
      <c r="V203" s="10">
        <f>+'A) Base RI'!O203</f>
        <v>2897019.8</v>
      </c>
      <c r="W203" s="10">
        <f>+'A) Base RI'!P203</f>
        <v>2653985.7000000002</v>
      </c>
      <c r="X203" s="10">
        <f>+'A) Base RI'!R203</f>
        <v>2684995.65</v>
      </c>
      <c r="Y203" s="412">
        <f t="shared" si="23"/>
        <v>8236001.1500000004</v>
      </c>
      <c r="Z203" s="10">
        <f>+'A) Base RI'!N203</f>
        <v>4882546.7</v>
      </c>
      <c r="AA203" s="10">
        <f>'A) Base RI'!AO203</f>
        <v>21416</v>
      </c>
    </row>
    <row r="204" spans="1:27" x14ac:dyDescent="0.25">
      <c r="A204" s="8">
        <f>'A) Base RI'!A204</f>
        <v>5725</v>
      </c>
      <c r="B204" s="32" t="str">
        <f>'A) Base RI'!B204</f>
        <v>Prangins</v>
      </c>
      <c r="C204" s="10">
        <f>'A) Base RI'!C204+'A) Base RI'!D204</f>
        <v>15019852.700000001</v>
      </c>
      <c r="D204" s="10">
        <f>'A) Base RI'!AP204</f>
        <v>-161484.73000000001</v>
      </c>
      <c r="E204" s="31">
        <f>'A) Base RI'!AQ204</f>
        <v>0</v>
      </c>
      <c r="F204" s="31">
        <f>'A) Base RI'!AR204</f>
        <v>-93116.76</v>
      </c>
      <c r="G204" s="412">
        <f t="shared" si="18"/>
        <v>14765251.210000001</v>
      </c>
      <c r="H204" s="10">
        <f>+'A) Base RI'!E204</f>
        <v>0</v>
      </c>
      <c r="I204" s="10">
        <f>+'A) Base RI'!F204</f>
        <v>0</v>
      </c>
      <c r="J204" s="10">
        <f>+'A) Base RI'!G204+'A) Base RI'!H204+'A) Base RI'!X204</f>
        <v>2487837.7000000002</v>
      </c>
      <c r="K204" s="10">
        <f>+'A) Base RI'!I204</f>
        <v>245328.09</v>
      </c>
      <c r="L204" s="10">
        <f>+'A) Base RI'!J204</f>
        <v>177581.08</v>
      </c>
      <c r="M204" s="10">
        <f>+'A) Base RI'!K204</f>
        <v>71464.7</v>
      </c>
      <c r="N204" s="10">
        <f>+'A) Base RI'!Q204</f>
        <v>80651.56</v>
      </c>
      <c r="O204" s="10">
        <f t="shared" si="19"/>
        <v>1162392.892857143</v>
      </c>
      <c r="P204" s="10">
        <f>+'A) Base RI'!L204</f>
        <v>1627350.05</v>
      </c>
      <c r="Q204" s="34">
        <f>'A) Base RI'!AS204</f>
        <v>1.4</v>
      </c>
      <c r="R204" s="412">
        <f t="shared" si="20"/>
        <v>18990507.232857138</v>
      </c>
      <c r="S204" s="33">
        <f>+'A) Base RI'!AN204</f>
        <v>56</v>
      </c>
      <c r="T204" s="412">
        <f t="shared" si="21"/>
        <v>17756649.639999997</v>
      </c>
      <c r="U204" s="412">
        <f t="shared" si="22"/>
        <v>339116.20058673463</v>
      </c>
      <c r="V204" s="10">
        <f>+'A) Base RI'!O204</f>
        <v>25642.3</v>
      </c>
      <c r="W204" s="10">
        <f>+'A) Base RI'!P204</f>
        <v>1252365.75</v>
      </c>
      <c r="X204" s="10">
        <f>+'A) Base RI'!R204</f>
        <v>1337206.8999999999</v>
      </c>
      <c r="Y204" s="412">
        <f t="shared" si="23"/>
        <v>2615214.9500000002</v>
      </c>
      <c r="Z204" s="10">
        <f>+'A) Base RI'!N204</f>
        <v>1121038.45</v>
      </c>
      <c r="AA204" s="10">
        <f>'A) Base RI'!AO204</f>
        <v>4088</v>
      </c>
    </row>
    <row r="205" spans="1:27" x14ac:dyDescent="0.25">
      <c r="A205" s="8">
        <f>'A) Base RI'!A205</f>
        <v>5726</v>
      </c>
      <c r="B205" s="32" t="str">
        <f>'A) Base RI'!B205</f>
        <v>La Rippe</v>
      </c>
      <c r="C205" s="10">
        <f>'A) Base RI'!C205+'A) Base RI'!D205</f>
        <v>3710957.2600000002</v>
      </c>
      <c r="D205" s="10">
        <f>'A) Base RI'!AP205</f>
        <v>-21224.69</v>
      </c>
      <c r="E205" s="31">
        <f>'A) Base RI'!AQ205</f>
        <v>0</v>
      </c>
      <c r="F205" s="31">
        <f>'A) Base RI'!AR205</f>
        <v>-10530.72</v>
      </c>
      <c r="G205" s="412">
        <f t="shared" si="18"/>
        <v>3679201.85</v>
      </c>
      <c r="H205" s="10">
        <f>+'A) Base RI'!E205</f>
        <v>0</v>
      </c>
      <c r="I205" s="10">
        <f>+'A) Base RI'!F205</f>
        <v>0</v>
      </c>
      <c r="J205" s="10">
        <f>+'A) Base RI'!G205+'A) Base RI'!H205+'A) Base RI'!X205</f>
        <v>20098.900000000001</v>
      </c>
      <c r="K205" s="10">
        <f>+'A) Base RI'!I205</f>
        <v>0</v>
      </c>
      <c r="L205" s="10">
        <f>+'A) Base RI'!J205</f>
        <v>21972.47</v>
      </c>
      <c r="M205" s="10">
        <f>+'A) Base RI'!K205</f>
        <v>5667.15</v>
      </c>
      <c r="N205" s="10">
        <f>+'A) Base RI'!Q205</f>
        <v>2222.1999999999998</v>
      </c>
      <c r="O205" s="10">
        <f t="shared" si="19"/>
        <v>257062.25</v>
      </c>
      <c r="P205" s="10">
        <f>+'A) Base RI'!L205</f>
        <v>257062.25</v>
      </c>
      <c r="Q205" s="34">
        <f>'A) Base RI'!AS205</f>
        <v>1</v>
      </c>
      <c r="R205" s="412">
        <f t="shared" si="20"/>
        <v>3986224.8200000003</v>
      </c>
      <c r="S205" s="33">
        <f>+'A) Base RI'!AN205</f>
        <v>65</v>
      </c>
      <c r="T205" s="412">
        <f t="shared" si="21"/>
        <v>3723495.4200000004</v>
      </c>
      <c r="U205" s="412">
        <f t="shared" si="22"/>
        <v>61326.535692307698</v>
      </c>
      <c r="V205" s="10">
        <f>+'A) Base RI'!O205</f>
        <v>0</v>
      </c>
      <c r="W205" s="10">
        <f>+'A) Base RI'!P205</f>
        <v>161739.6</v>
      </c>
      <c r="X205" s="10">
        <f>+'A) Base RI'!R205</f>
        <v>78583.399999999994</v>
      </c>
      <c r="Y205" s="412">
        <f t="shared" si="23"/>
        <v>240323</v>
      </c>
      <c r="Z205" s="10">
        <f>+'A) Base RI'!N205</f>
        <v>43623.199999999997</v>
      </c>
      <c r="AA205" s="10">
        <f>'A) Base RI'!AO205</f>
        <v>1136</v>
      </c>
    </row>
    <row r="206" spans="1:27" x14ac:dyDescent="0.25">
      <c r="A206" s="8">
        <f>'A) Base RI'!A206</f>
        <v>5727</v>
      </c>
      <c r="B206" s="32" t="str">
        <f>'A) Base RI'!B206</f>
        <v>Saint-Cergue</v>
      </c>
      <c r="C206" s="10">
        <f>'A) Base RI'!C206+'A) Base RI'!D206</f>
        <v>5747146.0899999999</v>
      </c>
      <c r="D206" s="10">
        <f>'A) Base RI'!AP206</f>
        <v>-234703.66</v>
      </c>
      <c r="E206" s="31">
        <f>'A) Base RI'!AQ206</f>
        <v>0</v>
      </c>
      <c r="F206" s="31">
        <f>'A) Base RI'!AR206</f>
        <v>-1303.1099999999999</v>
      </c>
      <c r="G206" s="412">
        <f t="shared" si="18"/>
        <v>5511139.3199999994</v>
      </c>
      <c r="H206" s="10">
        <f>+'A) Base RI'!E206</f>
        <v>0</v>
      </c>
      <c r="I206" s="10">
        <f>+'A) Base RI'!F206</f>
        <v>0</v>
      </c>
      <c r="J206" s="10">
        <f>+'A) Base RI'!G206+'A) Base RI'!H206+'A) Base RI'!X206</f>
        <v>76157.049999999988</v>
      </c>
      <c r="K206" s="10">
        <f>+'A) Base RI'!I206</f>
        <v>116097.25</v>
      </c>
      <c r="L206" s="10">
        <f>+'A) Base RI'!J206</f>
        <v>91225.66</v>
      </c>
      <c r="M206" s="10">
        <f>+'A) Base RI'!K206</f>
        <v>10059.15</v>
      </c>
      <c r="N206" s="10">
        <f>+'A) Base RI'!Q206</f>
        <v>28318.5</v>
      </c>
      <c r="O206" s="10">
        <f t="shared" si="19"/>
        <v>511265.66666666669</v>
      </c>
      <c r="P206" s="10">
        <f>+'A) Base RI'!L206</f>
        <v>766898.5</v>
      </c>
      <c r="Q206" s="34">
        <f>'A) Base RI'!AS206</f>
        <v>1.5</v>
      </c>
      <c r="R206" s="412">
        <f t="shared" si="20"/>
        <v>6344262.5966666667</v>
      </c>
      <c r="S206" s="33">
        <f>+'A) Base RI'!AN206</f>
        <v>66</v>
      </c>
      <c r="T206" s="412">
        <f t="shared" si="21"/>
        <v>5822937.7799999993</v>
      </c>
      <c r="U206" s="412">
        <f t="shared" si="22"/>
        <v>96125.190858585862</v>
      </c>
      <c r="V206" s="10">
        <f>+'A) Base RI'!O206</f>
        <v>25357.7</v>
      </c>
      <c r="W206" s="10">
        <f>+'A) Base RI'!P206</f>
        <v>443308.5</v>
      </c>
      <c r="X206" s="10">
        <f>+'A) Base RI'!R206</f>
        <v>179725.75</v>
      </c>
      <c r="Y206" s="412">
        <f t="shared" si="23"/>
        <v>648391.94999999995</v>
      </c>
      <c r="Z206" s="10">
        <f>+'A) Base RI'!N206</f>
        <v>158797.79999999999</v>
      </c>
      <c r="AA206" s="10">
        <f>'A) Base RI'!AO206</f>
        <v>2603</v>
      </c>
    </row>
    <row r="207" spans="1:27" x14ac:dyDescent="0.25">
      <c r="A207" s="8">
        <f>'A) Base RI'!A207</f>
        <v>5728</v>
      </c>
      <c r="B207" s="32" t="str">
        <f>'A) Base RI'!B207</f>
        <v>Signy-Avenex</v>
      </c>
      <c r="C207" s="10">
        <f>'A) Base RI'!C207+'A) Base RI'!D207</f>
        <v>1629698.9</v>
      </c>
      <c r="D207" s="10">
        <f>'A) Base RI'!AP207</f>
        <v>-4838.91</v>
      </c>
      <c r="E207" s="31">
        <f>'A) Base RI'!AQ207</f>
        <v>0</v>
      </c>
      <c r="F207" s="31">
        <f>'A) Base RI'!AR207</f>
        <v>-1784.33</v>
      </c>
      <c r="G207" s="412">
        <f t="shared" si="18"/>
        <v>1623075.66</v>
      </c>
      <c r="H207" s="10">
        <f>+'A) Base RI'!E207</f>
        <v>0</v>
      </c>
      <c r="I207" s="10">
        <f>+'A) Base RI'!F207</f>
        <v>0</v>
      </c>
      <c r="J207" s="10">
        <f>+'A) Base RI'!G207+'A) Base RI'!H207+'A) Base RI'!X207</f>
        <v>510664.35</v>
      </c>
      <c r="K207" s="10">
        <f>+'A) Base RI'!I207</f>
        <v>28169.15</v>
      </c>
      <c r="L207" s="10">
        <f>+'A) Base RI'!J207</f>
        <v>66834.240000000005</v>
      </c>
      <c r="M207" s="10">
        <f>+'A) Base RI'!K207</f>
        <v>50858.95</v>
      </c>
      <c r="N207" s="10">
        <f>+'A) Base RI'!Q207</f>
        <v>2879.79</v>
      </c>
      <c r="O207" s="10">
        <f t="shared" si="19"/>
        <v>218789.9</v>
      </c>
      <c r="P207" s="10">
        <f>+'A) Base RI'!L207</f>
        <v>218789.9</v>
      </c>
      <c r="Q207" s="34">
        <f>'A) Base RI'!AS207</f>
        <v>1</v>
      </c>
      <c r="R207" s="412">
        <f t="shared" si="20"/>
        <v>2501272.04</v>
      </c>
      <c r="S207" s="33">
        <f>+'A) Base RI'!AN207</f>
        <v>58</v>
      </c>
      <c r="T207" s="412">
        <f t="shared" si="21"/>
        <v>2231623.19</v>
      </c>
      <c r="U207" s="412">
        <f t="shared" si="22"/>
        <v>43125.38</v>
      </c>
      <c r="V207" s="10">
        <f>+'A) Base RI'!O207</f>
        <v>0</v>
      </c>
      <c r="W207" s="10">
        <f>+'A) Base RI'!P207</f>
        <v>53415.6</v>
      </c>
      <c r="X207" s="10">
        <f>+'A) Base RI'!R207</f>
        <v>36772.9</v>
      </c>
      <c r="Y207" s="412">
        <f t="shared" si="23"/>
        <v>90188.5</v>
      </c>
      <c r="Z207" s="10">
        <f>+'A) Base RI'!N207</f>
        <v>207284.05</v>
      </c>
      <c r="AA207" s="10">
        <f>'A) Base RI'!AO207</f>
        <v>586</v>
      </c>
    </row>
    <row r="208" spans="1:27" x14ac:dyDescent="0.25">
      <c r="A208" s="8">
        <f>'A) Base RI'!A208</f>
        <v>5729</v>
      </c>
      <c r="B208" s="32" t="str">
        <f>'A) Base RI'!B208</f>
        <v>Tannay</v>
      </c>
      <c r="C208" s="10">
        <f>'A) Base RI'!C208+'A) Base RI'!D208</f>
        <v>9582144.8399999999</v>
      </c>
      <c r="D208" s="10">
        <f>'A) Base RI'!AP208</f>
        <v>-55924.56</v>
      </c>
      <c r="E208" s="31">
        <f>'A) Base RI'!AQ208</f>
        <v>0</v>
      </c>
      <c r="F208" s="31">
        <f>'A) Base RI'!AR208</f>
        <v>-25477.88</v>
      </c>
      <c r="G208" s="412">
        <f t="shared" si="18"/>
        <v>9500742.3999999985</v>
      </c>
      <c r="H208" s="10">
        <f>+'A) Base RI'!E208</f>
        <v>0</v>
      </c>
      <c r="I208" s="10">
        <f>+'A) Base RI'!F208</f>
        <v>0</v>
      </c>
      <c r="J208" s="10">
        <f>+'A) Base RI'!G208+'A) Base RI'!H208+'A) Base RI'!X208</f>
        <v>546278.40000000002</v>
      </c>
      <c r="K208" s="10">
        <f>+'A) Base RI'!I208</f>
        <v>145551.9</v>
      </c>
      <c r="L208" s="10">
        <f>+'A) Base RI'!J208</f>
        <v>37140.22</v>
      </c>
      <c r="M208" s="10">
        <f>+'A) Base RI'!K208</f>
        <v>4914.5</v>
      </c>
      <c r="N208" s="10">
        <f>+'A) Base RI'!Q208</f>
        <v>1404.43</v>
      </c>
      <c r="O208" s="10">
        <f t="shared" si="19"/>
        <v>554392.46666666667</v>
      </c>
      <c r="P208" s="10">
        <f>+'A) Base RI'!L208</f>
        <v>831588.7</v>
      </c>
      <c r="Q208" s="34">
        <f>'A) Base RI'!AS208</f>
        <v>1.5</v>
      </c>
      <c r="R208" s="412">
        <f t="shared" si="20"/>
        <v>10790424.316666666</v>
      </c>
      <c r="S208" s="33">
        <f>+'A) Base RI'!AN208</f>
        <v>61</v>
      </c>
      <c r="T208" s="412">
        <f t="shared" si="21"/>
        <v>10231117.35</v>
      </c>
      <c r="U208" s="412">
        <f t="shared" si="22"/>
        <v>176892.2019125683</v>
      </c>
      <c r="V208" s="10">
        <f>+'A) Base RI'!O208</f>
        <v>12157</v>
      </c>
      <c r="W208" s="10">
        <f>+'A) Base RI'!P208</f>
        <v>560232.55000000005</v>
      </c>
      <c r="X208" s="10">
        <f>+'A) Base RI'!R208</f>
        <v>377963.25</v>
      </c>
      <c r="Y208" s="412">
        <f t="shared" si="23"/>
        <v>950352.8</v>
      </c>
      <c r="Z208" s="10">
        <f>+'A) Base RI'!N208</f>
        <v>8148.6</v>
      </c>
      <c r="AA208" s="10">
        <f>'A) Base RI'!AO208</f>
        <v>1600</v>
      </c>
    </row>
    <row r="209" spans="1:27" x14ac:dyDescent="0.25">
      <c r="A209" s="8">
        <f>'A) Base RI'!A209</f>
        <v>5730</v>
      </c>
      <c r="B209" s="32" t="str">
        <f>'A) Base RI'!B209</f>
        <v>Trélex</v>
      </c>
      <c r="C209" s="10">
        <f>'A) Base RI'!C209+'A) Base RI'!D209</f>
        <v>7252490.8000000007</v>
      </c>
      <c r="D209" s="10">
        <f>'A) Base RI'!AP209</f>
        <v>-100825.03</v>
      </c>
      <c r="E209" s="31">
        <f>'A) Base RI'!AQ209</f>
        <v>0</v>
      </c>
      <c r="F209" s="31">
        <f>'A) Base RI'!AR209</f>
        <v>-100409.53</v>
      </c>
      <c r="G209" s="412">
        <f t="shared" si="18"/>
        <v>7051256.2400000002</v>
      </c>
      <c r="H209" s="10">
        <f>+'A) Base RI'!E209</f>
        <v>0</v>
      </c>
      <c r="I209" s="10">
        <f>+'A) Base RI'!F209</f>
        <v>0</v>
      </c>
      <c r="J209" s="10">
        <f>+'A) Base RI'!G209+'A) Base RI'!H209+'A) Base RI'!X209</f>
        <v>29512.400000000001</v>
      </c>
      <c r="K209" s="10">
        <f>+'A) Base RI'!I209</f>
        <v>68556.05</v>
      </c>
      <c r="L209" s="10">
        <f>+'A) Base RI'!J209</f>
        <v>49267.199999999997</v>
      </c>
      <c r="M209" s="10">
        <f>+'A) Base RI'!K209</f>
        <v>5000.7</v>
      </c>
      <c r="N209" s="10">
        <f>+'A) Base RI'!Q209</f>
        <v>42579.76</v>
      </c>
      <c r="O209" s="10">
        <f t="shared" si="19"/>
        <v>419316.44444444444</v>
      </c>
      <c r="P209" s="10">
        <f>+'A) Base RI'!L209</f>
        <v>377384.8</v>
      </c>
      <c r="Q209" s="34">
        <f>'A) Base RI'!AS209</f>
        <v>0.9</v>
      </c>
      <c r="R209" s="412">
        <f t="shared" si="20"/>
        <v>7665488.7944444446</v>
      </c>
      <c r="S209" s="33">
        <f>+'A) Base RI'!AN209</f>
        <v>57</v>
      </c>
      <c r="T209" s="412">
        <f t="shared" si="21"/>
        <v>7241171.6500000004</v>
      </c>
      <c r="U209" s="412">
        <f t="shared" si="22"/>
        <v>134482.25955165693</v>
      </c>
      <c r="V209" s="10">
        <f>+'A) Base RI'!O209</f>
        <v>221.9</v>
      </c>
      <c r="W209" s="10">
        <f>+'A) Base RI'!P209</f>
        <v>315881.5</v>
      </c>
      <c r="X209" s="10">
        <f>+'A) Base RI'!R209</f>
        <v>204150</v>
      </c>
      <c r="Y209" s="412">
        <f t="shared" si="23"/>
        <v>520253.4</v>
      </c>
      <c r="Z209" s="10">
        <f>+'A) Base RI'!N209</f>
        <v>9246.0499999999993</v>
      </c>
      <c r="AA209" s="10">
        <f>'A) Base RI'!AO209</f>
        <v>1434</v>
      </c>
    </row>
    <row r="210" spans="1:27" x14ac:dyDescent="0.25">
      <c r="A210" s="8">
        <f>'A) Base RI'!A210</f>
        <v>5731</v>
      </c>
      <c r="B210" s="32" t="str">
        <f>'A) Base RI'!B210</f>
        <v>Le Vaud</v>
      </c>
      <c r="C210" s="10">
        <f>'A) Base RI'!C210+'A) Base RI'!D210</f>
        <v>4363007.0199999996</v>
      </c>
      <c r="D210" s="10">
        <f>'A) Base RI'!AP210</f>
        <v>-64816.57</v>
      </c>
      <c r="E210" s="31">
        <f>'A) Base RI'!AQ210</f>
        <v>0</v>
      </c>
      <c r="F210" s="31">
        <f>'A) Base RI'!AR210</f>
        <v>-528.07000000000005</v>
      </c>
      <c r="G210" s="412">
        <f t="shared" si="18"/>
        <v>4297662.379999999</v>
      </c>
      <c r="H210" s="10">
        <f>+'A) Base RI'!E210</f>
        <v>0</v>
      </c>
      <c r="I210" s="10">
        <f>+'A) Base RI'!F210</f>
        <v>0</v>
      </c>
      <c r="J210" s="10">
        <f>+'A) Base RI'!G210+'A) Base RI'!H210+'A) Base RI'!X210</f>
        <v>32146.2</v>
      </c>
      <c r="K210" s="10">
        <f>+'A) Base RI'!I210</f>
        <v>0</v>
      </c>
      <c r="L210" s="10">
        <f>+'A) Base RI'!J210</f>
        <v>44706.05</v>
      </c>
      <c r="M210" s="10">
        <f>+'A) Base RI'!K210</f>
        <v>4190.5</v>
      </c>
      <c r="N210" s="10">
        <f>+'A) Base RI'!Q210</f>
        <v>3324.37</v>
      </c>
      <c r="O210" s="10">
        <f t="shared" si="19"/>
        <v>263777.2</v>
      </c>
      <c r="P210" s="10">
        <f>+'A) Base RI'!L210</f>
        <v>395665.8</v>
      </c>
      <c r="Q210" s="34">
        <f>'A) Base RI'!AS210</f>
        <v>1.5</v>
      </c>
      <c r="R210" s="412">
        <f t="shared" si="20"/>
        <v>4645806.6999999993</v>
      </c>
      <c r="S210" s="33">
        <f>+'A) Base RI'!AN210</f>
        <v>75</v>
      </c>
      <c r="T210" s="412">
        <f t="shared" si="21"/>
        <v>4377838.9999999991</v>
      </c>
      <c r="U210" s="412">
        <f t="shared" si="22"/>
        <v>61944.089333333322</v>
      </c>
      <c r="V210" s="10">
        <f>+'A) Base RI'!O210</f>
        <v>426957.4</v>
      </c>
      <c r="W210" s="10">
        <f>+'A) Base RI'!P210</f>
        <v>170662.15</v>
      </c>
      <c r="X210" s="10">
        <f>+'A) Base RI'!R210</f>
        <v>122454.25</v>
      </c>
      <c r="Y210" s="412">
        <f t="shared" si="23"/>
        <v>720073.8</v>
      </c>
      <c r="Z210" s="10">
        <f>+'A) Base RI'!N210</f>
        <v>36501.300000000003</v>
      </c>
      <c r="AA210" s="10">
        <f>'A) Base RI'!AO210</f>
        <v>1362</v>
      </c>
    </row>
    <row r="211" spans="1:27" x14ac:dyDescent="0.25">
      <c r="A211" s="8">
        <f>'A) Base RI'!A211</f>
        <v>5732</v>
      </c>
      <c r="B211" s="32" t="str">
        <f>'A) Base RI'!B211</f>
        <v>Vich</v>
      </c>
      <c r="C211" s="10">
        <f>'A) Base RI'!C211+'A) Base RI'!D211</f>
        <v>3562331.32</v>
      </c>
      <c r="D211" s="10">
        <f>'A) Base RI'!AP211</f>
        <v>-96968.61</v>
      </c>
      <c r="E211" s="31">
        <f>'A) Base RI'!AQ211</f>
        <v>0</v>
      </c>
      <c r="F211" s="31">
        <f>'A) Base RI'!AR211</f>
        <v>-7152.81</v>
      </c>
      <c r="G211" s="412">
        <f t="shared" si="18"/>
        <v>3458209.9</v>
      </c>
      <c r="H211" s="10">
        <f>+'A) Base RI'!E211</f>
        <v>0</v>
      </c>
      <c r="I211" s="10">
        <f>+'A) Base RI'!F211</f>
        <v>0</v>
      </c>
      <c r="J211" s="10">
        <f>+'A) Base RI'!G211+'A) Base RI'!H211+'A) Base RI'!X211</f>
        <v>-68639.350000000006</v>
      </c>
      <c r="K211" s="10">
        <f>+'A) Base RI'!I211</f>
        <v>392553.95</v>
      </c>
      <c r="L211" s="10">
        <f>+'A) Base RI'!J211</f>
        <v>55985.18</v>
      </c>
      <c r="M211" s="10">
        <f>+'A) Base RI'!K211</f>
        <v>15660.35</v>
      </c>
      <c r="N211" s="10">
        <f>+'A) Base RI'!Q211</f>
        <v>3748.62</v>
      </c>
      <c r="O211" s="10">
        <f t="shared" si="19"/>
        <v>365980.3</v>
      </c>
      <c r="P211" s="10">
        <f>+'A) Base RI'!L211</f>
        <v>365980.3</v>
      </c>
      <c r="Q211" s="34">
        <f>'A) Base RI'!AS211</f>
        <v>1</v>
      </c>
      <c r="R211" s="412">
        <f t="shared" si="20"/>
        <v>4223498.95</v>
      </c>
      <c r="S211" s="33">
        <f>+'A) Base RI'!AN211</f>
        <v>66</v>
      </c>
      <c r="T211" s="412">
        <f t="shared" si="21"/>
        <v>3841858.3000000003</v>
      </c>
      <c r="U211" s="412">
        <f t="shared" si="22"/>
        <v>63992.408333333333</v>
      </c>
      <c r="V211" s="10">
        <f>+'A) Base RI'!O211</f>
        <v>0</v>
      </c>
      <c r="W211" s="10">
        <f>+'A) Base RI'!P211</f>
        <v>71467</v>
      </c>
      <c r="X211" s="10">
        <f>+'A) Base RI'!R211</f>
        <v>293405.75</v>
      </c>
      <c r="Y211" s="412">
        <f t="shared" si="23"/>
        <v>364872.75</v>
      </c>
      <c r="Z211" s="10">
        <f>+'A) Base RI'!N211</f>
        <v>81769.7</v>
      </c>
      <c r="AA211" s="10">
        <f>'A) Base RI'!AO211</f>
        <v>1083</v>
      </c>
    </row>
    <row r="212" spans="1:27" x14ac:dyDescent="0.25">
      <c r="A212" s="8">
        <f>'A) Base RI'!A212</f>
        <v>5741</v>
      </c>
      <c r="B212" s="32" t="str">
        <f>'A) Base RI'!B212</f>
        <v>L'Abergement</v>
      </c>
      <c r="C212" s="10">
        <f>'A) Base RI'!C212+'A) Base RI'!D212</f>
        <v>536422.25</v>
      </c>
      <c r="D212" s="10">
        <f>'A) Base RI'!AP212</f>
        <v>-7718</v>
      </c>
      <c r="E212" s="31">
        <f>'A) Base RI'!AQ212</f>
        <v>0</v>
      </c>
      <c r="F212" s="31">
        <f>'A) Base RI'!AR212</f>
        <v>-7.0000000000000007E-2</v>
      </c>
      <c r="G212" s="412">
        <f t="shared" si="18"/>
        <v>528704.18000000005</v>
      </c>
      <c r="H212" s="10">
        <f>+'A) Base RI'!E212</f>
        <v>0</v>
      </c>
      <c r="I212" s="10">
        <f>+'A) Base RI'!F212</f>
        <v>1480</v>
      </c>
      <c r="J212" s="10">
        <f>+'A) Base RI'!G212+'A) Base RI'!H212+'A) Base RI'!X212</f>
        <v>7869.5999999999995</v>
      </c>
      <c r="K212" s="10">
        <f>+'A) Base RI'!I212</f>
        <v>0</v>
      </c>
      <c r="L212" s="10">
        <f>+'A) Base RI'!J212</f>
        <v>2049.08</v>
      </c>
      <c r="M212" s="10">
        <f>+'A) Base RI'!K212</f>
        <v>0</v>
      </c>
      <c r="N212" s="10">
        <f>+'A) Base RI'!Q212</f>
        <v>0</v>
      </c>
      <c r="O212" s="10">
        <f t="shared" si="19"/>
        <v>38590</v>
      </c>
      <c r="P212" s="10">
        <f>+'A) Base RI'!L212</f>
        <v>46308</v>
      </c>
      <c r="Q212" s="34">
        <f>'A) Base RI'!AS212</f>
        <v>1.2</v>
      </c>
      <c r="R212" s="412">
        <f t="shared" si="20"/>
        <v>578692.86</v>
      </c>
      <c r="S212" s="33">
        <f>+'A) Base RI'!AN212</f>
        <v>81</v>
      </c>
      <c r="T212" s="412">
        <f t="shared" si="21"/>
        <v>538622.86</v>
      </c>
      <c r="U212" s="412">
        <f t="shared" si="22"/>
        <v>7144.356296296296</v>
      </c>
      <c r="V212" s="10">
        <f>+'A) Base RI'!O212</f>
        <v>0</v>
      </c>
      <c r="W212" s="10">
        <f>+'A) Base RI'!P212</f>
        <v>17160</v>
      </c>
      <c r="X212" s="10">
        <f>+'A) Base RI'!R212</f>
        <v>17949.900000000001</v>
      </c>
      <c r="Y212" s="412">
        <f t="shared" si="23"/>
        <v>35109.9</v>
      </c>
      <c r="Z212" s="10">
        <f>+'A) Base RI'!N212</f>
        <v>21051.95</v>
      </c>
      <c r="AA212" s="10">
        <f>'A) Base RI'!AO212</f>
        <v>244</v>
      </c>
    </row>
    <row r="213" spans="1:27" x14ac:dyDescent="0.25">
      <c r="A213" s="8">
        <f>'A) Base RI'!A213</f>
        <v>5742</v>
      </c>
      <c r="B213" s="32" t="str">
        <f>'A) Base RI'!B213</f>
        <v>Agiez</v>
      </c>
      <c r="C213" s="10">
        <f>'A) Base RI'!C213+'A) Base RI'!D213</f>
        <v>608918.17000000004</v>
      </c>
      <c r="D213" s="10">
        <f>'A) Base RI'!AP213</f>
        <v>-17619.240000000002</v>
      </c>
      <c r="E213" s="31">
        <f>'A) Base RI'!AQ213</f>
        <v>0</v>
      </c>
      <c r="F213" s="31">
        <f>'A) Base RI'!AR213</f>
        <v>0</v>
      </c>
      <c r="G213" s="412">
        <f t="shared" si="18"/>
        <v>591298.93000000005</v>
      </c>
      <c r="H213" s="10">
        <f>+'A) Base RI'!E213</f>
        <v>0</v>
      </c>
      <c r="I213" s="10">
        <f>+'A) Base RI'!F213</f>
        <v>0</v>
      </c>
      <c r="J213" s="10">
        <f>+'A) Base RI'!G213+'A) Base RI'!H213+'A) Base RI'!X213</f>
        <v>10229.400000000001</v>
      </c>
      <c r="K213" s="10">
        <f>+'A) Base RI'!I213</f>
        <v>0</v>
      </c>
      <c r="L213" s="10">
        <f>+'A) Base RI'!J213</f>
        <v>31129.64</v>
      </c>
      <c r="M213" s="10">
        <f>+'A) Base RI'!K213</f>
        <v>798.3</v>
      </c>
      <c r="N213" s="10">
        <f>+'A) Base RI'!Q213</f>
        <v>0</v>
      </c>
      <c r="O213" s="10">
        <f t="shared" si="19"/>
        <v>52334.6</v>
      </c>
      <c r="P213" s="10">
        <f>+'A) Base RI'!L213</f>
        <v>26167.3</v>
      </c>
      <c r="Q213" s="34">
        <f>'A) Base RI'!AS213</f>
        <v>0.5</v>
      </c>
      <c r="R213" s="412">
        <f t="shared" si="20"/>
        <v>685790.87000000011</v>
      </c>
      <c r="S213" s="33">
        <f>+'A) Base RI'!AN213</f>
        <v>76</v>
      </c>
      <c r="T213" s="412">
        <f t="shared" si="21"/>
        <v>632657.97000000009</v>
      </c>
      <c r="U213" s="412">
        <f t="shared" si="22"/>
        <v>9023.5640789473691</v>
      </c>
      <c r="V213" s="10">
        <f>+'A) Base RI'!O213</f>
        <v>0</v>
      </c>
      <c r="W213" s="10">
        <f>+'A) Base RI'!P213</f>
        <v>49908.25</v>
      </c>
      <c r="X213" s="10">
        <f>+'A) Base RI'!R213</f>
        <v>17004.599999999999</v>
      </c>
      <c r="Y213" s="412">
        <f t="shared" si="23"/>
        <v>66912.850000000006</v>
      </c>
      <c r="Z213" s="10">
        <f>+'A) Base RI'!N213</f>
        <v>0</v>
      </c>
      <c r="AA213" s="10">
        <f>'A) Base RI'!AO213</f>
        <v>354</v>
      </c>
    </row>
    <row r="214" spans="1:27" x14ac:dyDescent="0.25">
      <c r="A214" s="8">
        <f>'A) Base RI'!A214</f>
        <v>5743</v>
      </c>
      <c r="B214" s="32" t="str">
        <f>'A) Base RI'!B214</f>
        <v>Arnex-sur-Orbe</v>
      </c>
      <c r="C214" s="10">
        <f>'A) Base RI'!C214+'A) Base RI'!D214</f>
        <v>1292967.47</v>
      </c>
      <c r="D214" s="10">
        <f>'A) Base RI'!AP214</f>
        <v>-4378.76</v>
      </c>
      <c r="E214" s="31">
        <f>'A) Base RI'!AQ214</f>
        <v>0</v>
      </c>
      <c r="F214" s="31">
        <f>'A) Base RI'!AR214</f>
        <v>-284.19</v>
      </c>
      <c r="G214" s="412">
        <f t="shared" si="18"/>
        <v>1288304.52</v>
      </c>
      <c r="H214" s="10">
        <f>+'A) Base RI'!E214</f>
        <v>0</v>
      </c>
      <c r="I214" s="10">
        <f>+'A) Base RI'!F214</f>
        <v>0</v>
      </c>
      <c r="J214" s="10">
        <f>+'A) Base RI'!G214+'A) Base RI'!H214+'A) Base RI'!X214</f>
        <v>7887.1</v>
      </c>
      <c r="K214" s="10">
        <f>+'A) Base RI'!I214</f>
        <v>0</v>
      </c>
      <c r="L214" s="10">
        <f>+'A) Base RI'!J214</f>
        <v>3711.66</v>
      </c>
      <c r="M214" s="10">
        <f>+'A) Base RI'!K214</f>
        <v>0</v>
      </c>
      <c r="N214" s="10">
        <f>+'A) Base RI'!Q214</f>
        <v>2130.6999999999998</v>
      </c>
      <c r="O214" s="10">
        <f t="shared" si="19"/>
        <v>85670.0625</v>
      </c>
      <c r="P214" s="10">
        <f>+'A) Base RI'!L214</f>
        <v>68536.05</v>
      </c>
      <c r="Q214" s="34">
        <f>'A) Base RI'!AS214</f>
        <v>0.8</v>
      </c>
      <c r="R214" s="412">
        <f t="shared" si="20"/>
        <v>1387704.0425</v>
      </c>
      <c r="S214" s="33">
        <f>+'A) Base RI'!AN214</f>
        <v>73</v>
      </c>
      <c r="T214" s="412">
        <f t="shared" si="21"/>
        <v>1302033.98</v>
      </c>
      <c r="U214" s="412">
        <f t="shared" si="22"/>
        <v>19009.64441780822</v>
      </c>
      <c r="V214" s="10">
        <f>+'A) Base RI'!O214</f>
        <v>143911.6</v>
      </c>
      <c r="W214" s="10">
        <f>+'A) Base RI'!P214</f>
        <v>31227.9</v>
      </c>
      <c r="X214" s="10">
        <f>+'A) Base RI'!R214</f>
        <v>25402.85</v>
      </c>
      <c r="Y214" s="412">
        <f t="shared" si="23"/>
        <v>200542.35</v>
      </c>
      <c r="Z214" s="10">
        <f>+'A) Base RI'!N214</f>
        <v>28664.35</v>
      </c>
      <c r="AA214" s="10">
        <f>'A) Base RI'!AO214</f>
        <v>633</v>
      </c>
    </row>
    <row r="215" spans="1:27" x14ac:dyDescent="0.25">
      <c r="A215" s="8">
        <f>'A) Base RI'!A215</f>
        <v>5744</v>
      </c>
      <c r="B215" s="32" t="str">
        <f>'A) Base RI'!B215</f>
        <v>Ballaigues</v>
      </c>
      <c r="C215" s="10">
        <f>'A) Base RI'!C215+'A) Base RI'!D215</f>
        <v>1517822.26</v>
      </c>
      <c r="D215" s="10">
        <f>'A) Base RI'!AP215</f>
        <v>-33141.129999999997</v>
      </c>
      <c r="E215" s="31">
        <f>'A) Base RI'!AQ215</f>
        <v>0</v>
      </c>
      <c r="F215" s="31">
        <f>'A) Base RI'!AR215</f>
        <v>-2056.0500000000002</v>
      </c>
      <c r="G215" s="412">
        <f t="shared" si="18"/>
        <v>1482625.08</v>
      </c>
      <c r="H215" s="10">
        <f>+'A) Base RI'!E215</f>
        <v>0</v>
      </c>
      <c r="I215" s="10">
        <f>+'A) Base RI'!F215</f>
        <v>6290</v>
      </c>
      <c r="J215" s="10">
        <f>+'A) Base RI'!G215+'A) Base RI'!H215+'A) Base RI'!X215</f>
        <v>2439529.0500000003</v>
      </c>
      <c r="K215" s="10">
        <f>+'A) Base RI'!I215</f>
        <v>0</v>
      </c>
      <c r="L215" s="10">
        <f>+'A) Base RI'!J215</f>
        <v>76190.789999999994</v>
      </c>
      <c r="M215" s="10">
        <f>+'A) Base RI'!K215</f>
        <v>0</v>
      </c>
      <c r="N215" s="10">
        <f>+'A) Base RI'!Q215</f>
        <v>9578.92</v>
      </c>
      <c r="O215" s="10">
        <f t="shared" si="19"/>
        <v>173957.15</v>
      </c>
      <c r="P215" s="10">
        <f>+'A) Base RI'!L215</f>
        <v>173957.15</v>
      </c>
      <c r="Q215" s="34">
        <f>'A) Base RI'!AS215</f>
        <v>1</v>
      </c>
      <c r="R215" s="412">
        <f t="shared" si="20"/>
        <v>4188170.99</v>
      </c>
      <c r="S215" s="33">
        <f>+'A) Base RI'!AN215</f>
        <v>66</v>
      </c>
      <c r="T215" s="412">
        <f t="shared" si="21"/>
        <v>4007923.8400000003</v>
      </c>
      <c r="U215" s="412">
        <f t="shared" si="22"/>
        <v>63457.136212121215</v>
      </c>
      <c r="V215" s="10">
        <f>+'A) Base RI'!O215</f>
        <v>57070.8</v>
      </c>
      <c r="W215" s="10">
        <f>+'A) Base RI'!P215</f>
        <v>60399.9</v>
      </c>
      <c r="X215" s="10">
        <f>+'A) Base RI'!R215</f>
        <v>25503.8</v>
      </c>
      <c r="Y215" s="412">
        <f t="shared" si="23"/>
        <v>142974.5</v>
      </c>
      <c r="Z215" s="10">
        <f>+'A) Base RI'!N215</f>
        <v>1627852.05</v>
      </c>
      <c r="AA215" s="10">
        <f>'A) Base RI'!AO215</f>
        <v>1108</v>
      </c>
    </row>
    <row r="216" spans="1:27" x14ac:dyDescent="0.25">
      <c r="A216" s="8">
        <f>'A) Base RI'!A216</f>
        <v>5745</v>
      </c>
      <c r="B216" s="32" t="str">
        <f>'A) Base RI'!B216</f>
        <v>Baulmes</v>
      </c>
      <c r="C216" s="10">
        <f>'A) Base RI'!C216+'A) Base RI'!D216</f>
        <v>1931719.7400000002</v>
      </c>
      <c r="D216" s="10">
        <f>'A) Base RI'!AP216</f>
        <v>-32505.78</v>
      </c>
      <c r="E216" s="31">
        <f>'A) Base RI'!AQ216</f>
        <v>0</v>
      </c>
      <c r="F216" s="31">
        <f>'A) Base RI'!AR216</f>
        <v>-14.75</v>
      </c>
      <c r="G216" s="412">
        <f t="shared" si="18"/>
        <v>1899199.2100000002</v>
      </c>
      <c r="H216" s="10">
        <f>+'A) Base RI'!E216</f>
        <v>0</v>
      </c>
      <c r="I216" s="10">
        <f>+'A) Base RI'!F216</f>
        <v>0</v>
      </c>
      <c r="J216" s="10">
        <f>+'A) Base RI'!G216+'A) Base RI'!H216+'A) Base RI'!X216</f>
        <v>89989.900000000009</v>
      </c>
      <c r="K216" s="10">
        <f>+'A) Base RI'!I216</f>
        <v>0</v>
      </c>
      <c r="L216" s="10">
        <f>+'A) Base RI'!J216</f>
        <v>27582.799999999999</v>
      </c>
      <c r="M216" s="10">
        <f>+'A) Base RI'!K216</f>
        <v>0</v>
      </c>
      <c r="N216" s="10">
        <f>+'A) Base RI'!Q216</f>
        <v>16897.87</v>
      </c>
      <c r="O216" s="10">
        <f t="shared" si="19"/>
        <v>131546.1</v>
      </c>
      <c r="P216" s="10">
        <f>+'A) Base RI'!L216</f>
        <v>131546.1</v>
      </c>
      <c r="Q216" s="34">
        <f>'A) Base RI'!AS216</f>
        <v>1</v>
      </c>
      <c r="R216" s="412">
        <f t="shared" si="20"/>
        <v>2165215.8800000004</v>
      </c>
      <c r="S216" s="33">
        <f>+'A) Base RI'!AN216</f>
        <v>78</v>
      </c>
      <c r="T216" s="412">
        <f t="shared" si="21"/>
        <v>2033669.7800000003</v>
      </c>
      <c r="U216" s="412">
        <f t="shared" si="22"/>
        <v>27759.177948717952</v>
      </c>
      <c r="V216" s="10">
        <f>+'A) Base RI'!O216</f>
        <v>0</v>
      </c>
      <c r="W216" s="10">
        <f>+'A) Base RI'!P216</f>
        <v>65257.65</v>
      </c>
      <c r="X216" s="10">
        <f>+'A) Base RI'!R216</f>
        <v>53988.15</v>
      </c>
      <c r="Y216" s="412">
        <f t="shared" si="23"/>
        <v>119245.8</v>
      </c>
      <c r="Z216" s="10">
        <f>+'A) Base RI'!N216</f>
        <v>185403.2</v>
      </c>
      <c r="AA216" s="10">
        <f>'A) Base RI'!AO216</f>
        <v>1042</v>
      </c>
    </row>
    <row r="217" spans="1:27" x14ac:dyDescent="0.25">
      <c r="A217" s="8">
        <f>'A) Base RI'!A217</f>
        <v>5746</v>
      </c>
      <c r="B217" s="32" t="str">
        <f>'A) Base RI'!B217</f>
        <v>Bavois</v>
      </c>
      <c r="C217" s="10">
        <f>'A) Base RI'!C217+'A) Base RI'!D217</f>
        <v>1699542.5</v>
      </c>
      <c r="D217" s="10">
        <f>'A) Base RI'!AP217</f>
        <v>-54535.56</v>
      </c>
      <c r="E217" s="31">
        <f>'A) Base RI'!AQ217</f>
        <v>0</v>
      </c>
      <c r="F217" s="31">
        <f>'A) Base RI'!AR217</f>
        <v>-106.41</v>
      </c>
      <c r="G217" s="412">
        <f t="shared" si="18"/>
        <v>1644900.53</v>
      </c>
      <c r="H217" s="10">
        <f>+'A) Base RI'!E217</f>
        <v>0</v>
      </c>
      <c r="I217" s="10">
        <f>+'A) Base RI'!F217</f>
        <v>0</v>
      </c>
      <c r="J217" s="10">
        <f>+'A) Base RI'!G217+'A) Base RI'!H217+'A) Base RI'!X217</f>
        <v>45854.899999999994</v>
      </c>
      <c r="K217" s="10">
        <f>+'A) Base RI'!I217</f>
        <v>0</v>
      </c>
      <c r="L217" s="10">
        <f>+'A) Base RI'!J217</f>
        <v>26732.77</v>
      </c>
      <c r="M217" s="10">
        <f>+'A) Base RI'!K217</f>
        <v>0</v>
      </c>
      <c r="N217" s="10">
        <f>+'A) Base RI'!Q217</f>
        <v>26529.05</v>
      </c>
      <c r="O217" s="10">
        <f t="shared" si="19"/>
        <v>176100.41666666669</v>
      </c>
      <c r="P217" s="10">
        <f>+'A) Base RI'!L217</f>
        <v>211320.5</v>
      </c>
      <c r="Q217" s="34">
        <f>'A) Base RI'!AS217</f>
        <v>1.2</v>
      </c>
      <c r="R217" s="412">
        <f t="shared" si="20"/>
        <v>1920117.6666666667</v>
      </c>
      <c r="S217" s="33">
        <f>+'A) Base RI'!AN217</f>
        <v>73</v>
      </c>
      <c r="T217" s="412">
        <f t="shared" si="21"/>
        <v>1744017.25</v>
      </c>
      <c r="U217" s="412">
        <f t="shared" si="22"/>
        <v>26302.981735159818</v>
      </c>
      <c r="V217" s="10">
        <f>+'A) Base RI'!O217</f>
        <v>18580</v>
      </c>
      <c r="W217" s="10">
        <f>+'A) Base RI'!P217</f>
        <v>161482.9</v>
      </c>
      <c r="X217" s="10">
        <f>+'A) Base RI'!R217</f>
        <v>16487.599999999999</v>
      </c>
      <c r="Y217" s="412">
        <f t="shared" si="23"/>
        <v>196550.5</v>
      </c>
      <c r="Z217" s="10">
        <f>+'A) Base RI'!N217</f>
        <v>21961.55</v>
      </c>
      <c r="AA217" s="10">
        <f>'A) Base RI'!AO217</f>
        <v>952</v>
      </c>
    </row>
    <row r="218" spans="1:27" x14ac:dyDescent="0.25">
      <c r="A218" s="8">
        <f>'A) Base RI'!A218</f>
        <v>5747</v>
      </c>
      <c r="B218" s="32" t="str">
        <f>'A) Base RI'!B218</f>
        <v>Bofflens</v>
      </c>
      <c r="C218" s="10">
        <f>'A) Base RI'!C218+'A) Base RI'!D218</f>
        <v>361100.25</v>
      </c>
      <c r="D218" s="10">
        <f>'A) Base RI'!AP218</f>
        <v>-498.38</v>
      </c>
      <c r="E218" s="31">
        <f>'A) Base RI'!AQ218</f>
        <v>0</v>
      </c>
      <c r="F218" s="31">
        <f>'A) Base RI'!AR218</f>
        <v>0</v>
      </c>
      <c r="G218" s="412">
        <f t="shared" si="18"/>
        <v>360601.87</v>
      </c>
      <c r="H218" s="10">
        <f>+'A) Base RI'!E218</f>
        <v>0</v>
      </c>
      <c r="I218" s="10">
        <f>+'A) Base RI'!F218</f>
        <v>0</v>
      </c>
      <c r="J218" s="10">
        <f>+'A) Base RI'!G218+'A) Base RI'!H218+'A) Base RI'!X218</f>
        <v>10619.85</v>
      </c>
      <c r="K218" s="10">
        <f>+'A) Base RI'!I218</f>
        <v>0</v>
      </c>
      <c r="L218" s="10">
        <f>+'A) Base RI'!J218</f>
        <v>6565.94</v>
      </c>
      <c r="M218" s="10">
        <f>+'A) Base RI'!K218</f>
        <v>0</v>
      </c>
      <c r="N218" s="10">
        <f>+'A) Base RI'!Q218</f>
        <v>334.1</v>
      </c>
      <c r="O218" s="10">
        <f t="shared" si="19"/>
        <v>31648.6</v>
      </c>
      <c r="P218" s="10">
        <f>+'A) Base RI'!L218</f>
        <v>31648.6</v>
      </c>
      <c r="Q218" s="34">
        <f>'A) Base RI'!AS218</f>
        <v>1</v>
      </c>
      <c r="R218" s="412">
        <f t="shared" si="20"/>
        <v>409770.35999999993</v>
      </c>
      <c r="S218" s="33">
        <f>+'A) Base RI'!AN218</f>
        <v>69</v>
      </c>
      <c r="T218" s="412">
        <f t="shared" si="21"/>
        <v>378121.75999999995</v>
      </c>
      <c r="U218" s="412">
        <f t="shared" si="22"/>
        <v>5938.7008695652166</v>
      </c>
      <c r="V218" s="10">
        <f>+'A) Base RI'!O218</f>
        <v>0</v>
      </c>
      <c r="W218" s="10">
        <f>+'A) Base RI'!P218</f>
        <v>12906.35</v>
      </c>
      <c r="X218" s="10">
        <f>+'A) Base RI'!R218</f>
        <v>1265.0999999999999</v>
      </c>
      <c r="Y218" s="412">
        <f t="shared" si="23"/>
        <v>14171.45</v>
      </c>
      <c r="Z218" s="10">
        <f>+'A) Base RI'!N218</f>
        <v>0</v>
      </c>
      <c r="AA218" s="10">
        <f>'A) Base RI'!AO218</f>
        <v>194</v>
      </c>
    </row>
    <row r="219" spans="1:27" x14ac:dyDescent="0.25">
      <c r="A219" s="8">
        <f>'A) Base RI'!A219</f>
        <v>5748</v>
      </c>
      <c r="B219" s="32" t="str">
        <f>'A) Base RI'!B219</f>
        <v>Bretonnières</v>
      </c>
      <c r="C219" s="10">
        <f>'A) Base RI'!C219+'A) Base RI'!D219</f>
        <v>489761.27</v>
      </c>
      <c r="D219" s="10">
        <f>'A) Base RI'!AP219</f>
        <v>-22846.58</v>
      </c>
      <c r="E219" s="31">
        <f>'A) Base RI'!AQ219</f>
        <v>0</v>
      </c>
      <c r="F219" s="31">
        <f>'A) Base RI'!AR219</f>
        <v>0</v>
      </c>
      <c r="G219" s="412">
        <f t="shared" si="18"/>
        <v>466914.69</v>
      </c>
      <c r="H219" s="10">
        <f>+'A) Base RI'!E219</f>
        <v>0</v>
      </c>
      <c r="I219" s="10">
        <f>+'A) Base RI'!F219</f>
        <v>2080</v>
      </c>
      <c r="J219" s="10">
        <f>+'A) Base RI'!G219+'A) Base RI'!H219+'A) Base RI'!X219</f>
        <v>1162.0999999999999</v>
      </c>
      <c r="K219" s="10">
        <f>+'A) Base RI'!I219</f>
        <v>0</v>
      </c>
      <c r="L219" s="10">
        <f>+'A) Base RI'!J219</f>
        <v>-704.07</v>
      </c>
      <c r="M219" s="10">
        <f>+'A) Base RI'!K219</f>
        <v>0</v>
      </c>
      <c r="N219" s="10">
        <f>+'A) Base RI'!Q219</f>
        <v>20981.279999999999</v>
      </c>
      <c r="O219" s="10">
        <f t="shared" si="19"/>
        <v>36516.916666666672</v>
      </c>
      <c r="P219" s="10">
        <f>+'A) Base RI'!L219</f>
        <v>21910.15</v>
      </c>
      <c r="Q219" s="34">
        <f>'A) Base RI'!AS219</f>
        <v>0.6</v>
      </c>
      <c r="R219" s="412">
        <f t="shared" si="20"/>
        <v>526950.91666666663</v>
      </c>
      <c r="S219" s="33">
        <f>+'A) Base RI'!AN219</f>
        <v>72</v>
      </c>
      <c r="T219" s="412">
        <f t="shared" si="21"/>
        <v>488354</v>
      </c>
      <c r="U219" s="412">
        <f t="shared" si="22"/>
        <v>7318.7627314814808</v>
      </c>
      <c r="V219" s="10">
        <f>+'A) Base RI'!O219</f>
        <v>0</v>
      </c>
      <c r="W219" s="10">
        <f>+'A) Base RI'!P219</f>
        <v>21835</v>
      </c>
      <c r="X219" s="10">
        <f>+'A) Base RI'!R219</f>
        <v>8822</v>
      </c>
      <c r="Y219" s="412">
        <f t="shared" si="23"/>
        <v>30657</v>
      </c>
      <c r="Z219" s="10">
        <f>+'A) Base RI'!N219</f>
        <v>3153.95</v>
      </c>
      <c r="AA219" s="10">
        <f>'A) Base RI'!AO219</f>
        <v>269</v>
      </c>
    </row>
    <row r="220" spans="1:27" x14ac:dyDescent="0.25">
      <c r="A220" s="8">
        <f>'A) Base RI'!A220</f>
        <v>5749</v>
      </c>
      <c r="B220" s="32" t="str">
        <f>'A) Base RI'!B220</f>
        <v>Chavornay</v>
      </c>
      <c r="C220" s="10">
        <f>'A) Base RI'!C220+'A) Base RI'!D220</f>
        <v>8489721.5199999996</v>
      </c>
      <c r="D220" s="10">
        <f>'A) Base RI'!AP220</f>
        <v>-262098.52</v>
      </c>
      <c r="E220" s="31">
        <f>'A) Base RI'!AQ220</f>
        <v>0</v>
      </c>
      <c r="F220" s="31">
        <f>'A) Base RI'!AR220</f>
        <v>-2137.56</v>
      </c>
      <c r="G220" s="412">
        <f t="shared" si="18"/>
        <v>8225485.4400000004</v>
      </c>
      <c r="H220" s="10">
        <f>+'A) Base RI'!E220</f>
        <v>0</v>
      </c>
      <c r="I220" s="10">
        <f>+'A) Base RI'!F220</f>
        <v>0</v>
      </c>
      <c r="J220" s="10">
        <f>+'A) Base RI'!G220+'A) Base RI'!H220+'A) Base RI'!X220</f>
        <v>280189</v>
      </c>
      <c r="K220" s="10">
        <f>+'A) Base RI'!I220</f>
        <v>-53462.9</v>
      </c>
      <c r="L220" s="10">
        <f>+'A) Base RI'!J220</f>
        <v>197893</v>
      </c>
      <c r="M220" s="10">
        <f>+'A) Base RI'!K220</f>
        <v>73983.199999999997</v>
      </c>
      <c r="N220" s="10">
        <f>+'A) Base RI'!Q220</f>
        <v>49747.63</v>
      </c>
      <c r="O220" s="10">
        <f t="shared" si="19"/>
        <v>819167.95</v>
      </c>
      <c r="P220" s="10">
        <f>+'A) Base RI'!L220</f>
        <v>819167.95</v>
      </c>
      <c r="Q220" s="34">
        <f>'A) Base RI'!AS220</f>
        <v>1</v>
      </c>
      <c r="R220" s="412">
        <f t="shared" si="20"/>
        <v>9593003.3200000003</v>
      </c>
      <c r="S220" s="33">
        <f>+'A) Base RI'!AN220</f>
        <v>72</v>
      </c>
      <c r="T220" s="412">
        <f t="shared" si="21"/>
        <v>8699852.1700000018</v>
      </c>
      <c r="U220" s="412">
        <f t="shared" si="22"/>
        <v>133236.15722222222</v>
      </c>
      <c r="V220" s="10">
        <f>+'A) Base RI'!O220</f>
        <v>255643.9</v>
      </c>
      <c r="W220" s="10">
        <f>+'A) Base RI'!P220</f>
        <v>396785.65</v>
      </c>
      <c r="X220" s="10">
        <f>+'A) Base RI'!R220</f>
        <v>226660.5</v>
      </c>
      <c r="Y220" s="412">
        <f t="shared" si="23"/>
        <v>879090.05</v>
      </c>
      <c r="Z220" s="10">
        <f>+'A) Base RI'!N220</f>
        <v>582192.94999999995</v>
      </c>
      <c r="AA220" s="10">
        <f>'A) Base RI'!AO220</f>
        <v>5135</v>
      </c>
    </row>
    <row r="221" spans="1:27" x14ac:dyDescent="0.25">
      <c r="A221" s="8">
        <f>'A) Base RI'!A221</f>
        <v>5750</v>
      </c>
      <c r="B221" s="32" t="str">
        <f>'A) Base RI'!B221</f>
        <v>Les Clées</v>
      </c>
      <c r="C221" s="10">
        <f>'A) Base RI'!C221+'A) Base RI'!D221</f>
        <v>371760.54000000004</v>
      </c>
      <c r="D221" s="10">
        <f>'A) Base RI'!AP221</f>
        <v>-2778.65</v>
      </c>
      <c r="E221" s="31">
        <f>'A) Base RI'!AQ221</f>
        <v>0</v>
      </c>
      <c r="F221" s="31">
        <f>'A) Base RI'!AR221</f>
        <v>0</v>
      </c>
      <c r="G221" s="412">
        <f t="shared" si="18"/>
        <v>368981.89</v>
      </c>
      <c r="H221" s="10">
        <f>+'A) Base RI'!E221</f>
        <v>0</v>
      </c>
      <c r="I221" s="10">
        <f>+'A) Base RI'!F221</f>
        <v>1090</v>
      </c>
      <c r="J221" s="10">
        <f>+'A) Base RI'!G221+'A) Base RI'!H221+'A) Base RI'!X221</f>
        <v>606.45000000000005</v>
      </c>
      <c r="K221" s="10">
        <f>+'A) Base RI'!I221</f>
        <v>0</v>
      </c>
      <c r="L221" s="10">
        <f>+'A) Base RI'!J221</f>
        <v>11155.51</v>
      </c>
      <c r="M221" s="10">
        <f>+'A) Base RI'!K221</f>
        <v>229.5</v>
      </c>
      <c r="N221" s="10">
        <f>+'A) Base RI'!Q221</f>
        <v>6.8</v>
      </c>
      <c r="O221" s="10">
        <f t="shared" si="19"/>
        <v>22159.666666666668</v>
      </c>
      <c r="P221" s="10">
        <f>+'A) Base RI'!L221</f>
        <v>13295.8</v>
      </c>
      <c r="Q221" s="34">
        <f>'A) Base RI'!AS221</f>
        <v>0.6</v>
      </c>
      <c r="R221" s="412">
        <f t="shared" si="20"/>
        <v>404229.81666666671</v>
      </c>
      <c r="S221" s="33">
        <f>+'A) Base RI'!AN221</f>
        <v>80</v>
      </c>
      <c r="T221" s="412">
        <f t="shared" si="21"/>
        <v>380750.65</v>
      </c>
      <c r="U221" s="412">
        <f t="shared" si="22"/>
        <v>5052.8727083333342</v>
      </c>
      <c r="V221" s="10">
        <f>+'A) Base RI'!O221</f>
        <v>0</v>
      </c>
      <c r="W221" s="10">
        <f>+'A) Base RI'!P221</f>
        <v>1837</v>
      </c>
      <c r="X221" s="10">
        <f>+'A) Base RI'!R221</f>
        <v>0</v>
      </c>
      <c r="Y221" s="412">
        <f t="shared" si="23"/>
        <v>1837</v>
      </c>
      <c r="Z221" s="10">
        <f>+'A) Base RI'!N221</f>
        <v>9385.1</v>
      </c>
      <c r="AA221" s="10">
        <f>'A) Base RI'!AO221</f>
        <v>185</v>
      </c>
    </row>
    <row r="222" spans="1:27" x14ac:dyDescent="0.25">
      <c r="A222" s="8">
        <f>'A) Base RI'!A222</f>
        <v>5752</v>
      </c>
      <c r="B222" s="32" t="str">
        <f>'A) Base RI'!B222</f>
        <v>Croy</v>
      </c>
      <c r="C222" s="10">
        <f>'A) Base RI'!C222+'A) Base RI'!D222</f>
        <v>665605.32000000007</v>
      </c>
      <c r="D222" s="10">
        <f>'A) Base RI'!AP222</f>
        <v>-21537.07</v>
      </c>
      <c r="E222" s="31">
        <f>'A) Base RI'!AQ222</f>
        <v>0</v>
      </c>
      <c r="F222" s="31">
        <f>'A) Base RI'!AR222</f>
        <v>-5783.06</v>
      </c>
      <c r="G222" s="412">
        <f t="shared" si="18"/>
        <v>638285.19000000006</v>
      </c>
      <c r="H222" s="10">
        <f>+'A) Base RI'!E222</f>
        <v>0</v>
      </c>
      <c r="I222" s="10">
        <f>+'A) Base RI'!F222</f>
        <v>0</v>
      </c>
      <c r="J222" s="10">
        <f>+'A) Base RI'!G222+'A) Base RI'!H222+'A) Base RI'!X222</f>
        <v>2462.8000000000002</v>
      </c>
      <c r="K222" s="10">
        <f>+'A) Base RI'!I222</f>
        <v>0</v>
      </c>
      <c r="L222" s="10">
        <f>+'A) Base RI'!J222</f>
        <v>15676.71</v>
      </c>
      <c r="M222" s="10">
        <f>+'A) Base RI'!K222</f>
        <v>833.4</v>
      </c>
      <c r="N222" s="10">
        <f>+'A) Base RI'!Q222</f>
        <v>1825.8</v>
      </c>
      <c r="O222" s="10">
        <f t="shared" si="19"/>
        <v>60562.857142857145</v>
      </c>
      <c r="P222" s="10">
        <f>+'A) Base RI'!L222</f>
        <v>42394</v>
      </c>
      <c r="Q222" s="34">
        <f>'A) Base RI'!AS222</f>
        <v>0.7</v>
      </c>
      <c r="R222" s="412">
        <f t="shared" si="20"/>
        <v>719646.7571428573</v>
      </c>
      <c r="S222" s="33">
        <f>+'A) Base RI'!AN222</f>
        <v>74</v>
      </c>
      <c r="T222" s="412">
        <f t="shared" si="21"/>
        <v>658250.50000000012</v>
      </c>
      <c r="U222" s="412">
        <f t="shared" si="22"/>
        <v>9724.9561776061801</v>
      </c>
      <c r="V222" s="10">
        <f>+'A) Base RI'!O222</f>
        <v>0</v>
      </c>
      <c r="W222" s="10">
        <f>+'A) Base RI'!P222</f>
        <v>16794.05</v>
      </c>
      <c r="X222" s="10">
        <f>+'A) Base RI'!R222</f>
        <v>17285.95</v>
      </c>
      <c r="Y222" s="412">
        <f t="shared" si="23"/>
        <v>34080</v>
      </c>
      <c r="Z222" s="10">
        <f>+'A) Base RI'!N222</f>
        <v>25500.3</v>
      </c>
      <c r="AA222" s="10">
        <f>'A) Base RI'!AO222</f>
        <v>403</v>
      </c>
    </row>
    <row r="223" spans="1:27" x14ac:dyDescent="0.25">
      <c r="A223" s="8">
        <f>'A) Base RI'!A223</f>
        <v>5754</v>
      </c>
      <c r="B223" s="32" t="str">
        <f>'A) Base RI'!B223</f>
        <v>Juriens</v>
      </c>
      <c r="C223" s="10">
        <f>'A) Base RI'!C223+'A) Base RI'!D223</f>
        <v>686074.54</v>
      </c>
      <c r="D223" s="10">
        <f>'A) Base RI'!AP223</f>
        <v>-9602.36</v>
      </c>
      <c r="E223" s="31">
        <f>'A) Base RI'!AQ223</f>
        <v>0</v>
      </c>
      <c r="F223" s="31">
        <f>'A) Base RI'!AR223</f>
        <v>-101.41</v>
      </c>
      <c r="G223" s="412">
        <f t="shared" si="18"/>
        <v>676370.77</v>
      </c>
      <c r="H223" s="10">
        <f>+'A) Base RI'!E223</f>
        <v>0</v>
      </c>
      <c r="I223" s="10">
        <f>+'A) Base RI'!F223</f>
        <v>0</v>
      </c>
      <c r="J223" s="10">
        <f>+'A) Base RI'!G223+'A) Base RI'!H223+'A) Base RI'!X223</f>
        <v>2346.6999999999998</v>
      </c>
      <c r="K223" s="10">
        <f>+'A) Base RI'!I223</f>
        <v>0</v>
      </c>
      <c r="L223" s="10">
        <f>+'A) Base RI'!J223</f>
        <v>3966.51</v>
      </c>
      <c r="M223" s="10">
        <f>+'A) Base RI'!K223</f>
        <v>1575.5</v>
      </c>
      <c r="N223" s="10">
        <f>+'A) Base RI'!Q223</f>
        <v>5657.1</v>
      </c>
      <c r="O223" s="10">
        <f t="shared" si="19"/>
        <v>39827.1</v>
      </c>
      <c r="P223" s="10">
        <f>+'A) Base RI'!L223</f>
        <v>39827.1</v>
      </c>
      <c r="Q223" s="34">
        <f>'A) Base RI'!AS223</f>
        <v>1</v>
      </c>
      <c r="R223" s="412">
        <f t="shared" si="20"/>
        <v>729743.67999999993</v>
      </c>
      <c r="S223" s="33">
        <f>+'A) Base RI'!AN223</f>
        <v>79</v>
      </c>
      <c r="T223" s="412">
        <f t="shared" si="21"/>
        <v>688341.08</v>
      </c>
      <c r="U223" s="412">
        <f t="shared" si="22"/>
        <v>9237.2617721518982</v>
      </c>
      <c r="V223" s="10">
        <f>+'A) Base RI'!O223</f>
        <v>0</v>
      </c>
      <c r="W223" s="10">
        <f>+'A) Base RI'!P223</f>
        <v>2444.85</v>
      </c>
      <c r="X223" s="10">
        <f>+'A) Base RI'!R223</f>
        <v>0</v>
      </c>
      <c r="Y223" s="412">
        <f t="shared" si="23"/>
        <v>2444.85</v>
      </c>
      <c r="Z223" s="10">
        <f>+'A) Base RI'!N223</f>
        <v>5642.65</v>
      </c>
      <c r="AA223" s="10">
        <f>'A) Base RI'!AO223</f>
        <v>328</v>
      </c>
    </row>
    <row r="224" spans="1:27" x14ac:dyDescent="0.25">
      <c r="A224" s="8">
        <f>'A) Base RI'!A224</f>
        <v>5755</v>
      </c>
      <c r="B224" s="32" t="str">
        <f>'A) Base RI'!B224</f>
        <v>Lignerolle</v>
      </c>
      <c r="C224" s="10">
        <f>'A) Base RI'!C224+'A) Base RI'!D224</f>
        <v>712732.88</v>
      </c>
      <c r="D224" s="10">
        <f>'A) Base RI'!AP224</f>
        <v>-8185.46</v>
      </c>
      <c r="E224" s="31">
        <f>'A) Base RI'!AQ224</f>
        <v>0</v>
      </c>
      <c r="F224" s="31">
        <f>'A) Base RI'!AR224</f>
        <v>0</v>
      </c>
      <c r="G224" s="412">
        <f t="shared" si="18"/>
        <v>704547.42</v>
      </c>
      <c r="H224" s="10">
        <f>+'A) Base RI'!E224</f>
        <v>0</v>
      </c>
      <c r="I224" s="10">
        <f>+'A) Base RI'!F224</f>
        <v>0</v>
      </c>
      <c r="J224" s="10">
        <f>+'A) Base RI'!G224+'A) Base RI'!H224+'A) Base RI'!X224</f>
        <v>9712.8499999999985</v>
      </c>
      <c r="K224" s="10">
        <f>+'A) Base RI'!I224</f>
        <v>0</v>
      </c>
      <c r="L224" s="10">
        <f>+'A) Base RI'!J224</f>
        <v>3785.33</v>
      </c>
      <c r="M224" s="10">
        <f>+'A) Base RI'!K224</f>
        <v>2533.1</v>
      </c>
      <c r="N224" s="10">
        <f>+'A) Base RI'!Q224</f>
        <v>5562.9</v>
      </c>
      <c r="O224" s="10">
        <f t="shared" si="19"/>
        <v>61581.500000000007</v>
      </c>
      <c r="P224" s="10">
        <f>+'A) Base RI'!L224</f>
        <v>43107.05</v>
      </c>
      <c r="Q224" s="34">
        <f>'A) Base RI'!AS224</f>
        <v>0.7</v>
      </c>
      <c r="R224" s="412">
        <f t="shared" si="20"/>
        <v>787723.1</v>
      </c>
      <c r="S224" s="33">
        <f>+'A) Base RI'!AN224</f>
        <v>80</v>
      </c>
      <c r="T224" s="412">
        <f t="shared" si="21"/>
        <v>723608.5</v>
      </c>
      <c r="U224" s="412">
        <f t="shared" si="22"/>
        <v>9846.5387499999997</v>
      </c>
      <c r="V224" s="10">
        <f>+'A) Base RI'!O224</f>
        <v>0</v>
      </c>
      <c r="W224" s="10">
        <f>+'A) Base RI'!P224</f>
        <v>63834.9</v>
      </c>
      <c r="X224" s="10">
        <f>+'A) Base RI'!R224</f>
        <v>34972.15</v>
      </c>
      <c r="Y224" s="412">
        <f t="shared" si="23"/>
        <v>98807.05</v>
      </c>
      <c r="Z224" s="10">
        <f>+'A) Base RI'!N224</f>
        <v>25416.95</v>
      </c>
      <c r="AA224" s="10">
        <f>'A) Base RI'!AO224</f>
        <v>437</v>
      </c>
    </row>
    <row r="225" spans="1:27" x14ac:dyDescent="0.25">
      <c r="A225" s="8">
        <f>'A) Base RI'!A225</f>
        <v>5756</v>
      </c>
      <c r="B225" s="32" t="str">
        <f>'A) Base RI'!B225</f>
        <v>Montcherand</v>
      </c>
      <c r="C225" s="10">
        <f>'A) Base RI'!C225+'A) Base RI'!D225</f>
        <v>1108171.1399999999</v>
      </c>
      <c r="D225" s="10">
        <f>'A) Base RI'!AP225</f>
        <v>-20702.57</v>
      </c>
      <c r="E225" s="31">
        <f>'A) Base RI'!AQ225</f>
        <v>0</v>
      </c>
      <c r="F225" s="31">
        <f>'A) Base RI'!AR225</f>
        <v>-1228.77</v>
      </c>
      <c r="G225" s="412">
        <f t="shared" si="18"/>
        <v>1086239.7999999998</v>
      </c>
      <c r="H225" s="10">
        <f>+'A) Base RI'!E225</f>
        <v>0</v>
      </c>
      <c r="I225" s="10">
        <f>+'A) Base RI'!F225</f>
        <v>0</v>
      </c>
      <c r="J225" s="10">
        <f>+'A) Base RI'!G225+'A) Base RI'!H225+'A) Base RI'!X225</f>
        <v>5594.0999999999995</v>
      </c>
      <c r="K225" s="10">
        <f>+'A) Base RI'!I225</f>
        <v>0</v>
      </c>
      <c r="L225" s="10">
        <f>+'A) Base RI'!J225</f>
        <v>5914.32</v>
      </c>
      <c r="M225" s="10">
        <f>+'A) Base RI'!K225</f>
        <v>160.4</v>
      </c>
      <c r="N225" s="10">
        <f>+'A) Base RI'!Q225</f>
        <v>0</v>
      </c>
      <c r="O225" s="10">
        <f t="shared" si="19"/>
        <v>84984</v>
      </c>
      <c r="P225" s="10">
        <f>+'A) Base RI'!L225</f>
        <v>84984</v>
      </c>
      <c r="Q225" s="34">
        <f>'A) Base RI'!AS225</f>
        <v>1</v>
      </c>
      <c r="R225" s="412">
        <f t="shared" si="20"/>
        <v>1182892.6199999999</v>
      </c>
      <c r="S225" s="33">
        <f>+'A) Base RI'!AN225</f>
        <v>72</v>
      </c>
      <c r="T225" s="412">
        <f t="shared" si="21"/>
        <v>1097748.22</v>
      </c>
      <c r="U225" s="412">
        <f t="shared" si="22"/>
        <v>16429.064166666663</v>
      </c>
      <c r="V225" s="10">
        <f>+'A) Base RI'!O225</f>
        <v>765</v>
      </c>
      <c r="W225" s="10">
        <f>+'A) Base RI'!P225</f>
        <v>31400.6</v>
      </c>
      <c r="X225" s="10">
        <f>+'A) Base RI'!R225</f>
        <v>6990.4</v>
      </c>
      <c r="Y225" s="412">
        <f t="shared" si="23"/>
        <v>39156</v>
      </c>
      <c r="Z225" s="10">
        <f>+'A) Base RI'!N225</f>
        <v>29390.1</v>
      </c>
      <c r="AA225" s="10">
        <f>'A) Base RI'!AO225</f>
        <v>505</v>
      </c>
    </row>
    <row r="226" spans="1:27" x14ac:dyDescent="0.25">
      <c r="A226" s="8">
        <f>'A) Base RI'!A226</f>
        <v>5757</v>
      </c>
      <c r="B226" s="32" t="str">
        <f>'A) Base RI'!B226</f>
        <v>Orbe</v>
      </c>
      <c r="C226" s="10">
        <f>'A) Base RI'!C226+'A) Base RI'!D226</f>
        <v>12299340.270000001</v>
      </c>
      <c r="D226" s="10">
        <f>'A) Base RI'!AP226</f>
        <v>-409528.08</v>
      </c>
      <c r="E226" s="31">
        <f>'A) Base RI'!AQ226</f>
        <v>0</v>
      </c>
      <c r="F226" s="31">
        <f>'A) Base RI'!AR226</f>
        <v>-24544.12</v>
      </c>
      <c r="G226" s="412">
        <f t="shared" si="18"/>
        <v>11865268.070000002</v>
      </c>
      <c r="H226" s="10">
        <f>+'A) Base RI'!E226</f>
        <v>0</v>
      </c>
      <c r="I226" s="10">
        <f>+'A) Base RI'!F226</f>
        <v>0</v>
      </c>
      <c r="J226" s="10">
        <f>+'A) Base RI'!G226+'A) Base RI'!H226+'A) Base RI'!X226</f>
        <v>1931389.4000000001</v>
      </c>
      <c r="K226" s="10">
        <f>+'A) Base RI'!I226</f>
        <v>0</v>
      </c>
      <c r="L226" s="10">
        <f>+'A) Base RI'!J226</f>
        <v>421751.35</v>
      </c>
      <c r="M226" s="10">
        <f>+'A) Base RI'!K226</f>
        <v>110574.45</v>
      </c>
      <c r="N226" s="10">
        <f>+'A) Base RI'!Q226</f>
        <v>59814.36</v>
      </c>
      <c r="O226" s="10">
        <f t="shared" si="19"/>
        <v>1290165.8</v>
      </c>
      <c r="P226" s="10">
        <f>+'A) Base RI'!L226</f>
        <v>1290165.8</v>
      </c>
      <c r="Q226" s="34">
        <f>'A) Base RI'!AS226</f>
        <v>1</v>
      </c>
      <c r="R226" s="412">
        <f t="shared" si="20"/>
        <v>15678963.430000002</v>
      </c>
      <c r="S226" s="33">
        <f>+'A) Base RI'!AN226</f>
        <v>77</v>
      </c>
      <c r="T226" s="412">
        <f t="shared" si="21"/>
        <v>14278223.180000002</v>
      </c>
      <c r="U226" s="412">
        <f t="shared" si="22"/>
        <v>203622.90168831171</v>
      </c>
      <c r="V226" s="10">
        <f>+'A) Base RI'!O226</f>
        <v>77692.2</v>
      </c>
      <c r="W226" s="10">
        <f>+'A) Base RI'!P226</f>
        <v>525535</v>
      </c>
      <c r="X226" s="10">
        <f>+'A) Base RI'!R226</f>
        <v>409342.65</v>
      </c>
      <c r="Y226" s="412">
        <f t="shared" si="23"/>
        <v>1012569.85</v>
      </c>
      <c r="Z226" s="10">
        <f>+'A) Base RI'!N226</f>
        <v>2385887.2999999998</v>
      </c>
      <c r="AA226" s="10">
        <f>'A) Base RI'!AO226</f>
        <v>7030</v>
      </c>
    </row>
    <row r="227" spans="1:27" x14ac:dyDescent="0.25">
      <c r="A227" s="8">
        <f>'A) Base RI'!A227</f>
        <v>5758</v>
      </c>
      <c r="B227" s="32" t="str">
        <f>'A) Base RI'!B227</f>
        <v>La Praz</v>
      </c>
      <c r="C227" s="10">
        <f>'A) Base RI'!C227+'A) Base RI'!D227</f>
        <v>338593.07</v>
      </c>
      <c r="D227" s="10">
        <f>'A) Base RI'!AP227</f>
        <v>-3824.08</v>
      </c>
      <c r="E227" s="31">
        <f>'A) Base RI'!AQ227</f>
        <v>0</v>
      </c>
      <c r="F227" s="31">
        <f>'A) Base RI'!AR227</f>
        <v>0</v>
      </c>
      <c r="G227" s="412">
        <f t="shared" si="18"/>
        <v>334768.99</v>
      </c>
      <c r="H227" s="10">
        <f>+'A) Base RI'!E227</f>
        <v>0</v>
      </c>
      <c r="I227" s="10">
        <f>+'A) Base RI'!F227</f>
        <v>1010</v>
      </c>
      <c r="J227" s="10">
        <f>+'A) Base RI'!G227+'A) Base RI'!H227+'A) Base RI'!X227</f>
        <v>6881.45</v>
      </c>
      <c r="K227" s="10">
        <f>+'A) Base RI'!I227</f>
        <v>0</v>
      </c>
      <c r="L227" s="10">
        <f>+'A) Base RI'!J227</f>
        <v>699.76</v>
      </c>
      <c r="M227" s="10">
        <f>+'A) Base RI'!K227</f>
        <v>0</v>
      </c>
      <c r="N227" s="10">
        <f>+'A) Base RI'!Q227</f>
        <v>5040.37</v>
      </c>
      <c r="O227" s="10">
        <f t="shared" si="19"/>
        <v>26244.333333333336</v>
      </c>
      <c r="P227" s="10">
        <f>+'A) Base RI'!L227</f>
        <v>23619.9</v>
      </c>
      <c r="Q227" s="34">
        <f>'A) Base RI'!AS227</f>
        <v>0.9</v>
      </c>
      <c r="R227" s="412">
        <f t="shared" si="20"/>
        <v>374644.90333333332</v>
      </c>
      <c r="S227" s="33">
        <f>+'A) Base RI'!AN227</f>
        <v>83</v>
      </c>
      <c r="T227" s="412">
        <f t="shared" si="21"/>
        <v>347390.57</v>
      </c>
      <c r="U227" s="412">
        <f t="shared" si="22"/>
        <v>4513.7940160642565</v>
      </c>
      <c r="V227" s="10">
        <f>+'A) Base RI'!O227</f>
        <v>0</v>
      </c>
      <c r="W227" s="10">
        <f>+'A) Base RI'!P227</f>
        <v>25718.400000000001</v>
      </c>
      <c r="X227" s="10">
        <f>+'A) Base RI'!R227</f>
        <v>34052.5</v>
      </c>
      <c r="Y227" s="412">
        <f t="shared" si="23"/>
        <v>59770.9</v>
      </c>
      <c r="Z227" s="10">
        <f>+'A) Base RI'!N227</f>
        <v>0</v>
      </c>
      <c r="AA227" s="10">
        <f>'A) Base RI'!AO227</f>
        <v>165</v>
      </c>
    </row>
    <row r="228" spans="1:27" x14ac:dyDescent="0.25">
      <c r="A228" s="8">
        <f>'A) Base RI'!A228</f>
        <v>5759</v>
      </c>
      <c r="B228" s="32" t="str">
        <f>'A) Base RI'!B228</f>
        <v>Premier</v>
      </c>
      <c r="C228" s="10">
        <f>'A) Base RI'!C228+'A) Base RI'!D228</f>
        <v>393004.19999999995</v>
      </c>
      <c r="D228" s="10">
        <f>'A) Base RI'!AP228</f>
        <v>-11258.17</v>
      </c>
      <c r="E228" s="31">
        <f>'A) Base RI'!AQ228</f>
        <v>0</v>
      </c>
      <c r="F228" s="31">
        <f>'A) Base RI'!AR228</f>
        <v>-113.05</v>
      </c>
      <c r="G228" s="412">
        <f t="shared" si="18"/>
        <v>381632.98</v>
      </c>
      <c r="H228" s="10">
        <f>+'A) Base RI'!E228</f>
        <v>0</v>
      </c>
      <c r="I228" s="10">
        <f>+'A) Base RI'!F228</f>
        <v>0</v>
      </c>
      <c r="J228" s="10">
        <f>+'A) Base RI'!G228+'A) Base RI'!H228+'A) Base RI'!X228</f>
        <v>7837.75</v>
      </c>
      <c r="K228" s="10">
        <f>+'A) Base RI'!I228</f>
        <v>0</v>
      </c>
      <c r="L228" s="10">
        <f>+'A) Base RI'!J228</f>
        <v>8237.02</v>
      </c>
      <c r="M228" s="10">
        <f>+'A) Base RI'!K228</f>
        <v>242.95</v>
      </c>
      <c r="N228" s="10">
        <f>+'A) Base RI'!Q228</f>
        <v>27.03</v>
      </c>
      <c r="O228" s="10">
        <f t="shared" si="19"/>
        <v>28590.3</v>
      </c>
      <c r="P228" s="10">
        <f>+'A) Base RI'!L228</f>
        <v>28590.3</v>
      </c>
      <c r="Q228" s="34">
        <f>'A) Base RI'!AS228</f>
        <v>1</v>
      </c>
      <c r="R228" s="412">
        <f t="shared" si="20"/>
        <v>426568.03</v>
      </c>
      <c r="S228" s="33">
        <f>+'A) Base RI'!AN228</f>
        <v>81</v>
      </c>
      <c r="T228" s="412">
        <f t="shared" si="21"/>
        <v>397734.78</v>
      </c>
      <c r="U228" s="412">
        <f t="shared" si="22"/>
        <v>5266.2719753086421</v>
      </c>
      <c r="V228" s="10">
        <f>+'A) Base RI'!O228</f>
        <v>0</v>
      </c>
      <c r="W228" s="10">
        <f>+'A) Base RI'!P228</f>
        <v>7397.8</v>
      </c>
      <c r="X228" s="10">
        <f>+'A) Base RI'!R228</f>
        <v>15682</v>
      </c>
      <c r="Y228" s="412">
        <f t="shared" si="23"/>
        <v>23079.8</v>
      </c>
      <c r="Z228" s="10">
        <f>+'A) Base RI'!N228</f>
        <v>3194.25</v>
      </c>
      <c r="AA228" s="10">
        <f>'A) Base RI'!AO228</f>
        <v>215</v>
      </c>
    </row>
    <row r="229" spans="1:27" x14ac:dyDescent="0.25">
      <c r="A229" s="8">
        <f>'A) Base RI'!A229</f>
        <v>5760</v>
      </c>
      <c r="B229" s="32" t="str">
        <f>'A) Base RI'!B229</f>
        <v>Rances</v>
      </c>
      <c r="C229" s="10">
        <f>'A) Base RI'!C229+'A) Base RI'!D229</f>
        <v>899182.16</v>
      </c>
      <c r="D229" s="10">
        <f>'A) Base RI'!AP229</f>
        <v>-11699.49</v>
      </c>
      <c r="E229" s="31">
        <f>'A) Base RI'!AQ229</f>
        <v>0</v>
      </c>
      <c r="F229" s="31">
        <f>'A) Base RI'!AR229</f>
        <v>-1918.01</v>
      </c>
      <c r="G229" s="412">
        <f t="shared" si="18"/>
        <v>885564.66</v>
      </c>
      <c r="H229" s="10">
        <f>+'A) Base RI'!E229</f>
        <v>0</v>
      </c>
      <c r="I229" s="10">
        <f>+'A) Base RI'!F229</f>
        <v>0</v>
      </c>
      <c r="J229" s="10">
        <f>+'A) Base RI'!G229+'A) Base RI'!H229+'A) Base RI'!X229</f>
        <v>3780.8</v>
      </c>
      <c r="K229" s="10">
        <f>+'A) Base RI'!I229</f>
        <v>0</v>
      </c>
      <c r="L229" s="10">
        <f>+'A) Base RI'!J229</f>
        <v>4654.07</v>
      </c>
      <c r="M229" s="10">
        <f>+'A) Base RI'!K229</f>
        <v>0</v>
      </c>
      <c r="N229" s="10">
        <f>+'A) Base RI'!Q229</f>
        <v>2427.5</v>
      </c>
      <c r="O229" s="10">
        <f t="shared" si="19"/>
        <v>70239.03333333334</v>
      </c>
      <c r="P229" s="10">
        <f>+'A) Base RI'!L229</f>
        <v>105358.55</v>
      </c>
      <c r="Q229" s="34">
        <f>'A) Base RI'!AS229</f>
        <v>1.5</v>
      </c>
      <c r="R229" s="412">
        <f t="shared" si="20"/>
        <v>966666.06333333335</v>
      </c>
      <c r="S229" s="33">
        <f>+'A) Base RI'!AN229</f>
        <v>78</v>
      </c>
      <c r="T229" s="412">
        <f t="shared" si="21"/>
        <v>896427.03</v>
      </c>
      <c r="U229" s="412">
        <f t="shared" si="22"/>
        <v>12393.154658119658</v>
      </c>
      <c r="V229" s="10">
        <f>+'A) Base RI'!O229</f>
        <v>477.2</v>
      </c>
      <c r="W229" s="10">
        <f>+'A) Base RI'!P229</f>
        <v>21138.6</v>
      </c>
      <c r="X229" s="10">
        <f>+'A) Base RI'!R229</f>
        <v>892.7</v>
      </c>
      <c r="Y229" s="412">
        <f t="shared" si="23"/>
        <v>22508.5</v>
      </c>
      <c r="Z229" s="10">
        <f>+'A) Base RI'!N229</f>
        <v>16854.2</v>
      </c>
      <c r="AA229" s="10">
        <f>'A) Base RI'!AO229</f>
        <v>505</v>
      </c>
    </row>
    <row r="230" spans="1:27" x14ac:dyDescent="0.25">
      <c r="A230" s="8">
        <f>'A) Base RI'!A230</f>
        <v>5761</v>
      </c>
      <c r="B230" s="32" t="str">
        <f>'A) Base RI'!B230</f>
        <v>Romainmôtier-Envy</v>
      </c>
      <c r="C230" s="10">
        <f>'A) Base RI'!C230+'A) Base RI'!D230</f>
        <v>894604.48</v>
      </c>
      <c r="D230" s="10">
        <f>'A) Base RI'!AP230</f>
        <v>-35972.910000000003</v>
      </c>
      <c r="E230" s="31">
        <f>'A) Base RI'!AQ230</f>
        <v>0</v>
      </c>
      <c r="F230" s="31">
        <f>'A) Base RI'!AR230</f>
        <v>0</v>
      </c>
      <c r="G230" s="412">
        <f t="shared" si="18"/>
        <v>858631.57</v>
      </c>
      <c r="H230" s="10">
        <f>+'A) Base RI'!E230</f>
        <v>0</v>
      </c>
      <c r="I230" s="10">
        <f>+'A) Base RI'!F230</f>
        <v>0</v>
      </c>
      <c r="J230" s="10">
        <f>+'A) Base RI'!G230+'A) Base RI'!H230+'A) Base RI'!X230</f>
        <v>17219.5</v>
      </c>
      <c r="K230" s="10">
        <f>+'A) Base RI'!I230</f>
        <v>0</v>
      </c>
      <c r="L230" s="10">
        <f>+'A) Base RI'!J230</f>
        <v>17533.5</v>
      </c>
      <c r="M230" s="10">
        <f>+'A) Base RI'!K230</f>
        <v>6520.55</v>
      </c>
      <c r="N230" s="10">
        <f>+'A) Base RI'!Q230</f>
        <v>12561.89</v>
      </c>
      <c r="O230" s="10">
        <f t="shared" si="19"/>
        <v>83861.045454545441</v>
      </c>
      <c r="P230" s="10">
        <f>+'A) Base RI'!L230</f>
        <v>92247.15</v>
      </c>
      <c r="Q230" s="34">
        <f>'A) Base RI'!AS230</f>
        <v>1.1000000000000001</v>
      </c>
      <c r="R230" s="412">
        <f t="shared" si="20"/>
        <v>996328.05545454542</v>
      </c>
      <c r="S230" s="33">
        <f>+'A) Base RI'!AN230</f>
        <v>81</v>
      </c>
      <c r="T230" s="412">
        <f t="shared" si="21"/>
        <v>905946.46</v>
      </c>
      <c r="U230" s="412">
        <f t="shared" si="22"/>
        <v>12300.346363636363</v>
      </c>
      <c r="V230" s="10">
        <f>+'A) Base RI'!O230</f>
        <v>17444</v>
      </c>
      <c r="W230" s="10">
        <f>+'A) Base RI'!P230</f>
        <v>31666.35</v>
      </c>
      <c r="X230" s="10">
        <f>+'A) Base RI'!R230</f>
        <v>61949.05</v>
      </c>
      <c r="Y230" s="412">
        <f t="shared" si="23"/>
        <v>111059.4</v>
      </c>
      <c r="Z230" s="10">
        <f>+'A) Base RI'!N230</f>
        <v>54355.95</v>
      </c>
      <c r="AA230" s="10">
        <f>'A) Base RI'!AO230</f>
        <v>535</v>
      </c>
    </row>
    <row r="231" spans="1:27" x14ac:dyDescent="0.25">
      <c r="A231" s="8">
        <f>'A) Base RI'!A231</f>
        <v>5762</v>
      </c>
      <c r="B231" s="32" t="str">
        <f>'A) Base RI'!B231</f>
        <v>Sergey</v>
      </c>
      <c r="C231" s="10">
        <f>'A) Base RI'!C231+'A) Base RI'!D231</f>
        <v>273820.53999999998</v>
      </c>
      <c r="D231" s="10">
        <f>'A) Base RI'!AP231</f>
        <v>-3659.26</v>
      </c>
      <c r="E231" s="31">
        <f>'A) Base RI'!AQ231</f>
        <v>0</v>
      </c>
      <c r="F231" s="31">
        <f>'A) Base RI'!AR231</f>
        <v>0</v>
      </c>
      <c r="G231" s="412">
        <f t="shared" si="18"/>
        <v>270161.27999999997</v>
      </c>
      <c r="H231" s="10">
        <f>+'A) Base RI'!E231</f>
        <v>0</v>
      </c>
      <c r="I231" s="10">
        <f>+'A) Base RI'!F231</f>
        <v>0</v>
      </c>
      <c r="J231" s="10">
        <f>+'A) Base RI'!G231+'A) Base RI'!H231+'A) Base RI'!X231</f>
        <v>17437.75</v>
      </c>
      <c r="K231" s="10">
        <f>+'A) Base RI'!I231</f>
        <v>0</v>
      </c>
      <c r="L231" s="10">
        <f>+'A) Base RI'!J231</f>
        <v>1087.5</v>
      </c>
      <c r="M231" s="10">
        <f>+'A) Base RI'!K231</f>
        <v>75</v>
      </c>
      <c r="N231" s="10">
        <f>+'A) Base RI'!Q231</f>
        <v>4050.2</v>
      </c>
      <c r="O231" s="10">
        <f t="shared" si="19"/>
        <v>19868.599999999999</v>
      </c>
      <c r="P231" s="10">
        <f>+'A) Base RI'!L231</f>
        <v>19868.599999999999</v>
      </c>
      <c r="Q231" s="34">
        <f>'A) Base RI'!AS231</f>
        <v>1</v>
      </c>
      <c r="R231" s="412">
        <f t="shared" si="20"/>
        <v>312680.32999999996</v>
      </c>
      <c r="S231" s="33">
        <f>+'A) Base RI'!AN231</f>
        <v>78</v>
      </c>
      <c r="T231" s="412">
        <f t="shared" si="21"/>
        <v>292736.73</v>
      </c>
      <c r="U231" s="412">
        <f t="shared" si="22"/>
        <v>4008.7221794871789</v>
      </c>
      <c r="V231" s="10">
        <f>+'A) Base RI'!O231</f>
        <v>0</v>
      </c>
      <c r="W231" s="10">
        <f>+'A) Base RI'!P231</f>
        <v>880</v>
      </c>
      <c r="X231" s="10">
        <f>+'A) Base RI'!R231</f>
        <v>1152.75</v>
      </c>
      <c r="Y231" s="412">
        <f t="shared" si="23"/>
        <v>2032.75</v>
      </c>
      <c r="Z231" s="10">
        <f>+'A) Base RI'!N231</f>
        <v>8622.5</v>
      </c>
      <c r="AA231" s="10">
        <f>'A) Base RI'!AO231</f>
        <v>145</v>
      </c>
    </row>
    <row r="232" spans="1:27" x14ac:dyDescent="0.25">
      <c r="A232" s="8">
        <f>'A) Base RI'!A232</f>
        <v>5763</v>
      </c>
      <c r="B232" s="32" t="str">
        <f>'A) Base RI'!B232</f>
        <v>Valeyres-sous-Rances</v>
      </c>
      <c r="C232" s="10">
        <f>'A) Base RI'!C232+'A) Base RI'!D232</f>
        <v>1349224.44</v>
      </c>
      <c r="D232" s="10">
        <f>'A) Base RI'!AP232</f>
        <v>-14704.25</v>
      </c>
      <c r="E232" s="31">
        <f>'A) Base RI'!AQ232</f>
        <v>0</v>
      </c>
      <c r="F232" s="31">
        <f>'A) Base RI'!AR232</f>
        <v>-348.45</v>
      </c>
      <c r="G232" s="412">
        <f t="shared" si="18"/>
        <v>1334171.74</v>
      </c>
      <c r="H232" s="10">
        <f>+'A) Base RI'!E232</f>
        <v>0</v>
      </c>
      <c r="I232" s="10">
        <f>+'A) Base RI'!F232</f>
        <v>3240</v>
      </c>
      <c r="J232" s="10">
        <f>+'A) Base RI'!G232+'A) Base RI'!H232+'A) Base RI'!X232</f>
        <v>36454.299999999996</v>
      </c>
      <c r="K232" s="10">
        <f>+'A) Base RI'!I232</f>
        <v>0</v>
      </c>
      <c r="L232" s="10">
        <f>+'A) Base RI'!J232</f>
        <v>16727.34</v>
      </c>
      <c r="M232" s="10">
        <f>+'A) Base RI'!K232</f>
        <v>3519.35</v>
      </c>
      <c r="N232" s="10">
        <f>+'A) Base RI'!Q232</f>
        <v>7621.41</v>
      </c>
      <c r="O232" s="10">
        <f t="shared" si="19"/>
        <v>88555</v>
      </c>
      <c r="P232" s="10">
        <f>+'A) Base RI'!L232</f>
        <v>88555</v>
      </c>
      <c r="Q232" s="34">
        <f>'A) Base RI'!AS232</f>
        <v>1</v>
      </c>
      <c r="R232" s="412">
        <f t="shared" si="20"/>
        <v>1490289.1400000001</v>
      </c>
      <c r="S232" s="33">
        <f>+'A) Base RI'!AN232</f>
        <v>68</v>
      </c>
      <c r="T232" s="412">
        <f t="shared" si="21"/>
        <v>1394974.79</v>
      </c>
      <c r="U232" s="412">
        <f t="shared" si="22"/>
        <v>21916.016764705884</v>
      </c>
      <c r="V232" s="10">
        <f>+'A) Base RI'!O232</f>
        <v>0</v>
      </c>
      <c r="W232" s="10">
        <f>+'A) Base RI'!P232</f>
        <v>24332.65</v>
      </c>
      <c r="X232" s="10">
        <f>+'A) Base RI'!R232</f>
        <v>6556.05</v>
      </c>
      <c r="Y232" s="412">
        <f t="shared" si="23"/>
        <v>30888.7</v>
      </c>
      <c r="Z232" s="10">
        <f>+'A) Base RI'!N232</f>
        <v>45726.7</v>
      </c>
      <c r="AA232" s="10">
        <f>'A) Base RI'!AO232</f>
        <v>620</v>
      </c>
    </row>
    <row r="233" spans="1:27" x14ac:dyDescent="0.25">
      <c r="A233" s="8">
        <f>'A) Base RI'!A233</f>
        <v>5764</v>
      </c>
      <c r="B233" s="32" t="str">
        <f>'A) Base RI'!B233</f>
        <v>Vallorbe</v>
      </c>
      <c r="C233" s="10">
        <f>'A) Base RI'!C233+'A) Base RI'!D233</f>
        <v>5377467.9199999999</v>
      </c>
      <c r="D233" s="10">
        <f>'A) Base RI'!AP233</f>
        <v>-220639.95</v>
      </c>
      <c r="E233" s="31">
        <f>'A) Base RI'!AQ233</f>
        <v>0</v>
      </c>
      <c r="F233" s="31">
        <f>'A) Base RI'!AR233</f>
        <v>-1324.77</v>
      </c>
      <c r="G233" s="412">
        <f t="shared" si="18"/>
        <v>5155503.2</v>
      </c>
      <c r="H233" s="10">
        <f>+'A) Base RI'!E233</f>
        <v>0</v>
      </c>
      <c r="I233" s="10">
        <f>+'A) Base RI'!F233</f>
        <v>0</v>
      </c>
      <c r="J233" s="10">
        <f>+'A) Base RI'!G233+'A) Base RI'!H233+'A) Base RI'!X233</f>
        <v>572035.05000000005</v>
      </c>
      <c r="K233" s="10">
        <f>+'A) Base RI'!I233</f>
        <v>0</v>
      </c>
      <c r="L233" s="10">
        <f>+'A) Base RI'!J233</f>
        <v>183049.14</v>
      </c>
      <c r="M233" s="10">
        <f>+'A) Base RI'!K233</f>
        <v>36197.4</v>
      </c>
      <c r="N233" s="10">
        <f>+'A) Base RI'!Q233</f>
        <v>26109.17</v>
      </c>
      <c r="O233" s="10">
        <f t="shared" si="19"/>
        <v>454100.85</v>
      </c>
      <c r="P233" s="10">
        <f>+'A) Base RI'!L233</f>
        <v>454100.85</v>
      </c>
      <c r="Q233" s="34">
        <f>'A) Base RI'!AS233</f>
        <v>1</v>
      </c>
      <c r="R233" s="412">
        <f t="shared" si="20"/>
        <v>6426994.8099999996</v>
      </c>
      <c r="S233" s="33">
        <f>+'A) Base RI'!AN233</f>
        <v>73</v>
      </c>
      <c r="T233" s="412">
        <f t="shared" si="21"/>
        <v>5936696.5599999996</v>
      </c>
      <c r="U233" s="412">
        <f t="shared" si="22"/>
        <v>88041.024794520548</v>
      </c>
      <c r="V233" s="10">
        <f>+'A) Base RI'!O233</f>
        <v>327432.7</v>
      </c>
      <c r="W233" s="10">
        <f>+'A) Base RI'!P233</f>
        <v>245586.45</v>
      </c>
      <c r="X233" s="10">
        <f>+'A) Base RI'!R233</f>
        <v>135465.70000000001</v>
      </c>
      <c r="Y233" s="412">
        <f t="shared" si="23"/>
        <v>708484.85000000009</v>
      </c>
      <c r="Z233" s="10">
        <f>+'A) Base RI'!N233</f>
        <v>2136567.6</v>
      </c>
      <c r="AA233" s="10">
        <f>'A) Base RI'!AO233</f>
        <v>3857</v>
      </c>
    </row>
    <row r="234" spans="1:27" x14ac:dyDescent="0.25">
      <c r="A234" s="8">
        <f>'A) Base RI'!A234</f>
        <v>5765</v>
      </c>
      <c r="B234" s="32" t="str">
        <f>'A) Base RI'!B234</f>
        <v>Vaulion</v>
      </c>
      <c r="C234" s="10">
        <f>'A) Base RI'!C234+'A) Base RI'!D234</f>
        <v>895542.36999999988</v>
      </c>
      <c r="D234" s="10">
        <f>'A) Base RI'!AP234</f>
        <v>-10251.64</v>
      </c>
      <c r="E234" s="31">
        <f>'A) Base RI'!AQ234</f>
        <v>0</v>
      </c>
      <c r="F234" s="31">
        <f>'A) Base RI'!AR234</f>
        <v>-3.44</v>
      </c>
      <c r="G234" s="412">
        <f t="shared" si="18"/>
        <v>885287.28999999992</v>
      </c>
      <c r="H234" s="10">
        <f>+'A) Base RI'!E234</f>
        <v>0</v>
      </c>
      <c r="I234" s="10">
        <f>+'A) Base RI'!F234</f>
        <v>0</v>
      </c>
      <c r="J234" s="10">
        <f>+'A) Base RI'!G234+'A) Base RI'!H234+'A) Base RI'!X234</f>
        <v>6989.55</v>
      </c>
      <c r="K234" s="10">
        <f>+'A) Base RI'!I234</f>
        <v>0</v>
      </c>
      <c r="L234" s="10">
        <f>+'A) Base RI'!J234</f>
        <v>13487.21</v>
      </c>
      <c r="M234" s="10">
        <f>+'A) Base RI'!K234</f>
        <v>0</v>
      </c>
      <c r="N234" s="10">
        <f>+'A) Base RI'!Q234</f>
        <v>208.07</v>
      </c>
      <c r="O234" s="10">
        <f t="shared" si="19"/>
        <v>63552</v>
      </c>
      <c r="P234" s="10">
        <f>+'A) Base RI'!L234</f>
        <v>31776</v>
      </c>
      <c r="Q234" s="34">
        <f>'A) Base RI'!AS234</f>
        <v>0.5</v>
      </c>
      <c r="R234" s="412">
        <f t="shared" si="20"/>
        <v>969524.11999999988</v>
      </c>
      <c r="S234" s="33">
        <f>+'A) Base RI'!AN234</f>
        <v>81</v>
      </c>
      <c r="T234" s="412">
        <f t="shared" si="21"/>
        <v>905972.11999999988</v>
      </c>
      <c r="U234" s="412">
        <f t="shared" si="22"/>
        <v>11969.433580246912</v>
      </c>
      <c r="V234" s="10">
        <f>+'A) Base RI'!O234</f>
        <v>922.5</v>
      </c>
      <c r="W234" s="10">
        <f>+'A) Base RI'!P234</f>
        <v>50292</v>
      </c>
      <c r="X234" s="10">
        <f>+'A) Base RI'!R234</f>
        <v>31876.2</v>
      </c>
      <c r="Y234" s="412">
        <f t="shared" si="23"/>
        <v>83090.7</v>
      </c>
      <c r="Z234" s="10">
        <f>+'A) Base RI'!N234</f>
        <v>28462.45</v>
      </c>
      <c r="AA234" s="10">
        <f>'A) Base RI'!AO234</f>
        <v>496</v>
      </c>
    </row>
    <row r="235" spans="1:27" x14ac:dyDescent="0.25">
      <c r="A235" s="8">
        <f>'A) Base RI'!A235</f>
        <v>5766</v>
      </c>
      <c r="B235" s="32" t="str">
        <f>'A) Base RI'!B235</f>
        <v>Vuiteboeuf</v>
      </c>
      <c r="C235" s="10">
        <f>'A) Base RI'!C235+'A) Base RI'!D235</f>
        <v>955641.28</v>
      </c>
      <c r="D235" s="10">
        <f>'A) Base RI'!AP235</f>
        <v>-7853.91</v>
      </c>
      <c r="E235" s="31">
        <f>'A) Base RI'!AQ235</f>
        <v>0</v>
      </c>
      <c r="F235" s="31">
        <f>'A) Base RI'!AR235</f>
        <v>-105.29</v>
      </c>
      <c r="G235" s="412">
        <f t="shared" si="18"/>
        <v>947682.08</v>
      </c>
      <c r="H235" s="10">
        <f>+'A) Base RI'!E235</f>
        <v>0</v>
      </c>
      <c r="I235" s="10">
        <f>+'A) Base RI'!F235</f>
        <v>0</v>
      </c>
      <c r="J235" s="10">
        <f>+'A) Base RI'!G235+'A) Base RI'!H235+'A) Base RI'!X235</f>
        <v>16375.55</v>
      </c>
      <c r="K235" s="10">
        <f>+'A) Base RI'!I235</f>
        <v>0</v>
      </c>
      <c r="L235" s="10">
        <f>+'A) Base RI'!J235</f>
        <v>26259.51</v>
      </c>
      <c r="M235" s="10">
        <f>+'A) Base RI'!K235</f>
        <v>4564.6499999999996</v>
      </c>
      <c r="N235" s="10">
        <f>+'A) Base RI'!Q235</f>
        <v>200.2</v>
      </c>
      <c r="O235" s="10">
        <f t="shared" si="19"/>
        <v>80084.000000000015</v>
      </c>
      <c r="P235" s="10">
        <f>+'A) Base RI'!L235</f>
        <v>56058.8</v>
      </c>
      <c r="Q235" s="34">
        <f>'A) Base RI'!AS235</f>
        <v>0.7</v>
      </c>
      <c r="R235" s="412">
        <f t="shared" si="20"/>
        <v>1075165.99</v>
      </c>
      <c r="S235" s="33">
        <f>+'A) Base RI'!AN235</f>
        <v>77</v>
      </c>
      <c r="T235" s="412">
        <f t="shared" si="21"/>
        <v>990517.34</v>
      </c>
      <c r="U235" s="412">
        <f t="shared" si="22"/>
        <v>13963.194675324676</v>
      </c>
      <c r="V235" s="10">
        <f>+'A) Base RI'!O235</f>
        <v>0</v>
      </c>
      <c r="W235" s="10">
        <f>+'A) Base RI'!P235</f>
        <v>61265.599999999999</v>
      </c>
      <c r="X235" s="10">
        <f>+'A) Base RI'!R235</f>
        <v>33834.949999999997</v>
      </c>
      <c r="Y235" s="412">
        <f t="shared" si="23"/>
        <v>95100.549999999988</v>
      </c>
      <c r="Z235" s="10">
        <f>+'A) Base RI'!N235</f>
        <v>0</v>
      </c>
      <c r="AA235" s="10">
        <f>'A) Base RI'!AO235</f>
        <v>576</v>
      </c>
    </row>
    <row r="236" spans="1:27" x14ac:dyDescent="0.25">
      <c r="A236" s="8">
        <f>'A) Base RI'!A236</f>
        <v>5785</v>
      </c>
      <c r="B236" s="32" t="str">
        <f>'A) Base RI'!B236</f>
        <v>Corcelles-le-Jorat</v>
      </c>
      <c r="C236" s="10">
        <f>'A) Base RI'!C236+'A) Base RI'!D236</f>
        <v>1192410.69</v>
      </c>
      <c r="D236" s="10">
        <f>'A) Base RI'!AP236</f>
        <v>-1740.53</v>
      </c>
      <c r="E236" s="31">
        <f>'A) Base RI'!AQ236</f>
        <v>0</v>
      </c>
      <c r="F236" s="31">
        <f>'A) Base RI'!AR236</f>
        <v>-602.91</v>
      </c>
      <c r="G236" s="412">
        <f t="shared" si="18"/>
        <v>1190067.25</v>
      </c>
      <c r="H236" s="10">
        <f>+'A) Base RI'!E236</f>
        <v>0</v>
      </c>
      <c r="I236" s="10">
        <f>+'A) Base RI'!F236</f>
        <v>0</v>
      </c>
      <c r="J236" s="10">
        <f>+'A) Base RI'!G236+'A) Base RI'!H236+'A) Base RI'!X236</f>
        <v>18642.95</v>
      </c>
      <c r="K236" s="10">
        <f>+'A) Base RI'!I236</f>
        <v>0</v>
      </c>
      <c r="L236" s="10">
        <f>+'A) Base RI'!J236</f>
        <v>25805.360000000001</v>
      </c>
      <c r="M236" s="10">
        <f>+'A) Base RI'!K236</f>
        <v>1333.1</v>
      </c>
      <c r="N236" s="10">
        <f>+'A) Base RI'!Q236</f>
        <v>2431.35</v>
      </c>
      <c r="O236" s="10">
        <f t="shared" si="19"/>
        <v>69341.75</v>
      </c>
      <c r="P236" s="10">
        <f>+'A) Base RI'!L236</f>
        <v>69341.75</v>
      </c>
      <c r="Q236" s="34">
        <f>'A) Base RI'!AS236</f>
        <v>1</v>
      </c>
      <c r="R236" s="412">
        <f t="shared" si="20"/>
        <v>1307621.7600000002</v>
      </c>
      <c r="S236" s="33">
        <f>+'A) Base RI'!AN236</f>
        <v>77</v>
      </c>
      <c r="T236" s="412">
        <f t="shared" si="21"/>
        <v>1236946.9100000001</v>
      </c>
      <c r="U236" s="412">
        <f t="shared" si="22"/>
        <v>16982.100779220782</v>
      </c>
      <c r="V236" s="10">
        <f>+'A) Base RI'!O236</f>
        <v>26156.9</v>
      </c>
      <c r="W236" s="10">
        <f>+'A) Base RI'!P236</f>
        <v>36959.550000000003</v>
      </c>
      <c r="X236" s="10">
        <f>+'A) Base RI'!R236</f>
        <v>27893.15</v>
      </c>
      <c r="Y236" s="412">
        <f t="shared" si="23"/>
        <v>91009.600000000006</v>
      </c>
      <c r="Z236" s="10">
        <f>+'A) Base RI'!N236</f>
        <v>0</v>
      </c>
      <c r="AA236" s="10">
        <f>'A) Base RI'!AO236</f>
        <v>458</v>
      </c>
    </row>
    <row r="237" spans="1:27" x14ac:dyDescent="0.25">
      <c r="A237" s="8">
        <f>'A) Base RI'!A237</f>
        <v>5788</v>
      </c>
      <c r="B237" s="32" t="str">
        <f>'A) Base RI'!B237</f>
        <v>Essertes</v>
      </c>
      <c r="C237" s="10">
        <f>'A) Base RI'!C237+'A) Base RI'!D237</f>
        <v>800792.87</v>
      </c>
      <c r="D237" s="10">
        <f>'A) Base RI'!AP237</f>
        <v>-13344.28</v>
      </c>
      <c r="E237" s="31">
        <f>'A) Base RI'!AQ237</f>
        <v>0</v>
      </c>
      <c r="F237" s="31">
        <f>'A) Base RI'!AR237</f>
        <v>-82.54</v>
      </c>
      <c r="G237" s="412">
        <f t="shared" si="18"/>
        <v>787366.04999999993</v>
      </c>
      <c r="H237" s="10">
        <f>+'A) Base RI'!E237</f>
        <v>0</v>
      </c>
      <c r="I237" s="10">
        <f>+'A) Base RI'!F237</f>
        <v>0</v>
      </c>
      <c r="J237" s="10">
        <f>+'A) Base RI'!G237+'A) Base RI'!H237+'A) Base RI'!X237</f>
        <v>8628.7000000000007</v>
      </c>
      <c r="K237" s="10">
        <f>+'A) Base RI'!I237</f>
        <v>0</v>
      </c>
      <c r="L237" s="10">
        <f>+'A) Base RI'!J237</f>
        <v>18807.8</v>
      </c>
      <c r="M237" s="10">
        <f>+'A) Base RI'!K237</f>
        <v>3926</v>
      </c>
      <c r="N237" s="10">
        <f>+'A) Base RI'!Q237</f>
        <v>0</v>
      </c>
      <c r="O237" s="10">
        <f t="shared" si="19"/>
        <v>72148.800000000003</v>
      </c>
      <c r="P237" s="10">
        <f>+'A) Base RI'!L237</f>
        <v>90186</v>
      </c>
      <c r="Q237" s="34">
        <f>'A) Base RI'!AS237</f>
        <v>1.25</v>
      </c>
      <c r="R237" s="412">
        <f t="shared" si="20"/>
        <v>890877.35</v>
      </c>
      <c r="S237" s="33">
        <f>+'A) Base RI'!AN237</f>
        <v>72</v>
      </c>
      <c r="T237" s="412">
        <f t="shared" si="21"/>
        <v>814802.54999999993</v>
      </c>
      <c r="U237" s="412">
        <f t="shared" si="22"/>
        <v>12373.296527777777</v>
      </c>
      <c r="V237" s="10">
        <f>+'A) Base RI'!O237</f>
        <v>0</v>
      </c>
      <c r="W237" s="10">
        <f>+'A) Base RI'!P237</f>
        <v>58045.05</v>
      </c>
      <c r="X237" s="10">
        <f>+'A) Base RI'!R237</f>
        <v>41283.75</v>
      </c>
      <c r="Y237" s="412">
        <f t="shared" si="23"/>
        <v>99328.8</v>
      </c>
      <c r="Z237" s="10">
        <f>+'A) Base RI'!N237</f>
        <v>0</v>
      </c>
      <c r="AA237" s="10">
        <f>'A) Base RI'!AO237</f>
        <v>380</v>
      </c>
    </row>
    <row r="238" spans="1:27" x14ac:dyDescent="0.25">
      <c r="A238" s="8">
        <f>'A) Base RI'!A238</f>
        <v>5790</v>
      </c>
      <c r="B238" s="32" t="str">
        <f>'A) Base RI'!B238</f>
        <v>Maracon</v>
      </c>
      <c r="C238" s="10">
        <f>'A) Base RI'!C238+'A) Base RI'!D238</f>
        <v>983851.16</v>
      </c>
      <c r="D238" s="10">
        <f>'A) Base RI'!AP238</f>
        <v>-4880.07</v>
      </c>
      <c r="E238" s="31">
        <f>'A) Base RI'!AQ238</f>
        <v>0</v>
      </c>
      <c r="F238" s="31">
        <f>'A) Base RI'!AR238</f>
        <v>-267.56</v>
      </c>
      <c r="G238" s="412">
        <f t="shared" si="18"/>
        <v>978703.53</v>
      </c>
      <c r="H238" s="10">
        <f>+'A) Base RI'!E238</f>
        <v>0</v>
      </c>
      <c r="I238" s="10">
        <f>+'A) Base RI'!F238</f>
        <v>0</v>
      </c>
      <c r="J238" s="10">
        <f>+'A) Base RI'!G238+'A) Base RI'!H238+'A) Base RI'!X238</f>
        <v>4623.55</v>
      </c>
      <c r="K238" s="10">
        <f>+'A) Base RI'!I238</f>
        <v>0</v>
      </c>
      <c r="L238" s="10">
        <f>+'A) Base RI'!J238</f>
        <v>31803.69</v>
      </c>
      <c r="M238" s="10">
        <f>+'A) Base RI'!K238</f>
        <v>-1145.5</v>
      </c>
      <c r="N238" s="10">
        <f>+'A) Base RI'!Q238</f>
        <v>0</v>
      </c>
      <c r="O238" s="10">
        <f t="shared" si="19"/>
        <v>82914.25</v>
      </c>
      <c r="P238" s="10">
        <f>+'A) Base RI'!L238</f>
        <v>82914.25</v>
      </c>
      <c r="Q238" s="34">
        <f>'A) Base RI'!AS238</f>
        <v>1</v>
      </c>
      <c r="R238" s="412">
        <f t="shared" si="20"/>
        <v>1096899.52</v>
      </c>
      <c r="S238" s="33">
        <f>+'A) Base RI'!AN238</f>
        <v>76</v>
      </c>
      <c r="T238" s="412">
        <f t="shared" si="21"/>
        <v>1015130.77</v>
      </c>
      <c r="U238" s="412">
        <f t="shared" si="22"/>
        <v>14432.888421052632</v>
      </c>
      <c r="V238" s="10">
        <f>+'A) Base RI'!O238</f>
        <v>147675</v>
      </c>
      <c r="W238" s="10">
        <f>+'A) Base RI'!P238</f>
        <v>68988</v>
      </c>
      <c r="X238" s="10">
        <f>+'A) Base RI'!R238</f>
        <v>20856.2</v>
      </c>
      <c r="Y238" s="412">
        <f t="shared" si="23"/>
        <v>237519.2</v>
      </c>
      <c r="Z238" s="10">
        <f>+'A) Base RI'!N238</f>
        <v>9920.6</v>
      </c>
      <c r="AA238" s="10">
        <f>'A) Base RI'!AO238</f>
        <v>538</v>
      </c>
    </row>
    <row r="239" spans="1:27" x14ac:dyDescent="0.25">
      <c r="A239" s="8">
        <f>'A) Base RI'!A239</f>
        <v>5792</v>
      </c>
      <c r="B239" s="32" t="str">
        <f>'A) Base RI'!B239</f>
        <v>Montpreveyres</v>
      </c>
      <c r="C239" s="10">
        <f>'A) Base RI'!C239+'A) Base RI'!D239</f>
        <v>1349668.1</v>
      </c>
      <c r="D239" s="10">
        <f>'A) Base RI'!AP239</f>
        <v>-12155.98</v>
      </c>
      <c r="E239" s="31">
        <f>'A) Base RI'!AQ239</f>
        <v>0</v>
      </c>
      <c r="F239" s="31">
        <f>'A) Base RI'!AR239</f>
        <v>-4.79</v>
      </c>
      <c r="G239" s="412">
        <f t="shared" si="18"/>
        <v>1337507.33</v>
      </c>
      <c r="H239" s="10">
        <f>+'A) Base RI'!E239</f>
        <v>0</v>
      </c>
      <c r="I239" s="10">
        <f>+'A) Base RI'!F239</f>
        <v>0</v>
      </c>
      <c r="J239" s="10">
        <f>+'A) Base RI'!G239+'A) Base RI'!H239+'A) Base RI'!X239</f>
        <v>65379.55</v>
      </c>
      <c r="K239" s="10">
        <f>+'A) Base RI'!I239</f>
        <v>0</v>
      </c>
      <c r="L239" s="10">
        <f>+'A) Base RI'!J239</f>
        <v>29622.68</v>
      </c>
      <c r="M239" s="10">
        <f>+'A) Base RI'!K239</f>
        <v>456.7</v>
      </c>
      <c r="N239" s="10">
        <f>+'A) Base RI'!Q239</f>
        <v>922.61</v>
      </c>
      <c r="O239" s="10">
        <f t="shared" si="19"/>
        <v>117252.9</v>
      </c>
      <c r="P239" s="10">
        <f>+'A) Base RI'!L239</f>
        <v>117252.9</v>
      </c>
      <c r="Q239" s="34">
        <f>'A) Base RI'!AS239</f>
        <v>1</v>
      </c>
      <c r="R239" s="412">
        <f t="shared" si="20"/>
        <v>1551141.77</v>
      </c>
      <c r="S239" s="33">
        <f>+'A) Base RI'!AN239</f>
        <v>77</v>
      </c>
      <c r="T239" s="412">
        <f t="shared" si="21"/>
        <v>1433432.1700000002</v>
      </c>
      <c r="U239" s="412">
        <f t="shared" si="22"/>
        <v>20144.698311688313</v>
      </c>
      <c r="V239" s="10">
        <f>+'A) Base RI'!O239</f>
        <v>4994.2</v>
      </c>
      <c r="W239" s="10">
        <f>+'A) Base RI'!P239</f>
        <v>78135.05</v>
      </c>
      <c r="X239" s="10">
        <f>+'A) Base RI'!R239</f>
        <v>37993.5</v>
      </c>
      <c r="Y239" s="412">
        <f t="shared" si="23"/>
        <v>121122.75</v>
      </c>
      <c r="Z239" s="10">
        <f>+'A) Base RI'!N239</f>
        <v>0</v>
      </c>
      <c r="AA239" s="10">
        <f>'A) Base RI'!AO239</f>
        <v>657</v>
      </c>
    </row>
    <row r="240" spans="1:27" x14ac:dyDescent="0.25">
      <c r="A240" s="8">
        <f>'A) Base RI'!A240</f>
        <v>5798</v>
      </c>
      <c r="B240" s="32" t="str">
        <f>'A) Base RI'!B240</f>
        <v>Ropraz</v>
      </c>
      <c r="C240" s="10">
        <f>'A) Base RI'!C240+'A) Base RI'!D240</f>
        <v>1013776.34</v>
      </c>
      <c r="D240" s="10">
        <f>'A) Base RI'!AP240</f>
        <v>-8728.89</v>
      </c>
      <c r="E240" s="31">
        <f>'A) Base RI'!AQ240</f>
        <v>0</v>
      </c>
      <c r="F240" s="31">
        <f>'A) Base RI'!AR240</f>
        <v>-86.47</v>
      </c>
      <c r="G240" s="412">
        <f t="shared" si="18"/>
        <v>1004960.98</v>
      </c>
      <c r="H240" s="10">
        <f>+'A) Base RI'!E240</f>
        <v>0</v>
      </c>
      <c r="I240" s="10">
        <f>+'A) Base RI'!F240</f>
        <v>0</v>
      </c>
      <c r="J240" s="10">
        <f>+'A) Base RI'!G240+'A) Base RI'!H240+'A) Base RI'!X240</f>
        <v>14692.05</v>
      </c>
      <c r="K240" s="10">
        <f>+'A) Base RI'!I240</f>
        <v>0</v>
      </c>
      <c r="L240" s="10">
        <f>+'A) Base RI'!J240</f>
        <v>13283.32</v>
      </c>
      <c r="M240" s="10">
        <f>+'A) Base RI'!K240</f>
        <v>3941.45</v>
      </c>
      <c r="N240" s="10">
        <f>+'A) Base RI'!Q240</f>
        <v>0</v>
      </c>
      <c r="O240" s="10">
        <f t="shared" si="19"/>
        <v>76999.3</v>
      </c>
      <c r="P240" s="10">
        <f>+'A) Base RI'!L240</f>
        <v>38499.65</v>
      </c>
      <c r="Q240" s="34">
        <f>'A) Base RI'!AS240</f>
        <v>0.5</v>
      </c>
      <c r="R240" s="412">
        <f t="shared" si="20"/>
        <v>1113877.0999999999</v>
      </c>
      <c r="S240" s="33">
        <f>+'A) Base RI'!AN240</f>
        <v>77.5</v>
      </c>
      <c r="T240" s="412">
        <f t="shared" si="21"/>
        <v>1032936.35</v>
      </c>
      <c r="U240" s="412">
        <f t="shared" si="22"/>
        <v>14372.607741935482</v>
      </c>
      <c r="V240" s="10">
        <f>+'A) Base RI'!O240</f>
        <v>0</v>
      </c>
      <c r="W240" s="10">
        <f>+'A) Base RI'!P240</f>
        <v>7406.05</v>
      </c>
      <c r="X240" s="10">
        <f>+'A) Base RI'!R240</f>
        <v>0</v>
      </c>
      <c r="Y240" s="412">
        <f t="shared" si="23"/>
        <v>7406.05</v>
      </c>
      <c r="Z240" s="10">
        <f>+'A) Base RI'!N240</f>
        <v>15436.75</v>
      </c>
      <c r="AA240" s="10">
        <f>'A) Base RI'!AO240</f>
        <v>488</v>
      </c>
    </row>
    <row r="241" spans="1:27" x14ac:dyDescent="0.25">
      <c r="A241" s="8">
        <f>'A) Base RI'!A241</f>
        <v>5799</v>
      </c>
      <c r="B241" s="32" t="str">
        <f>'A) Base RI'!B241</f>
        <v>Servion</v>
      </c>
      <c r="C241" s="10">
        <f>'A) Base RI'!C241+'A) Base RI'!D241</f>
        <v>4438352.3100000005</v>
      </c>
      <c r="D241" s="10">
        <f>'A) Base RI'!AP241</f>
        <v>-19385.689999999999</v>
      </c>
      <c r="E241" s="31">
        <f>'A) Base RI'!AQ241</f>
        <v>0</v>
      </c>
      <c r="F241" s="31">
        <f>'A) Base RI'!AR241</f>
        <v>-1090.27</v>
      </c>
      <c r="G241" s="412">
        <f t="shared" si="18"/>
        <v>4417876.3500000006</v>
      </c>
      <c r="H241" s="10">
        <f>+'A) Base RI'!E241</f>
        <v>0</v>
      </c>
      <c r="I241" s="10">
        <f>+'A) Base RI'!F241</f>
        <v>0</v>
      </c>
      <c r="J241" s="10">
        <f>+'A) Base RI'!G241+'A) Base RI'!H241+'A) Base RI'!X241</f>
        <v>7555.25</v>
      </c>
      <c r="K241" s="10">
        <f>+'A) Base RI'!I241</f>
        <v>0</v>
      </c>
      <c r="L241" s="10">
        <f>+'A) Base RI'!J241</f>
        <v>53771.66</v>
      </c>
      <c r="M241" s="10">
        <f>+'A) Base RI'!K241</f>
        <v>14351.4</v>
      </c>
      <c r="N241" s="10">
        <f>+'A) Base RI'!Q241</f>
        <v>7395.42</v>
      </c>
      <c r="O241" s="10">
        <f t="shared" si="19"/>
        <v>407035</v>
      </c>
      <c r="P241" s="10">
        <f>+'A) Base RI'!L241</f>
        <v>407035</v>
      </c>
      <c r="Q241" s="34">
        <f>'A) Base RI'!AS241</f>
        <v>1</v>
      </c>
      <c r="R241" s="412">
        <f t="shared" si="20"/>
        <v>4907985.080000001</v>
      </c>
      <c r="S241" s="33">
        <f>+'A) Base RI'!AN241</f>
        <v>69</v>
      </c>
      <c r="T241" s="412">
        <f t="shared" si="21"/>
        <v>4486598.6800000006</v>
      </c>
      <c r="U241" s="412">
        <f t="shared" si="22"/>
        <v>71130.218550724647</v>
      </c>
      <c r="V241" s="10">
        <f>+'A) Base RI'!O241</f>
        <v>0</v>
      </c>
      <c r="W241" s="10">
        <f>+'A) Base RI'!P241</f>
        <v>208055.75</v>
      </c>
      <c r="X241" s="10">
        <f>+'A) Base RI'!R241</f>
        <v>229546.5</v>
      </c>
      <c r="Y241" s="412">
        <f t="shared" si="23"/>
        <v>437602.25</v>
      </c>
      <c r="Z241" s="10">
        <f>+'A) Base RI'!N241</f>
        <v>11845.95</v>
      </c>
      <c r="AA241" s="10">
        <f>'A) Base RI'!AO241</f>
        <v>1997</v>
      </c>
    </row>
    <row r="242" spans="1:27" x14ac:dyDescent="0.25">
      <c r="A242" s="8">
        <f>'A) Base RI'!A242</f>
        <v>5803</v>
      </c>
      <c r="B242" s="32" t="str">
        <f>'A) Base RI'!B242</f>
        <v>Vulliens</v>
      </c>
      <c r="C242" s="10">
        <f>'A) Base RI'!C242+'A) Base RI'!D242</f>
        <v>1277002.2000000002</v>
      </c>
      <c r="D242" s="10">
        <f>'A) Base RI'!AP242</f>
        <v>-18498.72</v>
      </c>
      <c r="E242" s="31">
        <f>'A) Base RI'!AQ242</f>
        <v>0</v>
      </c>
      <c r="F242" s="31">
        <f>'A) Base RI'!AR242</f>
        <v>-225.66</v>
      </c>
      <c r="G242" s="412">
        <f t="shared" si="18"/>
        <v>1258277.8200000003</v>
      </c>
      <c r="H242" s="10">
        <f>+'A) Base RI'!E242</f>
        <v>0</v>
      </c>
      <c r="I242" s="10">
        <f>+'A) Base RI'!F242</f>
        <v>0</v>
      </c>
      <c r="J242" s="10">
        <f>+'A) Base RI'!G242+'A) Base RI'!H242+'A) Base RI'!X242</f>
        <v>-12695.349999999999</v>
      </c>
      <c r="K242" s="10">
        <f>+'A) Base RI'!I242</f>
        <v>0</v>
      </c>
      <c r="L242" s="10">
        <f>+'A) Base RI'!J242</f>
        <v>12121.29</v>
      </c>
      <c r="M242" s="10">
        <f>+'A) Base RI'!K242</f>
        <v>0</v>
      </c>
      <c r="N242" s="10">
        <f>+'A) Base RI'!Q242</f>
        <v>336.85</v>
      </c>
      <c r="O242" s="10">
        <f t="shared" si="19"/>
        <v>104771.85</v>
      </c>
      <c r="P242" s="10">
        <f>+'A) Base RI'!L242</f>
        <v>104771.85</v>
      </c>
      <c r="Q242" s="34">
        <f>'A) Base RI'!AS242</f>
        <v>1</v>
      </c>
      <c r="R242" s="412">
        <f t="shared" si="20"/>
        <v>1362812.4600000004</v>
      </c>
      <c r="S242" s="33">
        <f>+'A) Base RI'!AN242</f>
        <v>78</v>
      </c>
      <c r="T242" s="412">
        <f t="shared" si="21"/>
        <v>1258040.6100000003</v>
      </c>
      <c r="U242" s="412">
        <f t="shared" si="22"/>
        <v>17471.95461538462</v>
      </c>
      <c r="V242" s="10">
        <f>+'A) Base RI'!O242</f>
        <v>1452.3</v>
      </c>
      <c r="W242" s="10">
        <f>+'A) Base RI'!P242</f>
        <v>16551.8</v>
      </c>
      <c r="X242" s="10">
        <f>+'A) Base RI'!R242</f>
        <v>2438.3000000000002</v>
      </c>
      <c r="Y242" s="412">
        <f t="shared" si="23"/>
        <v>20442.399999999998</v>
      </c>
      <c r="Z242" s="10">
        <f>+'A) Base RI'!N242</f>
        <v>0</v>
      </c>
      <c r="AA242" s="10">
        <f>'A) Base RI'!AO242</f>
        <v>614</v>
      </c>
    </row>
    <row r="243" spans="1:27" x14ac:dyDescent="0.25">
      <c r="A243" s="8">
        <f>'A) Base RI'!A243</f>
        <v>5804</v>
      </c>
      <c r="B243" s="32" t="str">
        <f>'A) Base RI'!B243</f>
        <v>Jorat-Menthue</v>
      </c>
      <c r="C243" s="10">
        <f>'A) Base RI'!C243+'A) Base RI'!D243</f>
        <v>2890406.2800000003</v>
      </c>
      <c r="D243" s="10">
        <f>'A) Base RI'!AP243</f>
        <v>-120100.77</v>
      </c>
      <c r="E243" s="31">
        <f>'A) Base RI'!AQ243</f>
        <v>0</v>
      </c>
      <c r="F243" s="31">
        <f>'A) Base RI'!AR243</f>
        <v>-76.150000000000006</v>
      </c>
      <c r="G243" s="412">
        <f t="shared" si="18"/>
        <v>2770229.3600000003</v>
      </c>
      <c r="H243" s="10">
        <f>+'A) Base RI'!E243</f>
        <v>0</v>
      </c>
      <c r="I243" s="10">
        <f>+'A) Base RI'!F243</f>
        <v>0</v>
      </c>
      <c r="J243" s="10">
        <f>+'A) Base RI'!G243+'A) Base RI'!H243+'A) Base RI'!X243</f>
        <v>63797.8</v>
      </c>
      <c r="K243" s="10">
        <f>+'A) Base RI'!I243</f>
        <v>0</v>
      </c>
      <c r="L243" s="10">
        <f>+'A) Base RI'!J243</f>
        <v>73220.460000000006</v>
      </c>
      <c r="M243" s="10">
        <f>+'A) Base RI'!K243</f>
        <v>4390.1000000000004</v>
      </c>
      <c r="N243" s="10">
        <f>+'A) Base RI'!Q243</f>
        <v>6548.47</v>
      </c>
      <c r="O243" s="10">
        <f t="shared" si="19"/>
        <v>268001.8</v>
      </c>
      <c r="P243" s="10">
        <f>+'A) Base RI'!L243</f>
        <v>268001.8</v>
      </c>
      <c r="Q243" s="34">
        <f>'A) Base RI'!AS243</f>
        <v>1</v>
      </c>
      <c r="R243" s="412">
        <f t="shared" si="20"/>
        <v>3186187.99</v>
      </c>
      <c r="S243" s="33">
        <f>+'A) Base RI'!AN243</f>
        <v>72</v>
      </c>
      <c r="T243" s="412">
        <f t="shared" si="21"/>
        <v>2913796.0900000003</v>
      </c>
      <c r="U243" s="412">
        <f t="shared" si="22"/>
        <v>44252.610972222225</v>
      </c>
      <c r="V243" s="10">
        <f>+'A) Base RI'!O243</f>
        <v>48892.6</v>
      </c>
      <c r="W243" s="10">
        <f>+'A) Base RI'!P243</f>
        <v>68571.100000000006</v>
      </c>
      <c r="X243" s="10">
        <f>+'A) Base RI'!R243</f>
        <v>60966.6</v>
      </c>
      <c r="Y243" s="412">
        <f t="shared" si="23"/>
        <v>178430.30000000002</v>
      </c>
      <c r="Z243" s="10">
        <f>+'A) Base RI'!N243</f>
        <v>3973</v>
      </c>
      <c r="AA243" s="10">
        <f>'A) Base RI'!AO243</f>
        <v>1591</v>
      </c>
    </row>
    <row r="244" spans="1:27" x14ac:dyDescent="0.25">
      <c r="A244" s="8">
        <f>'A) Base RI'!A244</f>
        <v>5805</v>
      </c>
      <c r="B244" s="32" t="str">
        <f>'A) Base RI'!B244</f>
        <v>Oron</v>
      </c>
      <c r="C244" s="10">
        <f>'A) Base RI'!C244+'A) Base RI'!D244</f>
        <v>9393367.4700000007</v>
      </c>
      <c r="D244" s="10">
        <f>'A) Base RI'!AP244</f>
        <v>-186304.74</v>
      </c>
      <c r="E244" s="31">
        <f>'A) Base RI'!AQ244</f>
        <v>0</v>
      </c>
      <c r="F244" s="31">
        <f>'A) Base RI'!AR244</f>
        <v>-4320.09</v>
      </c>
      <c r="G244" s="412">
        <f t="shared" si="18"/>
        <v>9202742.6400000006</v>
      </c>
      <c r="H244" s="10">
        <f>+'A) Base RI'!E244</f>
        <v>0</v>
      </c>
      <c r="I244" s="10">
        <f>+'A) Base RI'!F244</f>
        <v>0</v>
      </c>
      <c r="J244" s="10">
        <f>+'A) Base RI'!G244+'A) Base RI'!H244+'A) Base RI'!X244</f>
        <v>499126.94999999995</v>
      </c>
      <c r="K244" s="10">
        <f>+'A) Base RI'!I244</f>
        <v>0</v>
      </c>
      <c r="L244" s="10">
        <f>+'A) Base RI'!J244</f>
        <v>208340.91</v>
      </c>
      <c r="M244" s="10">
        <f>+'A) Base RI'!K244</f>
        <v>70919.5</v>
      </c>
      <c r="N244" s="10">
        <f>+'A) Base RI'!Q244</f>
        <v>71404.789999999994</v>
      </c>
      <c r="O244" s="10">
        <f t="shared" si="19"/>
        <v>900377.77272727271</v>
      </c>
      <c r="P244" s="10">
        <f>+'A) Base RI'!L244</f>
        <v>990415.55</v>
      </c>
      <c r="Q244" s="34">
        <f>'A) Base RI'!AS244</f>
        <v>1.1000000000000001</v>
      </c>
      <c r="R244" s="412">
        <f t="shared" si="20"/>
        <v>10952912.562727273</v>
      </c>
      <c r="S244" s="33">
        <f>+'A) Base RI'!AN244</f>
        <v>69</v>
      </c>
      <c r="T244" s="412">
        <f t="shared" si="21"/>
        <v>9981615.2899999991</v>
      </c>
      <c r="U244" s="412">
        <f t="shared" si="22"/>
        <v>158737.86322793149</v>
      </c>
      <c r="V244" s="10">
        <f>+'A) Base RI'!O244</f>
        <v>326180</v>
      </c>
      <c r="W244" s="10">
        <f>+'A) Base RI'!P244</f>
        <v>655368.35</v>
      </c>
      <c r="X244" s="10">
        <f>+'A) Base RI'!R244</f>
        <v>325627.5</v>
      </c>
      <c r="Y244" s="412">
        <f t="shared" si="23"/>
        <v>1307175.8500000001</v>
      </c>
      <c r="Z244" s="10">
        <f>+'A) Base RI'!N244</f>
        <v>97651.95</v>
      </c>
      <c r="AA244" s="10">
        <f>'A) Base RI'!AO244</f>
        <v>5669</v>
      </c>
    </row>
    <row r="245" spans="1:27" x14ac:dyDescent="0.25">
      <c r="A245" s="8">
        <f>'A) Base RI'!A245</f>
        <v>5806</v>
      </c>
      <c r="B245" s="32" t="str">
        <f>'A) Base RI'!B245</f>
        <v>Jorat-Mézières</v>
      </c>
      <c r="C245" s="10">
        <f>'A) Base RI'!C245+'A) Base RI'!D245</f>
        <v>6283494.540000001</v>
      </c>
      <c r="D245" s="10">
        <f>'A) Base RI'!AP245</f>
        <v>-117362.91</v>
      </c>
      <c r="E245" s="31">
        <f>'A) Base RI'!AQ245</f>
        <v>0</v>
      </c>
      <c r="F245" s="31">
        <f>'A) Base RI'!AR245</f>
        <v>-1600.01</v>
      </c>
      <c r="G245" s="412">
        <f t="shared" si="18"/>
        <v>6164531.620000001</v>
      </c>
      <c r="H245" s="10">
        <f>+'A) Base RI'!E245</f>
        <v>0</v>
      </c>
      <c r="I245" s="10">
        <f>+'A) Base RI'!F245</f>
        <v>0</v>
      </c>
      <c r="J245" s="10">
        <f>+'A) Base RI'!G245+'A) Base RI'!H245+'A) Base RI'!X245</f>
        <v>183035.44999999998</v>
      </c>
      <c r="K245" s="10">
        <f>+'A) Base RI'!I245</f>
        <v>54947.5</v>
      </c>
      <c r="L245" s="10">
        <f>+'A) Base RI'!J245</f>
        <v>36005.19</v>
      </c>
      <c r="M245" s="10">
        <f>+'A) Base RI'!K245</f>
        <v>24994.85</v>
      </c>
      <c r="N245" s="10">
        <f>+'A) Base RI'!Q245</f>
        <v>39163.879999999997</v>
      </c>
      <c r="O245" s="10">
        <f t="shared" si="19"/>
        <v>496965</v>
      </c>
      <c r="P245" s="10">
        <f>+'A) Base RI'!L245</f>
        <v>496965</v>
      </c>
      <c r="Q245" s="34">
        <f>'A) Base RI'!AS245</f>
        <v>1</v>
      </c>
      <c r="R245" s="412">
        <f t="shared" si="20"/>
        <v>6999643.4900000012</v>
      </c>
      <c r="S245" s="33">
        <f>+'A) Base RI'!AN245</f>
        <v>76</v>
      </c>
      <c r="T245" s="412">
        <f t="shared" si="21"/>
        <v>6477683.6400000015</v>
      </c>
      <c r="U245" s="412">
        <f t="shared" si="22"/>
        <v>92100.572236842127</v>
      </c>
      <c r="V245" s="10">
        <f>+'A) Base RI'!O245</f>
        <v>12728.8</v>
      </c>
      <c r="W245" s="10">
        <f>+'A) Base RI'!P245</f>
        <v>239262.65</v>
      </c>
      <c r="X245" s="10">
        <f>+'A) Base RI'!R245</f>
        <v>88587.65</v>
      </c>
      <c r="Y245" s="412">
        <f t="shared" si="23"/>
        <v>340579.1</v>
      </c>
      <c r="Z245" s="10">
        <f>+'A) Base RI'!N245</f>
        <v>32523.45</v>
      </c>
      <c r="AA245" s="10">
        <f>'A) Base RI'!AO245</f>
        <v>2949</v>
      </c>
    </row>
    <row r="246" spans="1:27" x14ac:dyDescent="0.25">
      <c r="A246" s="8">
        <f>'A) Base RI'!A246</f>
        <v>5812</v>
      </c>
      <c r="B246" s="32" t="str">
        <f>'A) Base RI'!B246</f>
        <v>Champtauroz</v>
      </c>
      <c r="C246" s="10">
        <f>'A) Base RI'!C246+'A) Base RI'!D246</f>
        <v>260846.16</v>
      </c>
      <c r="D246" s="10">
        <f>'A) Base RI'!AP246</f>
        <v>-7905.96</v>
      </c>
      <c r="E246" s="31">
        <f>'A) Base RI'!AQ246</f>
        <v>0</v>
      </c>
      <c r="F246" s="31">
        <f>'A) Base RI'!AR246</f>
        <v>0</v>
      </c>
      <c r="G246" s="412">
        <f t="shared" si="18"/>
        <v>252940.2</v>
      </c>
      <c r="H246" s="10">
        <f>+'A) Base RI'!E246</f>
        <v>0</v>
      </c>
      <c r="I246" s="10">
        <f>+'A) Base RI'!F246</f>
        <v>0</v>
      </c>
      <c r="J246" s="10">
        <f>+'A) Base RI'!G246+'A) Base RI'!H246+'A) Base RI'!X246</f>
        <v>9077.35</v>
      </c>
      <c r="K246" s="10">
        <f>+'A) Base RI'!I246</f>
        <v>0</v>
      </c>
      <c r="L246" s="10">
        <f>+'A) Base RI'!J246</f>
        <v>3497.81</v>
      </c>
      <c r="M246" s="10">
        <f>+'A) Base RI'!K246</f>
        <v>637.5</v>
      </c>
      <c r="N246" s="10">
        <f>+'A) Base RI'!Q246</f>
        <v>0</v>
      </c>
      <c r="O246" s="10">
        <f t="shared" si="19"/>
        <v>18583.9375</v>
      </c>
      <c r="P246" s="10">
        <f>+'A) Base RI'!L246</f>
        <v>14867.15</v>
      </c>
      <c r="Q246" s="34">
        <f>'A) Base RI'!AS246</f>
        <v>0.8</v>
      </c>
      <c r="R246" s="412">
        <f t="shared" si="20"/>
        <v>284736.79750000004</v>
      </c>
      <c r="S246" s="33">
        <f>+'A) Base RI'!AN246</f>
        <v>77</v>
      </c>
      <c r="T246" s="412">
        <f t="shared" si="21"/>
        <v>265515.36000000004</v>
      </c>
      <c r="U246" s="412">
        <f t="shared" si="22"/>
        <v>3697.8804870129875</v>
      </c>
      <c r="V246" s="10">
        <f>+'A) Base RI'!O246</f>
        <v>38923.599999999999</v>
      </c>
      <c r="W246" s="10">
        <f>+'A) Base RI'!P246</f>
        <v>4767.1000000000004</v>
      </c>
      <c r="X246" s="10">
        <f>+'A) Base RI'!R246</f>
        <v>18737.3</v>
      </c>
      <c r="Y246" s="412">
        <f t="shared" si="23"/>
        <v>62428</v>
      </c>
      <c r="Z246" s="10">
        <f>+'A) Base RI'!N246</f>
        <v>0</v>
      </c>
      <c r="AA246" s="10">
        <f>'A) Base RI'!AO246</f>
        <v>130</v>
      </c>
    </row>
    <row r="247" spans="1:27" x14ac:dyDescent="0.25">
      <c r="A247" s="8">
        <f>'A) Base RI'!A247</f>
        <v>5813</v>
      </c>
      <c r="B247" s="32" t="str">
        <f>'A) Base RI'!B247</f>
        <v>Chevroux</v>
      </c>
      <c r="C247" s="10">
        <f>'A) Base RI'!C247+'A) Base RI'!D247</f>
        <v>911501.26</v>
      </c>
      <c r="D247" s="10">
        <f>'A) Base RI'!AP247</f>
        <v>-11356.09</v>
      </c>
      <c r="E247" s="31">
        <f>'A) Base RI'!AQ247</f>
        <v>0</v>
      </c>
      <c r="F247" s="31">
        <f>'A) Base RI'!AR247</f>
        <v>-55.8</v>
      </c>
      <c r="G247" s="412">
        <f t="shared" si="18"/>
        <v>900089.37</v>
      </c>
      <c r="H247" s="10">
        <f>+'A) Base RI'!E247</f>
        <v>0</v>
      </c>
      <c r="I247" s="10">
        <f>+'A) Base RI'!F247</f>
        <v>3100</v>
      </c>
      <c r="J247" s="10">
        <f>+'A) Base RI'!G247+'A) Base RI'!H247+'A) Base RI'!X247</f>
        <v>22361.75</v>
      </c>
      <c r="K247" s="10">
        <f>+'A) Base RI'!I247</f>
        <v>0</v>
      </c>
      <c r="L247" s="10">
        <f>+'A) Base RI'!J247</f>
        <v>14431.02</v>
      </c>
      <c r="M247" s="10">
        <f>+'A) Base RI'!K247</f>
        <v>0</v>
      </c>
      <c r="N247" s="10">
        <f>+'A) Base RI'!Q247</f>
        <v>0</v>
      </c>
      <c r="O247" s="10">
        <f t="shared" si="19"/>
        <v>90265.25</v>
      </c>
      <c r="P247" s="10">
        <f>+'A) Base RI'!L247</f>
        <v>108318.3</v>
      </c>
      <c r="Q247" s="34">
        <f>'A) Base RI'!AS247</f>
        <v>1.2</v>
      </c>
      <c r="R247" s="412">
        <f t="shared" si="20"/>
        <v>1030247.39</v>
      </c>
      <c r="S247" s="33">
        <f>+'A) Base RI'!AN247</f>
        <v>70</v>
      </c>
      <c r="T247" s="412">
        <f t="shared" si="21"/>
        <v>936882.14</v>
      </c>
      <c r="U247" s="412">
        <f t="shared" si="22"/>
        <v>14717.819857142857</v>
      </c>
      <c r="V247" s="10">
        <f>+'A) Base RI'!O247</f>
        <v>0</v>
      </c>
      <c r="W247" s="10">
        <f>+'A) Base RI'!P247</f>
        <v>36850</v>
      </c>
      <c r="X247" s="10">
        <f>+'A) Base RI'!R247</f>
        <v>3259.3</v>
      </c>
      <c r="Y247" s="412">
        <f t="shared" si="23"/>
        <v>40109.300000000003</v>
      </c>
      <c r="Z247" s="10">
        <f>+'A) Base RI'!N247</f>
        <v>0</v>
      </c>
      <c r="AA247" s="10">
        <f>'A) Base RI'!AO247</f>
        <v>492</v>
      </c>
    </row>
    <row r="248" spans="1:27" x14ac:dyDescent="0.25">
      <c r="A248" s="8">
        <f>'A) Base RI'!A248</f>
        <v>5816</v>
      </c>
      <c r="B248" s="32" t="str">
        <f>'A) Base RI'!B248</f>
        <v>Corcelles-près-Payerne</v>
      </c>
      <c r="C248" s="10">
        <f>'A) Base RI'!C248+'A) Base RI'!D248</f>
        <v>3612125.16</v>
      </c>
      <c r="D248" s="10">
        <f>'A) Base RI'!AP248</f>
        <v>-106669.5</v>
      </c>
      <c r="E248" s="31">
        <f>'A) Base RI'!AQ248</f>
        <v>0</v>
      </c>
      <c r="F248" s="31">
        <f>'A) Base RI'!AR248</f>
        <v>-115.51</v>
      </c>
      <c r="G248" s="412">
        <f t="shared" si="18"/>
        <v>3505340.1500000004</v>
      </c>
      <c r="H248" s="10">
        <f>+'A) Base RI'!E248</f>
        <v>0</v>
      </c>
      <c r="I248" s="10">
        <f>+'A) Base RI'!F248</f>
        <v>0</v>
      </c>
      <c r="J248" s="10">
        <f>+'A) Base RI'!G248+'A) Base RI'!H248+'A) Base RI'!X248</f>
        <v>179293.65</v>
      </c>
      <c r="K248" s="10">
        <f>+'A) Base RI'!I248</f>
        <v>0</v>
      </c>
      <c r="L248" s="10">
        <f>+'A) Base RI'!J248</f>
        <v>172168.66</v>
      </c>
      <c r="M248" s="10">
        <f>+'A) Base RI'!K248</f>
        <v>26633.4</v>
      </c>
      <c r="N248" s="10">
        <f>+'A) Base RI'!Q248</f>
        <v>10120.69</v>
      </c>
      <c r="O248" s="10">
        <f t="shared" si="19"/>
        <v>359183.1428571429</v>
      </c>
      <c r="P248" s="10">
        <f>+'A) Base RI'!L248</f>
        <v>251428.2</v>
      </c>
      <c r="Q248" s="34">
        <f>'A) Base RI'!AS248</f>
        <v>0.7</v>
      </c>
      <c r="R248" s="412">
        <f t="shared" si="20"/>
        <v>4252739.6928571435</v>
      </c>
      <c r="S248" s="33">
        <f>+'A) Base RI'!AN248</f>
        <v>70</v>
      </c>
      <c r="T248" s="412">
        <f t="shared" si="21"/>
        <v>3866923.1500000004</v>
      </c>
      <c r="U248" s="412">
        <f t="shared" si="22"/>
        <v>60753.42418367348</v>
      </c>
      <c r="V248" s="10">
        <f>+'A) Base RI'!O248</f>
        <v>677659.5</v>
      </c>
      <c r="W248" s="10">
        <f>+'A) Base RI'!P248</f>
        <v>80623.05</v>
      </c>
      <c r="X248" s="10">
        <f>+'A) Base RI'!R248</f>
        <v>87255.15</v>
      </c>
      <c r="Y248" s="412">
        <f t="shared" si="23"/>
        <v>845537.70000000007</v>
      </c>
      <c r="Z248" s="10">
        <f>+'A) Base RI'!N248</f>
        <v>19660.349999999999</v>
      </c>
      <c r="AA248" s="10">
        <f>'A) Base RI'!AO248</f>
        <v>2571</v>
      </c>
    </row>
    <row r="249" spans="1:27" x14ac:dyDescent="0.25">
      <c r="A249" s="8">
        <f>'A) Base RI'!A249</f>
        <v>5817</v>
      </c>
      <c r="B249" s="32" t="str">
        <f>'A) Base RI'!B249</f>
        <v>Grandcour</v>
      </c>
      <c r="C249" s="10">
        <f>'A) Base RI'!C249+'A) Base RI'!D249</f>
        <v>1525111.58</v>
      </c>
      <c r="D249" s="10">
        <f>'A) Base RI'!AP249</f>
        <v>-41595.360000000001</v>
      </c>
      <c r="E249" s="31">
        <f>'A) Base RI'!AQ249</f>
        <v>0</v>
      </c>
      <c r="F249" s="31">
        <f>'A) Base RI'!AR249</f>
        <v>-10.69</v>
      </c>
      <c r="G249" s="412">
        <f t="shared" si="18"/>
        <v>1483505.53</v>
      </c>
      <c r="H249" s="10">
        <f>+'A) Base RI'!E249</f>
        <v>0</v>
      </c>
      <c r="I249" s="10">
        <f>+'A) Base RI'!F249</f>
        <v>5290</v>
      </c>
      <c r="J249" s="10">
        <f>+'A) Base RI'!G249+'A) Base RI'!H249+'A) Base RI'!X249</f>
        <v>26909.599999999999</v>
      </c>
      <c r="K249" s="10">
        <f>+'A) Base RI'!I249</f>
        <v>0</v>
      </c>
      <c r="L249" s="10">
        <f>+'A) Base RI'!J249</f>
        <v>30595.45</v>
      </c>
      <c r="M249" s="10">
        <f>+'A) Base RI'!K249</f>
        <v>4527.95</v>
      </c>
      <c r="N249" s="10">
        <f>+'A) Base RI'!Q249</f>
        <v>4040.66</v>
      </c>
      <c r="O249" s="10">
        <f t="shared" si="19"/>
        <v>127142.9</v>
      </c>
      <c r="P249" s="10">
        <f>+'A) Base RI'!L249</f>
        <v>127142.9</v>
      </c>
      <c r="Q249" s="34">
        <f>'A) Base RI'!AS249</f>
        <v>1</v>
      </c>
      <c r="R249" s="412">
        <f t="shared" si="20"/>
        <v>1682012.0899999999</v>
      </c>
      <c r="S249" s="33">
        <f>+'A) Base RI'!AN249</f>
        <v>77</v>
      </c>
      <c r="T249" s="412">
        <f t="shared" si="21"/>
        <v>1545051.24</v>
      </c>
      <c r="U249" s="412">
        <f t="shared" si="22"/>
        <v>21844.312857142857</v>
      </c>
      <c r="V249" s="10">
        <f>+'A) Base RI'!O249</f>
        <v>0</v>
      </c>
      <c r="W249" s="10">
        <f>+'A) Base RI'!P249</f>
        <v>25362.55</v>
      </c>
      <c r="X249" s="10">
        <f>+'A) Base RI'!R249</f>
        <v>22571.1</v>
      </c>
      <c r="Y249" s="412">
        <f t="shared" si="23"/>
        <v>47933.649999999994</v>
      </c>
      <c r="Z249" s="10">
        <f>+'A) Base RI'!N249</f>
        <v>0</v>
      </c>
      <c r="AA249" s="10">
        <f>'A) Base RI'!AO249</f>
        <v>953</v>
      </c>
    </row>
    <row r="250" spans="1:27" x14ac:dyDescent="0.25">
      <c r="A250" s="8">
        <f>'A) Base RI'!A250</f>
        <v>5819</v>
      </c>
      <c r="B250" s="32" t="str">
        <f>'A) Base RI'!B250</f>
        <v>Henniez</v>
      </c>
      <c r="C250" s="10">
        <f>'A) Base RI'!C250+'A) Base RI'!D250</f>
        <v>691734.57000000007</v>
      </c>
      <c r="D250" s="10">
        <f>'A) Base RI'!AP250</f>
        <v>-1283.44</v>
      </c>
      <c r="E250" s="31">
        <f>'A) Base RI'!AQ250</f>
        <v>0</v>
      </c>
      <c r="F250" s="31">
        <f>'A) Base RI'!AR250</f>
        <v>-176.44</v>
      </c>
      <c r="G250" s="412">
        <f t="shared" si="18"/>
        <v>690274.69000000018</v>
      </c>
      <c r="H250" s="10">
        <f>+'A) Base RI'!E250</f>
        <v>0</v>
      </c>
      <c r="I250" s="10">
        <f>+'A) Base RI'!F250</f>
        <v>0</v>
      </c>
      <c r="J250" s="10">
        <f>+'A) Base RI'!G250+'A) Base RI'!H250+'A) Base RI'!X250</f>
        <v>75682.75</v>
      </c>
      <c r="K250" s="10">
        <f>+'A) Base RI'!I250</f>
        <v>0</v>
      </c>
      <c r="L250" s="10">
        <f>+'A) Base RI'!J250</f>
        <v>13378.75</v>
      </c>
      <c r="M250" s="10">
        <f>+'A) Base RI'!K250</f>
        <v>2011.65</v>
      </c>
      <c r="N250" s="10">
        <f>+'A) Base RI'!Q250</f>
        <v>0</v>
      </c>
      <c r="O250" s="10">
        <f t="shared" si="19"/>
        <v>82861.149999999994</v>
      </c>
      <c r="P250" s="10">
        <f>+'A) Base RI'!L250</f>
        <v>82861.149999999994</v>
      </c>
      <c r="Q250" s="34">
        <f>'A) Base RI'!AS250</f>
        <v>1</v>
      </c>
      <c r="R250" s="412">
        <f t="shared" si="20"/>
        <v>864208.99000000022</v>
      </c>
      <c r="S250" s="33">
        <f>+'A) Base RI'!AN250</f>
        <v>69</v>
      </c>
      <c r="T250" s="412">
        <f t="shared" si="21"/>
        <v>779336.19000000018</v>
      </c>
      <c r="U250" s="412">
        <f t="shared" si="22"/>
        <v>12524.767971014497</v>
      </c>
      <c r="V250" s="10">
        <f>+'A) Base RI'!O250</f>
        <v>1378</v>
      </c>
      <c r="W250" s="10">
        <f>+'A) Base RI'!P250</f>
        <v>28832.45</v>
      </c>
      <c r="X250" s="10">
        <f>+'A) Base RI'!R250</f>
        <v>19825.95</v>
      </c>
      <c r="Y250" s="412">
        <f t="shared" si="23"/>
        <v>50036.4</v>
      </c>
      <c r="Z250" s="10">
        <f>+'A) Base RI'!N250</f>
        <v>23421.9</v>
      </c>
      <c r="AA250" s="10">
        <f>'A) Base RI'!AO250</f>
        <v>376</v>
      </c>
    </row>
    <row r="251" spans="1:27" x14ac:dyDescent="0.25">
      <c r="A251" s="8">
        <f>'A) Base RI'!A251</f>
        <v>5821</v>
      </c>
      <c r="B251" s="32" t="str">
        <f>'A) Base RI'!B251</f>
        <v>Missy</v>
      </c>
      <c r="C251" s="10">
        <f>'A) Base RI'!C251+'A) Base RI'!D251</f>
        <v>531677.32999999996</v>
      </c>
      <c r="D251" s="10">
        <f>'A) Base RI'!AP251</f>
        <v>-9920.1200000000008</v>
      </c>
      <c r="E251" s="31">
        <f>'A) Base RI'!AQ251</f>
        <v>0</v>
      </c>
      <c r="F251" s="31">
        <f>'A) Base RI'!AR251</f>
        <v>0</v>
      </c>
      <c r="G251" s="412">
        <f t="shared" si="18"/>
        <v>521757.20999999996</v>
      </c>
      <c r="H251" s="10">
        <f>+'A) Base RI'!E251</f>
        <v>0</v>
      </c>
      <c r="I251" s="10">
        <f>+'A) Base RI'!F251</f>
        <v>2100</v>
      </c>
      <c r="J251" s="10">
        <f>+'A) Base RI'!G251+'A) Base RI'!H251+'A) Base RI'!X251</f>
        <v>648.34999999999991</v>
      </c>
      <c r="K251" s="10">
        <f>+'A) Base RI'!I251</f>
        <v>0</v>
      </c>
      <c r="L251" s="10">
        <f>+'A) Base RI'!J251</f>
        <v>8585.49</v>
      </c>
      <c r="M251" s="10">
        <f>+'A) Base RI'!K251</f>
        <v>1346.65</v>
      </c>
      <c r="N251" s="10">
        <f>+'A) Base RI'!Q251</f>
        <v>16980.38</v>
      </c>
      <c r="O251" s="10">
        <f t="shared" si="19"/>
        <v>50446.3</v>
      </c>
      <c r="P251" s="10">
        <f>+'A) Base RI'!L251</f>
        <v>50446.3</v>
      </c>
      <c r="Q251" s="34">
        <f>'A) Base RI'!AS251</f>
        <v>1</v>
      </c>
      <c r="R251" s="412">
        <f t="shared" si="20"/>
        <v>601864.38</v>
      </c>
      <c r="S251" s="33">
        <f>+'A) Base RI'!AN251</f>
        <v>72</v>
      </c>
      <c r="T251" s="412">
        <f t="shared" si="21"/>
        <v>547971.42999999993</v>
      </c>
      <c r="U251" s="412">
        <f t="shared" si="22"/>
        <v>8359.2275000000009</v>
      </c>
      <c r="V251" s="10">
        <f>+'A) Base RI'!O251</f>
        <v>0</v>
      </c>
      <c r="W251" s="10">
        <f>+'A) Base RI'!P251</f>
        <v>3630</v>
      </c>
      <c r="X251" s="10">
        <f>+'A) Base RI'!R251</f>
        <v>0</v>
      </c>
      <c r="Y251" s="412">
        <f t="shared" si="23"/>
        <v>3630</v>
      </c>
      <c r="Z251" s="10">
        <f>+'A) Base RI'!N251</f>
        <v>0</v>
      </c>
      <c r="AA251" s="10">
        <f>'A) Base RI'!AO251</f>
        <v>362</v>
      </c>
    </row>
    <row r="252" spans="1:27" x14ac:dyDescent="0.25">
      <c r="A252" s="8">
        <f>'A) Base RI'!A252</f>
        <v>5822</v>
      </c>
      <c r="B252" s="32" t="str">
        <f>'A) Base RI'!B252</f>
        <v>Payerne</v>
      </c>
      <c r="C252" s="10">
        <f>'A) Base RI'!C252+'A) Base RI'!D252</f>
        <v>15382045.530000001</v>
      </c>
      <c r="D252" s="10">
        <f>'A) Base RI'!AP252</f>
        <v>-541005.63</v>
      </c>
      <c r="E252" s="31">
        <f>'A) Base RI'!AQ252</f>
        <v>0</v>
      </c>
      <c r="F252" s="31">
        <f>'A) Base RI'!AR252</f>
        <v>-1059.3900000000001</v>
      </c>
      <c r="G252" s="412">
        <f t="shared" si="18"/>
        <v>14839980.51</v>
      </c>
      <c r="H252" s="10">
        <f>+'A) Base RI'!E252</f>
        <v>0</v>
      </c>
      <c r="I252" s="10">
        <f>+'A) Base RI'!F252</f>
        <v>0</v>
      </c>
      <c r="J252" s="10">
        <f>+'A) Base RI'!G252+'A) Base RI'!H252+'A) Base RI'!X252</f>
        <v>941495.10000000009</v>
      </c>
      <c r="K252" s="10">
        <f>+'A) Base RI'!I252</f>
        <v>0</v>
      </c>
      <c r="L252" s="10">
        <f>+'A) Base RI'!J252</f>
        <v>906432.77</v>
      </c>
      <c r="M252" s="10">
        <f>+'A) Base RI'!K252</f>
        <v>208173.85</v>
      </c>
      <c r="N252" s="10">
        <f>+'A) Base RI'!Q252</f>
        <v>197416.49</v>
      </c>
      <c r="O252" s="10">
        <f t="shared" si="19"/>
        <v>1406155.3</v>
      </c>
      <c r="P252" s="10">
        <f>+'A) Base RI'!L252</f>
        <v>1406155.3</v>
      </c>
      <c r="Q252" s="34">
        <f>'A) Base RI'!AS252</f>
        <v>1</v>
      </c>
      <c r="R252" s="412">
        <f t="shared" si="20"/>
        <v>18499654.02</v>
      </c>
      <c r="S252" s="33">
        <f>+'A) Base RI'!AN252</f>
        <v>75</v>
      </c>
      <c r="T252" s="412">
        <f t="shared" si="21"/>
        <v>16885324.869999997</v>
      </c>
      <c r="U252" s="412">
        <f t="shared" si="22"/>
        <v>246662.05359999998</v>
      </c>
      <c r="V252" s="10">
        <f>+'A) Base RI'!O252</f>
        <v>152337.1</v>
      </c>
      <c r="W252" s="10">
        <f>+'A) Base RI'!P252</f>
        <v>604071.85</v>
      </c>
      <c r="X252" s="10">
        <f>+'A) Base RI'!R252</f>
        <v>412749.45</v>
      </c>
      <c r="Y252" s="412">
        <f t="shared" si="23"/>
        <v>1169158.3999999999</v>
      </c>
      <c r="Z252" s="10">
        <f>+'A) Base RI'!N252</f>
        <v>76138.3</v>
      </c>
      <c r="AA252" s="10">
        <f>'A) Base RI'!AO252</f>
        <v>10072</v>
      </c>
    </row>
    <row r="253" spans="1:27" x14ac:dyDescent="0.25">
      <c r="A253" s="8">
        <f>'A) Base RI'!A253</f>
        <v>5827</v>
      </c>
      <c r="B253" s="32" t="str">
        <f>'A) Base RI'!B253</f>
        <v>Trey</v>
      </c>
      <c r="C253" s="10">
        <f>'A) Base RI'!C253+'A) Base RI'!D253</f>
        <v>499897.22</v>
      </c>
      <c r="D253" s="10">
        <f>'A) Base RI'!AP253</f>
        <v>-3387.34</v>
      </c>
      <c r="E253" s="31">
        <f>'A) Base RI'!AQ253</f>
        <v>0</v>
      </c>
      <c r="F253" s="31">
        <f>'A) Base RI'!AR253</f>
        <v>0</v>
      </c>
      <c r="G253" s="412">
        <f t="shared" si="18"/>
        <v>496509.87999999995</v>
      </c>
      <c r="H253" s="10">
        <f>+'A) Base RI'!E253</f>
        <v>0</v>
      </c>
      <c r="I253" s="10">
        <f>+'A) Base RI'!F253</f>
        <v>1620</v>
      </c>
      <c r="J253" s="10">
        <f>+'A) Base RI'!G253+'A) Base RI'!H253+'A) Base RI'!X253</f>
        <v>9284</v>
      </c>
      <c r="K253" s="10">
        <f>+'A) Base RI'!I253</f>
        <v>0</v>
      </c>
      <c r="L253" s="10">
        <f>+'A) Base RI'!J253</f>
        <v>-2811.11</v>
      </c>
      <c r="M253" s="10">
        <f>+'A) Base RI'!K253</f>
        <v>30.85</v>
      </c>
      <c r="N253" s="10">
        <f>+'A) Base RI'!Q253</f>
        <v>120.26</v>
      </c>
      <c r="O253" s="10">
        <f t="shared" si="19"/>
        <v>36758.050000000003</v>
      </c>
      <c r="P253" s="10">
        <f>+'A) Base RI'!L253</f>
        <v>36758.050000000003</v>
      </c>
      <c r="Q253" s="34">
        <f>'A) Base RI'!AS253</f>
        <v>1</v>
      </c>
      <c r="R253" s="412">
        <f t="shared" si="20"/>
        <v>541511.92999999993</v>
      </c>
      <c r="S253" s="33">
        <f>+'A) Base RI'!AN253</f>
        <v>80</v>
      </c>
      <c r="T253" s="412">
        <f t="shared" si="21"/>
        <v>503103.02999999997</v>
      </c>
      <c r="U253" s="412">
        <f t="shared" si="22"/>
        <v>6768.899124999999</v>
      </c>
      <c r="V253" s="10">
        <f>+'A) Base RI'!O253</f>
        <v>14325</v>
      </c>
      <c r="W253" s="10">
        <f>+'A) Base RI'!P253</f>
        <v>5967.7</v>
      </c>
      <c r="X253" s="10">
        <f>+'A) Base RI'!R253</f>
        <v>0</v>
      </c>
      <c r="Y253" s="412">
        <f t="shared" si="23"/>
        <v>20292.7</v>
      </c>
      <c r="Z253" s="10">
        <f>+'A) Base RI'!N253</f>
        <v>0</v>
      </c>
      <c r="AA253" s="10">
        <f>'A) Base RI'!AO253</f>
        <v>285</v>
      </c>
    </row>
    <row r="254" spans="1:27" x14ac:dyDescent="0.25">
      <c r="A254" s="8">
        <f>'A) Base RI'!A254</f>
        <v>5828</v>
      </c>
      <c r="B254" s="32" t="str">
        <f>'A) Base RI'!B254</f>
        <v>Treytorrens (Payerne)</v>
      </c>
      <c r="C254" s="10">
        <f>'A) Base RI'!C254+'A) Base RI'!D254</f>
        <v>188118.02000000002</v>
      </c>
      <c r="D254" s="10">
        <f>'A) Base RI'!AP254</f>
        <v>-74.88</v>
      </c>
      <c r="E254" s="31">
        <f>'A) Base RI'!AQ254</f>
        <v>0</v>
      </c>
      <c r="F254" s="31">
        <f>'A) Base RI'!AR254</f>
        <v>0</v>
      </c>
      <c r="G254" s="412">
        <f t="shared" si="18"/>
        <v>188043.14</v>
      </c>
      <c r="H254" s="10">
        <f>+'A) Base RI'!E254</f>
        <v>0</v>
      </c>
      <c r="I254" s="10">
        <f>+'A) Base RI'!F254</f>
        <v>0</v>
      </c>
      <c r="J254" s="10">
        <f>+'A) Base RI'!G254+'A) Base RI'!H254+'A) Base RI'!X254</f>
        <v>-149.05000000000001</v>
      </c>
      <c r="K254" s="10">
        <f>+'A) Base RI'!I254</f>
        <v>0</v>
      </c>
      <c r="L254" s="10">
        <f>+'A) Base RI'!J254</f>
        <v>38.200000000000003</v>
      </c>
      <c r="M254" s="10">
        <f>+'A) Base RI'!K254</f>
        <v>0</v>
      </c>
      <c r="N254" s="10">
        <f>+'A) Base RI'!Q254</f>
        <v>0</v>
      </c>
      <c r="O254" s="10">
        <f t="shared" si="19"/>
        <v>15724.933333333334</v>
      </c>
      <c r="P254" s="10">
        <f>+'A) Base RI'!L254</f>
        <v>23587.4</v>
      </c>
      <c r="Q254" s="34">
        <f>'A) Base RI'!AS254</f>
        <v>1.5</v>
      </c>
      <c r="R254" s="412">
        <f t="shared" si="20"/>
        <v>203657.22333333339</v>
      </c>
      <c r="S254" s="33">
        <f>+'A) Base RI'!AN254</f>
        <v>84</v>
      </c>
      <c r="T254" s="412">
        <f t="shared" si="21"/>
        <v>187932.29000000004</v>
      </c>
      <c r="U254" s="412">
        <f t="shared" si="22"/>
        <v>2424.4907539682545</v>
      </c>
      <c r="V254" s="10">
        <f>+'A) Base RI'!O254</f>
        <v>0</v>
      </c>
      <c r="W254" s="10">
        <f>+'A) Base RI'!P254</f>
        <v>14374.45</v>
      </c>
      <c r="X254" s="10">
        <f>+'A) Base RI'!R254</f>
        <v>17585.900000000001</v>
      </c>
      <c r="Y254" s="412">
        <f t="shared" si="23"/>
        <v>31960.350000000002</v>
      </c>
      <c r="Z254" s="10">
        <f>+'A) Base RI'!N254</f>
        <v>0</v>
      </c>
      <c r="AA254" s="10">
        <f>'A) Base RI'!AO254</f>
        <v>111</v>
      </c>
    </row>
    <row r="255" spans="1:27" x14ac:dyDescent="0.25">
      <c r="A255" s="8">
        <f>'A) Base RI'!A255</f>
        <v>5830</v>
      </c>
      <c r="B255" s="32" t="str">
        <f>'A) Base RI'!B255</f>
        <v>Villarzel</v>
      </c>
      <c r="C255" s="10">
        <f>'A) Base RI'!C255+'A) Base RI'!D255</f>
        <v>987184.32000000007</v>
      </c>
      <c r="D255" s="10">
        <f>'A) Base RI'!AP255</f>
        <v>-28785.19</v>
      </c>
      <c r="E255" s="31">
        <f>'A) Base RI'!AQ255</f>
        <v>0</v>
      </c>
      <c r="F255" s="31">
        <f>'A) Base RI'!AR255</f>
        <v>-7.0000000000000007E-2</v>
      </c>
      <c r="G255" s="412">
        <f t="shared" si="18"/>
        <v>958399.06000000017</v>
      </c>
      <c r="H255" s="10">
        <f>+'A) Base RI'!E255</f>
        <v>0</v>
      </c>
      <c r="I255" s="10">
        <f>+'A) Base RI'!F255</f>
        <v>0</v>
      </c>
      <c r="J255" s="10">
        <f>+'A) Base RI'!G255+'A) Base RI'!H255+'A) Base RI'!X255</f>
        <v>19777.5</v>
      </c>
      <c r="K255" s="10">
        <f>+'A) Base RI'!I255</f>
        <v>0</v>
      </c>
      <c r="L255" s="10">
        <f>+'A) Base RI'!J255</f>
        <v>9458.58</v>
      </c>
      <c r="M255" s="10">
        <f>+'A) Base RI'!K255</f>
        <v>1945.2</v>
      </c>
      <c r="N255" s="10">
        <f>+'A) Base RI'!Q255</f>
        <v>4317.7700000000004</v>
      </c>
      <c r="O255" s="10">
        <f t="shared" si="19"/>
        <v>57367.65</v>
      </c>
      <c r="P255" s="10">
        <f>+'A) Base RI'!L255</f>
        <v>57367.65</v>
      </c>
      <c r="Q255" s="34">
        <f>'A) Base RI'!AS255</f>
        <v>1</v>
      </c>
      <c r="R255" s="412">
        <f t="shared" si="20"/>
        <v>1051265.76</v>
      </c>
      <c r="S255" s="33">
        <f>+'A) Base RI'!AN255</f>
        <v>77</v>
      </c>
      <c r="T255" s="412">
        <f t="shared" si="21"/>
        <v>991952.91000000015</v>
      </c>
      <c r="U255" s="412">
        <f t="shared" si="22"/>
        <v>13652.802077922079</v>
      </c>
      <c r="V255" s="10">
        <f>+'A) Base RI'!O255</f>
        <v>1597.2</v>
      </c>
      <c r="W255" s="10">
        <f>+'A) Base RI'!P255</f>
        <v>33027.800000000003</v>
      </c>
      <c r="X255" s="10">
        <f>+'A) Base RI'!R255</f>
        <v>47000.800000000003</v>
      </c>
      <c r="Y255" s="412">
        <f t="shared" si="23"/>
        <v>81625.8</v>
      </c>
      <c r="Z255" s="10">
        <f>+'A) Base RI'!N255</f>
        <v>0</v>
      </c>
      <c r="AA255" s="10">
        <f>'A) Base RI'!AO255</f>
        <v>451</v>
      </c>
    </row>
    <row r="256" spans="1:27" x14ac:dyDescent="0.25">
      <c r="A256" s="8">
        <f>'A) Base RI'!A256</f>
        <v>5831</v>
      </c>
      <c r="B256" s="32" t="str">
        <f>'A) Base RI'!B256</f>
        <v>Valbroye</v>
      </c>
      <c r="C256" s="10">
        <f>'A) Base RI'!C256+'A) Base RI'!D256</f>
        <v>5106832.57</v>
      </c>
      <c r="D256" s="10">
        <f>'A) Base RI'!AP256</f>
        <v>-100160.31</v>
      </c>
      <c r="E256" s="31">
        <f>'A) Base RI'!AQ256</f>
        <v>0</v>
      </c>
      <c r="F256" s="31">
        <f>'A) Base RI'!AR256</f>
        <v>-366.07</v>
      </c>
      <c r="G256" s="412">
        <f t="shared" si="18"/>
        <v>5006306.1900000004</v>
      </c>
      <c r="H256" s="10">
        <f>+'A) Base RI'!E256</f>
        <v>0</v>
      </c>
      <c r="I256" s="10">
        <f>+'A) Base RI'!F256</f>
        <v>0</v>
      </c>
      <c r="J256" s="10">
        <f>+'A) Base RI'!G256+'A) Base RI'!H256+'A) Base RI'!X256</f>
        <v>574314.5</v>
      </c>
      <c r="K256" s="10">
        <f>+'A) Base RI'!I256</f>
        <v>0</v>
      </c>
      <c r="L256" s="10">
        <f>+'A) Base RI'!J256</f>
        <v>206702.76</v>
      </c>
      <c r="M256" s="10">
        <f>+'A) Base RI'!K256</f>
        <v>22092.85</v>
      </c>
      <c r="N256" s="10">
        <f>+'A) Base RI'!Q256</f>
        <v>37519.93</v>
      </c>
      <c r="O256" s="10">
        <f t="shared" si="19"/>
        <v>764927.5</v>
      </c>
      <c r="P256" s="10">
        <f>+'A) Base RI'!L256</f>
        <v>458956.5</v>
      </c>
      <c r="Q256" s="34">
        <f>'A) Base RI'!AS256</f>
        <v>0.6</v>
      </c>
      <c r="R256" s="412">
        <f t="shared" si="20"/>
        <v>6611863.7299999995</v>
      </c>
      <c r="S256" s="33">
        <f>+'A) Base RI'!AN256</f>
        <v>73</v>
      </c>
      <c r="T256" s="412">
        <f t="shared" si="21"/>
        <v>5824843.3799999999</v>
      </c>
      <c r="U256" s="412">
        <f t="shared" si="22"/>
        <v>90573.475753424646</v>
      </c>
      <c r="V256" s="10">
        <f>+'A) Base RI'!O256</f>
        <v>62187.9</v>
      </c>
      <c r="W256" s="10">
        <f>+'A) Base RI'!P256</f>
        <v>282710</v>
      </c>
      <c r="X256" s="10">
        <f>+'A) Base RI'!R256</f>
        <v>232705.05</v>
      </c>
      <c r="Y256" s="412">
        <f t="shared" si="23"/>
        <v>577602.94999999995</v>
      </c>
      <c r="Z256" s="10">
        <f>+'A) Base RI'!N256</f>
        <v>21168.7</v>
      </c>
      <c r="AA256" s="10">
        <f>'A) Base RI'!AO256</f>
        <v>3296</v>
      </c>
    </row>
    <row r="257" spans="1:27" x14ac:dyDescent="0.25">
      <c r="A257" s="8">
        <f>'A) Base RI'!A257</f>
        <v>5841</v>
      </c>
      <c r="B257" s="32" t="str">
        <f>'A) Base RI'!B257</f>
        <v>Château-d'Oex</v>
      </c>
      <c r="C257" s="10">
        <f>'A) Base RI'!C257+'A) Base RI'!D257</f>
        <v>7399098.29</v>
      </c>
      <c r="D257" s="10">
        <f>'A) Base RI'!AP257</f>
        <v>-69683.91</v>
      </c>
      <c r="E257" s="31">
        <f>'A) Base RI'!AQ257</f>
        <v>0</v>
      </c>
      <c r="F257" s="31">
        <f>'A) Base RI'!AR257</f>
        <v>-15910.69</v>
      </c>
      <c r="G257" s="412">
        <f t="shared" si="18"/>
        <v>7313503.6899999995</v>
      </c>
      <c r="H257" s="10">
        <f>+'A) Base RI'!E257</f>
        <v>0</v>
      </c>
      <c r="I257" s="10">
        <f>+'A) Base RI'!F257</f>
        <v>0</v>
      </c>
      <c r="J257" s="10">
        <f>+'A) Base RI'!G257+'A) Base RI'!H257+'A) Base RI'!X257</f>
        <v>295813.55</v>
      </c>
      <c r="K257" s="10">
        <f>+'A) Base RI'!I257</f>
        <v>872877.7</v>
      </c>
      <c r="L257" s="10">
        <f>+'A) Base RI'!J257</f>
        <v>327608.68</v>
      </c>
      <c r="M257" s="10">
        <f>+'A) Base RI'!K257</f>
        <v>32338.85</v>
      </c>
      <c r="N257" s="10">
        <f>+'A) Base RI'!Q257</f>
        <v>19839.59</v>
      </c>
      <c r="O257" s="10">
        <f t="shared" si="19"/>
        <v>985438</v>
      </c>
      <c r="P257" s="10">
        <f>+'A) Base RI'!L257</f>
        <v>1478157</v>
      </c>
      <c r="Q257" s="34">
        <f>'A) Base RI'!AS257</f>
        <v>1.5</v>
      </c>
      <c r="R257" s="412">
        <f t="shared" si="20"/>
        <v>9847420.0599999987</v>
      </c>
      <c r="S257" s="33">
        <f>+'A) Base RI'!AN257</f>
        <v>83</v>
      </c>
      <c r="T257" s="412">
        <f t="shared" si="21"/>
        <v>8829643.209999999</v>
      </c>
      <c r="U257" s="412">
        <f t="shared" si="22"/>
        <v>118643.61518072287</v>
      </c>
      <c r="V257" s="10">
        <f>+'A) Base RI'!O257</f>
        <v>158620.4</v>
      </c>
      <c r="W257" s="10">
        <f>+'A) Base RI'!P257</f>
        <v>374670.25</v>
      </c>
      <c r="X257" s="10">
        <f>+'A) Base RI'!R257</f>
        <v>150359.04999999999</v>
      </c>
      <c r="Y257" s="412">
        <f t="shared" si="23"/>
        <v>683649.7</v>
      </c>
      <c r="Z257" s="10">
        <f>+'A) Base RI'!N257</f>
        <v>163.25</v>
      </c>
      <c r="AA257" s="10">
        <f>'A) Base RI'!AO257</f>
        <v>3468</v>
      </c>
    </row>
    <row r="258" spans="1:27" x14ac:dyDescent="0.25">
      <c r="A258" s="8">
        <f>'A) Base RI'!A258</f>
        <v>5842</v>
      </c>
      <c r="B258" s="32" t="str">
        <f>'A) Base RI'!B258</f>
        <v>Rossinière</v>
      </c>
      <c r="C258" s="10">
        <f>'A) Base RI'!C258+'A) Base RI'!D258</f>
        <v>972110.3</v>
      </c>
      <c r="D258" s="10">
        <f>'A) Base RI'!AP258</f>
        <v>-2487.0300000000002</v>
      </c>
      <c r="E258" s="31">
        <f>'A) Base RI'!AQ258</f>
        <v>0</v>
      </c>
      <c r="F258" s="31">
        <f>'A) Base RI'!AR258</f>
        <v>-313.92</v>
      </c>
      <c r="G258" s="412">
        <f t="shared" si="18"/>
        <v>969309.35</v>
      </c>
      <c r="H258" s="10">
        <f>+'A) Base RI'!E258</f>
        <v>0</v>
      </c>
      <c r="I258" s="10">
        <f>+'A) Base RI'!F258</f>
        <v>0</v>
      </c>
      <c r="J258" s="10">
        <f>+'A) Base RI'!G258+'A) Base RI'!H258+'A) Base RI'!X258</f>
        <v>48492.15</v>
      </c>
      <c r="K258" s="10">
        <f>+'A) Base RI'!I258</f>
        <v>-24596.85</v>
      </c>
      <c r="L258" s="10">
        <f>+'A) Base RI'!J258</f>
        <v>23613.599999999999</v>
      </c>
      <c r="M258" s="10">
        <f>+'A) Base RI'!K258</f>
        <v>907.25</v>
      </c>
      <c r="N258" s="10">
        <f>+'A) Base RI'!Q258</f>
        <v>0</v>
      </c>
      <c r="O258" s="10">
        <f t="shared" si="19"/>
        <v>94200.033333333326</v>
      </c>
      <c r="P258" s="10">
        <f>+'A) Base RI'!L258</f>
        <v>141300.04999999999</v>
      </c>
      <c r="Q258" s="34">
        <f>'A) Base RI'!AS258</f>
        <v>1.5</v>
      </c>
      <c r="R258" s="412">
        <f t="shared" si="20"/>
        <v>1111925.5333333332</v>
      </c>
      <c r="S258" s="33">
        <f>+'A) Base RI'!AN258</f>
        <v>81</v>
      </c>
      <c r="T258" s="412">
        <f t="shared" si="21"/>
        <v>1016818.25</v>
      </c>
      <c r="U258" s="412">
        <f t="shared" si="22"/>
        <v>13727.475720164608</v>
      </c>
      <c r="V258" s="10">
        <f>+'A) Base RI'!O258</f>
        <v>428.8</v>
      </c>
      <c r="W258" s="10">
        <f>+'A) Base RI'!P258</f>
        <v>22076.15</v>
      </c>
      <c r="X258" s="10">
        <f>+'A) Base RI'!R258</f>
        <v>25274.7</v>
      </c>
      <c r="Y258" s="412">
        <f t="shared" si="23"/>
        <v>47779.65</v>
      </c>
      <c r="Z258" s="10">
        <f>+'A) Base RI'!N258</f>
        <v>0</v>
      </c>
      <c r="AA258" s="10">
        <f>'A) Base RI'!AO258</f>
        <v>548</v>
      </c>
    </row>
    <row r="259" spans="1:27" x14ac:dyDescent="0.25">
      <c r="A259" s="8">
        <f>'A) Base RI'!A259</f>
        <v>5843</v>
      </c>
      <c r="B259" s="32" t="str">
        <f>'A) Base RI'!B259</f>
        <v>Rougemont</v>
      </c>
      <c r="C259" s="10">
        <f>'A) Base RI'!C259+'A) Base RI'!D259</f>
        <v>4176020.29</v>
      </c>
      <c r="D259" s="10">
        <f>'A) Base RI'!AP259</f>
        <v>-93359.46</v>
      </c>
      <c r="E259" s="31">
        <f>'A) Base RI'!AQ259</f>
        <v>0</v>
      </c>
      <c r="F259" s="31">
        <f>'A) Base RI'!AR259</f>
        <v>-7690.73</v>
      </c>
      <c r="G259" s="412">
        <f t="shared" si="18"/>
        <v>4074970.1</v>
      </c>
      <c r="H259" s="10">
        <f>+'A) Base RI'!E259</f>
        <v>0</v>
      </c>
      <c r="I259" s="10">
        <f>+'A) Base RI'!F259</f>
        <v>0</v>
      </c>
      <c r="J259" s="10">
        <f>+'A) Base RI'!G259+'A) Base RI'!H259+'A) Base RI'!X259</f>
        <v>83581</v>
      </c>
      <c r="K259" s="10">
        <f>+'A) Base RI'!I259</f>
        <v>1262291.18</v>
      </c>
      <c r="L259" s="10">
        <f>+'A) Base RI'!J259</f>
        <v>93615.95</v>
      </c>
      <c r="M259" s="10">
        <f>+'A) Base RI'!K259</f>
        <v>44858.45</v>
      </c>
      <c r="N259" s="10">
        <f>+'A) Base RI'!Q259</f>
        <v>41559.769999999997</v>
      </c>
      <c r="O259" s="10">
        <f t="shared" si="19"/>
        <v>779760.06666666677</v>
      </c>
      <c r="P259" s="10">
        <f>+'A) Base RI'!L259</f>
        <v>1169640.1000000001</v>
      </c>
      <c r="Q259" s="34">
        <f>'A) Base RI'!AS259</f>
        <v>1.5</v>
      </c>
      <c r="R259" s="412">
        <f t="shared" si="20"/>
        <v>6380636.5166666666</v>
      </c>
      <c r="S259" s="33">
        <f>+'A) Base RI'!AN259</f>
        <v>74</v>
      </c>
      <c r="T259" s="412">
        <f t="shared" si="21"/>
        <v>5556018</v>
      </c>
      <c r="U259" s="412">
        <f t="shared" si="22"/>
        <v>86224.81779279279</v>
      </c>
      <c r="V259" s="10">
        <f>+'A) Base RI'!O259</f>
        <v>941705.7</v>
      </c>
      <c r="W259" s="10">
        <f>+'A) Base RI'!P259</f>
        <v>471343.2</v>
      </c>
      <c r="X259" s="10">
        <f>+'A) Base RI'!R259</f>
        <v>399957.7</v>
      </c>
      <c r="Y259" s="412">
        <f t="shared" si="23"/>
        <v>1813006.5999999999</v>
      </c>
      <c r="Z259" s="10">
        <f>+'A) Base RI'!N259</f>
        <v>0</v>
      </c>
      <c r="AA259" s="10">
        <f>'A) Base RI'!AO259</f>
        <v>858</v>
      </c>
    </row>
    <row r="260" spans="1:27" x14ac:dyDescent="0.25">
      <c r="A260" s="8">
        <f>'A) Base RI'!A260</f>
        <v>5851</v>
      </c>
      <c r="B260" s="32" t="str">
        <f>'A) Base RI'!B260</f>
        <v>Allaman</v>
      </c>
      <c r="C260" s="10">
        <f>'A) Base RI'!C260+'A) Base RI'!D260</f>
        <v>891913</v>
      </c>
      <c r="D260" s="10">
        <f>'A) Base RI'!AP260</f>
        <v>-21666.11</v>
      </c>
      <c r="E260" s="31">
        <f>'A) Base RI'!AQ260</f>
        <v>0</v>
      </c>
      <c r="F260" s="31">
        <f>'A) Base RI'!AR260</f>
        <v>-717.14</v>
      </c>
      <c r="G260" s="412">
        <f t="shared" si="18"/>
        <v>869529.75</v>
      </c>
      <c r="H260" s="10">
        <f>+'A) Base RI'!E260</f>
        <v>0</v>
      </c>
      <c r="I260" s="10">
        <f>+'A) Base RI'!F260</f>
        <v>0</v>
      </c>
      <c r="J260" s="10">
        <f>+'A) Base RI'!G260+'A) Base RI'!H260+'A) Base RI'!X260</f>
        <v>124081.75</v>
      </c>
      <c r="K260" s="10">
        <f>+'A) Base RI'!I260</f>
        <v>195823.8</v>
      </c>
      <c r="L260" s="10">
        <f>+'A) Base RI'!J260</f>
        <v>41396.54</v>
      </c>
      <c r="M260" s="10">
        <f>+'A) Base RI'!K260</f>
        <v>6856</v>
      </c>
      <c r="N260" s="10">
        <f>+'A) Base RI'!Q260</f>
        <v>9116.69</v>
      </c>
      <c r="O260" s="10">
        <f t="shared" si="19"/>
        <v>220243.99999999997</v>
      </c>
      <c r="P260" s="10">
        <f>+'A) Base RI'!L260</f>
        <v>242268.4</v>
      </c>
      <c r="Q260" s="34">
        <f>'A) Base RI'!AS260</f>
        <v>1.1000000000000001</v>
      </c>
      <c r="R260" s="412">
        <f t="shared" si="20"/>
        <v>1467048.53</v>
      </c>
      <c r="S260" s="33">
        <f>+'A) Base RI'!AN260</f>
        <v>62</v>
      </c>
      <c r="T260" s="412">
        <f t="shared" si="21"/>
        <v>1239948.53</v>
      </c>
      <c r="U260" s="412">
        <f t="shared" si="22"/>
        <v>23662.073064516131</v>
      </c>
      <c r="V260" s="10">
        <f>+'A) Base RI'!O260</f>
        <v>96769.600000000006</v>
      </c>
      <c r="W260" s="10">
        <f>+'A) Base RI'!P260</f>
        <v>235479.55</v>
      </c>
      <c r="X260" s="10">
        <f>+'A) Base RI'!R260</f>
        <v>42944.7</v>
      </c>
      <c r="Y260" s="412">
        <f t="shared" si="23"/>
        <v>375193.85000000003</v>
      </c>
      <c r="Z260" s="10">
        <f>+'A) Base RI'!N260</f>
        <v>30894.1</v>
      </c>
      <c r="AA260" s="10">
        <f>'A) Base RI'!AO260</f>
        <v>451</v>
      </c>
    </row>
    <row r="261" spans="1:27" x14ac:dyDescent="0.25">
      <c r="A261" s="8">
        <f>'A) Base RI'!A261</f>
        <v>5852</v>
      </c>
      <c r="B261" s="32" t="str">
        <f>'A) Base RI'!B261</f>
        <v>Bursinel</v>
      </c>
      <c r="C261" s="10">
        <f>'A) Base RI'!C261+'A) Base RI'!D261</f>
        <v>2192354.2000000002</v>
      </c>
      <c r="D261" s="10">
        <f>'A) Base RI'!AP261</f>
        <v>-27108.42</v>
      </c>
      <c r="E261" s="31">
        <f>'A) Base RI'!AQ261</f>
        <v>0</v>
      </c>
      <c r="F261" s="31">
        <f>'A) Base RI'!AR261</f>
        <v>-13682.97</v>
      </c>
      <c r="G261" s="412">
        <f t="shared" si="18"/>
        <v>2151562.81</v>
      </c>
      <c r="H261" s="10">
        <f>+'A) Base RI'!E261</f>
        <v>0</v>
      </c>
      <c r="I261" s="10">
        <f>+'A) Base RI'!F261</f>
        <v>0</v>
      </c>
      <c r="J261" s="10">
        <f>+'A) Base RI'!G261+'A) Base RI'!H261+'A) Base RI'!X261</f>
        <v>13804.25</v>
      </c>
      <c r="K261" s="10">
        <f>+'A) Base RI'!I261</f>
        <v>161771.70000000001</v>
      </c>
      <c r="L261" s="10">
        <f>+'A) Base RI'!J261</f>
        <v>60098.23</v>
      </c>
      <c r="M261" s="10">
        <f>+'A) Base RI'!K261</f>
        <v>7630.35</v>
      </c>
      <c r="N261" s="10">
        <f>+'A) Base RI'!Q261</f>
        <v>23343.47</v>
      </c>
      <c r="O261" s="10">
        <f t="shared" si="19"/>
        <v>181277.46666666667</v>
      </c>
      <c r="P261" s="10">
        <f>+'A) Base RI'!L261</f>
        <v>135958.1</v>
      </c>
      <c r="Q261" s="34">
        <f>'A) Base RI'!AS261</f>
        <v>0.75</v>
      </c>
      <c r="R261" s="412">
        <f t="shared" si="20"/>
        <v>2599488.2766666673</v>
      </c>
      <c r="S261" s="33">
        <f>+'A) Base RI'!AN261</f>
        <v>65.5</v>
      </c>
      <c r="T261" s="412">
        <f t="shared" si="21"/>
        <v>2410580.4600000004</v>
      </c>
      <c r="U261" s="412">
        <f t="shared" si="22"/>
        <v>39686.843918575076</v>
      </c>
      <c r="V261" s="10">
        <f>+'A) Base RI'!O261</f>
        <v>113022.7</v>
      </c>
      <c r="W261" s="10">
        <f>+'A) Base RI'!P261</f>
        <v>254943.7</v>
      </c>
      <c r="X261" s="10">
        <f>+'A) Base RI'!R261</f>
        <v>92081.5</v>
      </c>
      <c r="Y261" s="412">
        <f t="shared" si="23"/>
        <v>460047.9</v>
      </c>
      <c r="Z261" s="10">
        <f>+'A) Base RI'!N261</f>
        <v>10313.4</v>
      </c>
      <c r="AA261" s="10">
        <f>'A) Base RI'!AO261</f>
        <v>473</v>
      </c>
    </row>
    <row r="262" spans="1:27" x14ac:dyDescent="0.25">
      <c r="A262" s="8">
        <f>'A) Base RI'!A262</f>
        <v>5853</v>
      </c>
      <c r="B262" s="32" t="str">
        <f>'A) Base RI'!B262</f>
        <v>Bursins</v>
      </c>
      <c r="C262" s="10">
        <f>'A) Base RI'!C262+'A) Base RI'!D262</f>
        <v>2225985.6</v>
      </c>
      <c r="D262" s="10">
        <f>'A) Base RI'!AP262</f>
        <v>-57694.6</v>
      </c>
      <c r="E262" s="31">
        <f>'A) Base RI'!AQ262</f>
        <v>0</v>
      </c>
      <c r="F262" s="31">
        <f>'A) Base RI'!AR262</f>
        <v>-1845.85</v>
      </c>
      <c r="G262" s="412">
        <f t="shared" si="18"/>
        <v>2166445.15</v>
      </c>
      <c r="H262" s="10">
        <f>+'A) Base RI'!E262</f>
        <v>0</v>
      </c>
      <c r="I262" s="10">
        <f>+'A) Base RI'!F262</f>
        <v>0</v>
      </c>
      <c r="J262" s="10">
        <f>+'A) Base RI'!G262+'A) Base RI'!H262+'A) Base RI'!X262</f>
        <v>15791.6</v>
      </c>
      <c r="K262" s="10">
        <f>+'A) Base RI'!I262</f>
        <v>220827.3</v>
      </c>
      <c r="L262" s="10">
        <f>+'A) Base RI'!J262</f>
        <v>-53216.51</v>
      </c>
      <c r="M262" s="10">
        <f>+'A) Base RI'!K262</f>
        <v>13881.15</v>
      </c>
      <c r="N262" s="10">
        <f>+'A) Base RI'!Q262</f>
        <v>22979.31</v>
      </c>
      <c r="O262" s="10">
        <f t="shared" si="19"/>
        <v>199806.3</v>
      </c>
      <c r="P262" s="10">
        <f>+'A) Base RI'!L262</f>
        <v>199806.3</v>
      </c>
      <c r="Q262" s="34">
        <f>'A) Base RI'!AS262</f>
        <v>1</v>
      </c>
      <c r="R262" s="412">
        <f t="shared" si="20"/>
        <v>2586514.2999999998</v>
      </c>
      <c r="S262" s="33">
        <f>+'A) Base RI'!AN262</f>
        <v>71</v>
      </c>
      <c r="T262" s="412">
        <f t="shared" si="21"/>
        <v>2372826.85</v>
      </c>
      <c r="U262" s="412">
        <f t="shared" si="22"/>
        <v>36429.778873239433</v>
      </c>
      <c r="V262" s="10">
        <f>+'A) Base RI'!O262</f>
        <v>24813.1</v>
      </c>
      <c r="W262" s="10">
        <f>+'A) Base RI'!P262</f>
        <v>186617.1</v>
      </c>
      <c r="X262" s="10">
        <f>+'A) Base RI'!R262</f>
        <v>131753.25</v>
      </c>
      <c r="Y262" s="412">
        <f t="shared" si="23"/>
        <v>343183.45</v>
      </c>
      <c r="Z262" s="10">
        <f>+'A) Base RI'!N262</f>
        <v>31372.400000000001</v>
      </c>
      <c r="AA262" s="10">
        <f>'A) Base RI'!AO262</f>
        <v>782</v>
      </c>
    </row>
    <row r="263" spans="1:27" x14ac:dyDescent="0.25">
      <c r="A263" s="8">
        <f>'A) Base RI'!A263</f>
        <v>5854</v>
      </c>
      <c r="B263" s="32" t="str">
        <f>'A) Base RI'!B263</f>
        <v>Burtigny</v>
      </c>
      <c r="C263" s="10">
        <f>'A) Base RI'!C263+'A) Base RI'!D263</f>
        <v>835966.51</v>
      </c>
      <c r="D263" s="10">
        <f>'A) Base RI'!AP263</f>
        <v>-35094.21</v>
      </c>
      <c r="E263" s="31">
        <f>'A) Base RI'!AQ263</f>
        <v>0</v>
      </c>
      <c r="F263" s="31">
        <f>'A) Base RI'!AR263</f>
        <v>-390.45</v>
      </c>
      <c r="G263" s="412">
        <f t="shared" si="18"/>
        <v>800481.85000000009</v>
      </c>
      <c r="H263" s="10">
        <f>+'A) Base RI'!E263</f>
        <v>0</v>
      </c>
      <c r="I263" s="10">
        <f>+'A) Base RI'!F263</f>
        <v>0</v>
      </c>
      <c r="J263" s="10">
        <f>+'A) Base RI'!G263+'A) Base RI'!H263+'A) Base RI'!X263</f>
        <v>-16526.05</v>
      </c>
      <c r="K263" s="10">
        <f>+'A) Base RI'!I263</f>
        <v>0</v>
      </c>
      <c r="L263" s="10">
        <f>+'A) Base RI'!J263</f>
        <v>26593.07</v>
      </c>
      <c r="M263" s="10">
        <f>+'A) Base RI'!K263</f>
        <v>590.29999999999995</v>
      </c>
      <c r="N263" s="10">
        <f>+'A) Base RI'!Q263</f>
        <v>5495.07</v>
      </c>
      <c r="O263" s="10">
        <f t="shared" si="19"/>
        <v>70795.166666666672</v>
      </c>
      <c r="P263" s="10">
        <f>+'A) Base RI'!L263</f>
        <v>106192.75</v>
      </c>
      <c r="Q263" s="34">
        <f>'A) Base RI'!AS263</f>
        <v>1.5</v>
      </c>
      <c r="R263" s="412">
        <f t="shared" si="20"/>
        <v>887429.40666666662</v>
      </c>
      <c r="S263" s="33">
        <f>+'A) Base RI'!AN263</f>
        <v>80</v>
      </c>
      <c r="T263" s="412">
        <f t="shared" si="21"/>
        <v>816043.94</v>
      </c>
      <c r="U263" s="412">
        <f t="shared" si="22"/>
        <v>11092.867583333333</v>
      </c>
      <c r="V263" s="10">
        <f>+'A) Base RI'!O263</f>
        <v>2120.1999999999998</v>
      </c>
      <c r="W263" s="10">
        <f>+'A) Base RI'!P263</f>
        <v>105661.15</v>
      </c>
      <c r="X263" s="10">
        <f>+'A) Base RI'!R263</f>
        <v>85256.05</v>
      </c>
      <c r="Y263" s="412">
        <f t="shared" si="23"/>
        <v>193037.4</v>
      </c>
      <c r="Z263" s="10">
        <f>+'A) Base RI'!N263</f>
        <v>4043.85</v>
      </c>
      <c r="AA263" s="10">
        <f>'A) Base RI'!AO263</f>
        <v>390</v>
      </c>
    </row>
    <row r="264" spans="1:27" x14ac:dyDescent="0.25">
      <c r="A264" s="8">
        <f>'A) Base RI'!A264</f>
        <v>5855</v>
      </c>
      <c r="B264" s="32" t="str">
        <f>'A) Base RI'!B264</f>
        <v>Dully</v>
      </c>
      <c r="C264" s="10">
        <f>'A) Base RI'!C264+'A) Base RI'!D264</f>
        <v>2985005.96</v>
      </c>
      <c r="D264" s="10">
        <f>'A) Base RI'!AP264</f>
        <v>-14842.68</v>
      </c>
      <c r="E264" s="31">
        <f>'A) Base RI'!AQ264</f>
        <v>0</v>
      </c>
      <c r="F264" s="31">
        <f>'A) Base RI'!AR264</f>
        <v>-26944.76</v>
      </c>
      <c r="G264" s="412">
        <f t="shared" ref="G264:G315" si="24">SUM(C264:F264)</f>
        <v>2943218.52</v>
      </c>
      <c r="H264" s="10">
        <f>+'A) Base RI'!E264</f>
        <v>0</v>
      </c>
      <c r="I264" s="10">
        <f>+'A) Base RI'!F264</f>
        <v>0</v>
      </c>
      <c r="J264" s="10">
        <f>+'A) Base RI'!G264+'A) Base RI'!H264+'A) Base RI'!X264</f>
        <v>37588.450000000004</v>
      </c>
      <c r="K264" s="10">
        <f>+'A) Base RI'!I264</f>
        <v>405655.69</v>
      </c>
      <c r="L264" s="10">
        <f>+'A) Base RI'!J264</f>
        <v>155639.24</v>
      </c>
      <c r="M264" s="10">
        <f>+'A) Base RI'!K264</f>
        <v>14669.5</v>
      </c>
      <c r="N264" s="10">
        <f>+'A) Base RI'!Q264</f>
        <v>1228.57</v>
      </c>
      <c r="O264" s="10">
        <f t="shared" ref="O264:O315" si="25">(P264/Q264)*1</f>
        <v>346115.7</v>
      </c>
      <c r="P264" s="10">
        <f>+'A) Base RI'!L264</f>
        <v>173057.85</v>
      </c>
      <c r="Q264" s="34">
        <f>'A) Base RI'!AS264</f>
        <v>0.5</v>
      </c>
      <c r="R264" s="412">
        <f t="shared" ref="R264:R315" si="26">SUM(G264:O264)</f>
        <v>3904115.6700000004</v>
      </c>
      <c r="S264" s="33">
        <f>+'A) Base RI'!AN264</f>
        <v>49</v>
      </c>
      <c r="T264" s="412">
        <f t="shared" ref="T264:T315" si="27">(G264+H264+J264+K264+L264+N264)</f>
        <v>3543330.47</v>
      </c>
      <c r="U264" s="412">
        <f t="shared" ref="U264:U315" si="28">R264/S264</f>
        <v>79675.83</v>
      </c>
      <c r="V264" s="10">
        <f>+'A) Base RI'!O264</f>
        <v>12774.4</v>
      </c>
      <c r="W264" s="10">
        <f>+'A) Base RI'!P264</f>
        <v>332615.55</v>
      </c>
      <c r="X264" s="10">
        <f>+'A) Base RI'!R264</f>
        <v>232703.5</v>
      </c>
      <c r="Y264" s="412">
        <f t="shared" ref="Y264:Y315" si="29">SUM(V264:X264)</f>
        <v>578093.44999999995</v>
      </c>
      <c r="Z264" s="10">
        <f>+'A) Base RI'!N264</f>
        <v>1577</v>
      </c>
      <c r="AA264" s="10">
        <f>'A) Base RI'!AO264</f>
        <v>639</v>
      </c>
    </row>
    <row r="265" spans="1:27" x14ac:dyDescent="0.25">
      <c r="A265" s="8">
        <f>'A) Base RI'!A265</f>
        <v>5856</v>
      </c>
      <c r="B265" s="32" t="str">
        <f>'A) Base RI'!B265</f>
        <v>Essertines-sur-Rolle</v>
      </c>
      <c r="C265" s="10">
        <f>'A) Base RI'!C265+'A) Base RI'!D265</f>
        <v>2060455.3900000001</v>
      </c>
      <c r="D265" s="10">
        <f>'A) Base RI'!AP265</f>
        <v>-18130.95</v>
      </c>
      <c r="E265" s="31">
        <f>'A) Base RI'!AQ265</f>
        <v>0</v>
      </c>
      <c r="F265" s="31">
        <f>'A) Base RI'!AR265</f>
        <v>-2264.71</v>
      </c>
      <c r="G265" s="412">
        <f t="shared" si="24"/>
        <v>2040059.7300000002</v>
      </c>
      <c r="H265" s="10">
        <f>+'A) Base RI'!E265</f>
        <v>0</v>
      </c>
      <c r="I265" s="10">
        <f>+'A) Base RI'!F265</f>
        <v>0</v>
      </c>
      <c r="J265" s="10">
        <f>+'A) Base RI'!G265+'A) Base RI'!H265+'A) Base RI'!X265</f>
        <v>11456.8</v>
      </c>
      <c r="K265" s="10">
        <f>+'A) Base RI'!I265</f>
        <v>202415.25</v>
      </c>
      <c r="L265" s="10">
        <f>+'A) Base RI'!J265</f>
        <v>37303.040000000001</v>
      </c>
      <c r="M265" s="10">
        <f>+'A) Base RI'!K265</f>
        <v>1989.75</v>
      </c>
      <c r="N265" s="10">
        <f>+'A) Base RI'!Q265</f>
        <v>5855.17</v>
      </c>
      <c r="O265" s="10">
        <f t="shared" si="25"/>
        <v>183245</v>
      </c>
      <c r="P265" s="10">
        <f>+'A) Base RI'!L265</f>
        <v>238218.5</v>
      </c>
      <c r="Q265" s="34">
        <f>'A) Base RI'!AS265</f>
        <v>1.3</v>
      </c>
      <c r="R265" s="412">
        <f t="shared" si="26"/>
        <v>2482324.7400000002</v>
      </c>
      <c r="S265" s="33">
        <f>+'A) Base RI'!AN265</f>
        <v>68</v>
      </c>
      <c r="T265" s="412">
        <f t="shared" si="27"/>
        <v>2297089.9900000002</v>
      </c>
      <c r="U265" s="412">
        <f t="shared" si="28"/>
        <v>36504.775588235294</v>
      </c>
      <c r="V265" s="10">
        <f>+'A) Base RI'!O265</f>
        <v>1176.2</v>
      </c>
      <c r="W265" s="10">
        <f>+'A) Base RI'!P265</f>
        <v>66264.25</v>
      </c>
      <c r="X265" s="10">
        <f>+'A) Base RI'!R265</f>
        <v>57373.35</v>
      </c>
      <c r="Y265" s="412">
        <f t="shared" si="29"/>
        <v>124813.79999999999</v>
      </c>
      <c r="Z265" s="10">
        <f>+'A) Base RI'!N265</f>
        <v>5455.65</v>
      </c>
      <c r="AA265" s="10">
        <f>'A) Base RI'!AO265</f>
        <v>722</v>
      </c>
    </row>
    <row r="266" spans="1:27" x14ac:dyDescent="0.25">
      <c r="A266" s="8">
        <f>'A) Base RI'!A266</f>
        <v>5857</v>
      </c>
      <c r="B266" s="32" t="str">
        <f>'A) Base RI'!B266</f>
        <v>Gilly</v>
      </c>
      <c r="C266" s="10">
        <f>'A) Base RI'!C266+'A) Base RI'!D266</f>
        <v>5063795.6100000003</v>
      </c>
      <c r="D266" s="10">
        <f>'A) Base RI'!AP266</f>
        <v>-37534.22</v>
      </c>
      <c r="E266" s="31">
        <f>'A) Base RI'!AQ266</f>
        <v>0</v>
      </c>
      <c r="F266" s="31">
        <f>'A) Base RI'!AR266</f>
        <v>-1357.23</v>
      </c>
      <c r="G266" s="412">
        <f t="shared" si="24"/>
        <v>5024904.16</v>
      </c>
      <c r="H266" s="10">
        <f>+'A) Base RI'!E266</f>
        <v>0</v>
      </c>
      <c r="I266" s="10">
        <f>+'A) Base RI'!F266</f>
        <v>0</v>
      </c>
      <c r="J266" s="10">
        <f>+'A) Base RI'!G266+'A) Base RI'!H266+'A) Base RI'!X266</f>
        <v>141480.65</v>
      </c>
      <c r="K266" s="10">
        <f>+'A) Base RI'!I266</f>
        <v>0</v>
      </c>
      <c r="L266" s="10">
        <f>+'A) Base RI'!J266</f>
        <v>69439.05</v>
      </c>
      <c r="M266" s="10">
        <f>+'A) Base RI'!K266</f>
        <v>316.95000000000101</v>
      </c>
      <c r="N266" s="10">
        <f>+'A) Base RI'!Q266</f>
        <v>458.97</v>
      </c>
      <c r="O266" s="10">
        <f t="shared" si="25"/>
        <v>396139.95</v>
      </c>
      <c r="P266" s="10">
        <f>+'A) Base RI'!L266</f>
        <v>396139.95</v>
      </c>
      <c r="Q266" s="34">
        <f>'A) Base RI'!AS266</f>
        <v>1</v>
      </c>
      <c r="R266" s="412">
        <f t="shared" si="26"/>
        <v>5632739.7300000004</v>
      </c>
      <c r="S266" s="33">
        <f>+'A) Base RI'!AN266</f>
        <v>66</v>
      </c>
      <c r="T266" s="412">
        <f t="shared" si="27"/>
        <v>5236282.83</v>
      </c>
      <c r="U266" s="412">
        <f t="shared" si="28"/>
        <v>85344.541363636366</v>
      </c>
      <c r="V266" s="10">
        <f>+'A) Base RI'!O266</f>
        <v>53955</v>
      </c>
      <c r="W266" s="10">
        <f>+'A) Base RI'!P266</f>
        <v>141278.04999999999</v>
      </c>
      <c r="X266" s="10">
        <f>+'A) Base RI'!R266</f>
        <v>231550.9</v>
      </c>
      <c r="Y266" s="412">
        <f t="shared" si="29"/>
        <v>426783.94999999995</v>
      </c>
      <c r="Z266" s="10">
        <f>+'A) Base RI'!N266</f>
        <v>68107.399999999994</v>
      </c>
      <c r="AA266" s="10">
        <f>'A) Base RI'!AO266</f>
        <v>1370</v>
      </c>
    </row>
    <row r="267" spans="1:27" x14ac:dyDescent="0.25">
      <c r="A267" s="8">
        <f>'A) Base RI'!A267</f>
        <v>5858</v>
      </c>
      <c r="B267" s="32" t="str">
        <f>'A) Base RI'!B267</f>
        <v>Luins</v>
      </c>
      <c r="C267" s="10">
        <f>'A) Base RI'!C267+'A) Base RI'!D267</f>
        <v>2380991.46</v>
      </c>
      <c r="D267" s="10">
        <f>'A) Base RI'!AP267</f>
        <v>-42838.27</v>
      </c>
      <c r="E267" s="31">
        <f>'A) Base RI'!AQ267</f>
        <v>0</v>
      </c>
      <c r="F267" s="31">
        <f>'A) Base RI'!AR267</f>
        <v>-4617.59</v>
      </c>
      <c r="G267" s="412">
        <f t="shared" si="24"/>
        <v>2333535.6</v>
      </c>
      <c r="H267" s="10">
        <f>+'A) Base RI'!E267</f>
        <v>0</v>
      </c>
      <c r="I267" s="10">
        <f>+'A) Base RI'!F267</f>
        <v>0</v>
      </c>
      <c r="J267" s="10">
        <f>+'A) Base RI'!G267+'A) Base RI'!H267+'A) Base RI'!X267</f>
        <v>16695.3</v>
      </c>
      <c r="K267" s="10">
        <f>+'A) Base RI'!I267</f>
        <v>312088.55</v>
      </c>
      <c r="L267" s="10">
        <f>+'A) Base RI'!J267</f>
        <v>-13723.39</v>
      </c>
      <c r="M267" s="10">
        <f>+'A) Base RI'!K267</f>
        <v>1024.6500000000001</v>
      </c>
      <c r="N267" s="10">
        <f>+'A) Base RI'!Q267</f>
        <v>0</v>
      </c>
      <c r="O267" s="10">
        <f t="shared" si="25"/>
        <v>152307.96666666667</v>
      </c>
      <c r="P267" s="10">
        <f>+'A) Base RI'!L267</f>
        <v>228461.95</v>
      </c>
      <c r="Q267" s="34">
        <f>'A) Base RI'!AS267</f>
        <v>1.5</v>
      </c>
      <c r="R267" s="412">
        <f t="shared" si="26"/>
        <v>2801928.6766666663</v>
      </c>
      <c r="S267" s="33">
        <f>+'A) Base RI'!AN267</f>
        <v>60</v>
      </c>
      <c r="T267" s="412">
        <f t="shared" si="27"/>
        <v>2648596.0599999996</v>
      </c>
      <c r="U267" s="412">
        <f t="shared" si="28"/>
        <v>46698.811277777771</v>
      </c>
      <c r="V267" s="10">
        <f>+'A) Base RI'!O267</f>
        <v>0</v>
      </c>
      <c r="W267" s="10">
        <f>+'A) Base RI'!P267</f>
        <v>18480</v>
      </c>
      <c r="X267" s="10">
        <f>+'A) Base RI'!R267</f>
        <v>29659.25</v>
      </c>
      <c r="Y267" s="412">
        <f t="shared" si="29"/>
        <v>48139.25</v>
      </c>
      <c r="Z267" s="10">
        <f>+'A) Base RI'!N267</f>
        <v>2969.1</v>
      </c>
      <c r="AA267" s="10">
        <f>'A) Base RI'!AO267</f>
        <v>621</v>
      </c>
    </row>
    <row r="268" spans="1:27" x14ac:dyDescent="0.25">
      <c r="A268" s="8">
        <f>'A) Base RI'!A268</f>
        <v>5859</v>
      </c>
      <c r="B268" s="32" t="str">
        <f>'A) Base RI'!B268</f>
        <v>Mont-sur-Rolle</v>
      </c>
      <c r="C268" s="10">
        <f>'A) Base RI'!C268+'A) Base RI'!D268</f>
        <v>7831223.2199999997</v>
      </c>
      <c r="D268" s="10">
        <f>'A) Base RI'!AP268</f>
        <v>-112670.63</v>
      </c>
      <c r="E268" s="31">
        <f>'A) Base RI'!AQ268</f>
        <v>0</v>
      </c>
      <c r="F268" s="31">
        <f>'A) Base RI'!AR268</f>
        <v>-16120.36</v>
      </c>
      <c r="G268" s="412">
        <f t="shared" si="24"/>
        <v>7702432.2299999995</v>
      </c>
      <c r="H268" s="10">
        <f>+'A) Base RI'!E268</f>
        <v>0</v>
      </c>
      <c r="I268" s="10">
        <f>+'A) Base RI'!F268</f>
        <v>0</v>
      </c>
      <c r="J268" s="10">
        <f>+'A) Base RI'!G268+'A) Base RI'!H268+'A) Base RI'!X268</f>
        <v>74973.399999999994</v>
      </c>
      <c r="K268" s="10">
        <f>+'A) Base RI'!I268</f>
        <v>400938.75</v>
      </c>
      <c r="L268" s="10">
        <f>+'A) Base RI'!J268</f>
        <v>34697.019999999997</v>
      </c>
      <c r="M268" s="10">
        <f>+'A) Base RI'!K268</f>
        <v>-3507.85</v>
      </c>
      <c r="N268" s="10">
        <f>+'A) Base RI'!Q268</f>
        <v>14401.12</v>
      </c>
      <c r="O268" s="10">
        <f t="shared" si="25"/>
        <v>642245.4</v>
      </c>
      <c r="P268" s="10">
        <f>+'A) Base RI'!L268</f>
        <v>642245.4</v>
      </c>
      <c r="Q268" s="34">
        <f>'A) Base RI'!AS268</f>
        <v>1</v>
      </c>
      <c r="R268" s="412">
        <f t="shared" si="26"/>
        <v>8866180.0700000003</v>
      </c>
      <c r="S268" s="33">
        <f>+'A) Base RI'!AN268</f>
        <v>65</v>
      </c>
      <c r="T268" s="412">
        <f t="shared" si="27"/>
        <v>8227442.5199999996</v>
      </c>
      <c r="U268" s="412">
        <f t="shared" si="28"/>
        <v>136402.77030769232</v>
      </c>
      <c r="V268" s="10">
        <f>+'A) Base RI'!O268</f>
        <v>340692.4</v>
      </c>
      <c r="W268" s="10">
        <f>+'A) Base RI'!P268</f>
        <v>528407.65</v>
      </c>
      <c r="X268" s="10">
        <f>+'A) Base RI'!R268</f>
        <v>433466.6</v>
      </c>
      <c r="Y268" s="412">
        <f t="shared" si="29"/>
        <v>1302566.6499999999</v>
      </c>
      <c r="Z268" s="10">
        <f>+'A) Base RI'!N268</f>
        <v>89553.8</v>
      </c>
      <c r="AA268" s="10">
        <f>'A) Base RI'!AO268</f>
        <v>2677</v>
      </c>
    </row>
    <row r="269" spans="1:27" x14ac:dyDescent="0.25">
      <c r="A269" s="8">
        <f>'A) Base RI'!A269</f>
        <v>5860</v>
      </c>
      <c r="B269" s="32" t="str">
        <f>'A) Base RI'!B269</f>
        <v>Perroy</v>
      </c>
      <c r="C269" s="10">
        <f>'A) Base RI'!C269+'A) Base RI'!D269</f>
        <v>5125957.0999999996</v>
      </c>
      <c r="D269" s="10">
        <f>'A) Base RI'!AP269</f>
        <v>-73842.09</v>
      </c>
      <c r="E269" s="31">
        <f>'A) Base RI'!AQ269</f>
        <v>0</v>
      </c>
      <c r="F269" s="31">
        <f>'A) Base RI'!AR269</f>
        <v>-15722.58</v>
      </c>
      <c r="G269" s="412">
        <f t="shared" si="24"/>
        <v>5036392.43</v>
      </c>
      <c r="H269" s="10">
        <f>+'A) Base RI'!E269</f>
        <v>0</v>
      </c>
      <c r="I269" s="10">
        <f>+'A) Base RI'!F269</f>
        <v>0</v>
      </c>
      <c r="J269" s="10">
        <f>+'A) Base RI'!G269+'A) Base RI'!H269+'A) Base RI'!X269</f>
        <v>97537.999999999985</v>
      </c>
      <c r="K269" s="10">
        <f>+'A) Base RI'!I269</f>
        <v>338946</v>
      </c>
      <c r="L269" s="10">
        <f>+'A) Base RI'!J269</f>
        <v>156201.74</v>
      </c>
      <c r="M269" s="10">
        <f>+'A) Base RI'!K269</f>
        <v>21132.799999999999</v>
      </c>
      <c r="N269" s="10">
        <f>+'A) Base RI'!Q269</f>
        <v>640.59</v>
      </c>
      <c r="O269" s="10">
        <f t="shared" si="25"/>
        <v>504153.38461538462</v>
      </c>
      <c r="P269" s="10">
        <f>+'A) Base RI'!L269</f>
        <v>655399.4</v>
      </c>
      <c r="Q269" s="34">
        <f>'A) Base RI'!AS269</f>
        <v>1.3</v>
      </c>
      <c r="R269" s="412">
        <f t="shared" si="26"/>
        <v>6155004.9446153846</v>
      </c>
      <c r="S269" s="33">
        <f>+'A) Base RI'!AN269</f>
        <v>60</v>
      </c>
      <c r="T269" s="412">
        <f t="shared" si="27"/>
        <v>5629718.7599999998</v>
      </c>
      <c r="U269" s="412">
        <f t="shared" si="28"/>
        <v>102583.41574358974</v>
      </c>
      <c r="V269" s="10">
        <f>+'A) Base RI'!O269</f>
        <v>49472.3</v>
      </c>
      <c r="W269" s="10">
        <f>+'A) Base RI'!P269</f>
        <v>364170.75</v>
      </c>
      <c r="X269" s="10">
        <f>+'A) Base RI'!R269</f>
        <v>52651.75</v>
      </c>
      <c r="Y269" s="412">
        <f t="shared" si="29"/>
        <v>466294.8</v>
      </c>
      <c r="Z269" s="10">
        <f>+'A) Base RI'!N269</f>
        <v>29086.45</v>
      </c>
      <c r="AA269" s="10">
        <f>'A) Base RI'!AO269</f>
        <v>1497</v>
      </c>
    </row>
    <row r="270" spans="1:27" x14ac:dyDescent="0.25">
      <c r="A270" s="8">
        <f>'A) Base RI'!A270</f>
        <v>5861</v>
      </c>
      <c r="B270" s="32" t="str">
        <f>'A) Base RI'!B270</f>
        <v>Rolle</v>
      </c>
      <c r="C270" s="10">
        <f>'A) Base RI'!C270+'A) Base RI'!D270</f>
        <v>15854467.02</v>
      </c>
      <c r="D270" s="10">
        <f>'A) Base RI'!AP270</f>
        <v>-249778.26</v>
      </c>
      <c r="E270" s="31">
        <f>'A) Base RI'!AQ270</f>
        <v>0</v>
      </c>
      <c r="F270" s="31">
        <f>'A) Base RI'!AR270</f>
        <v>-29710.37</v>
      </c>
      <c r="G270" s="412">
        <f t="shared" si="24"/>
        <v>15574978.390000001</v>
      </c>
      <c r="H270" s="10">
        <f>+'A) Base RI'!E270</f>
        <v>0</v>
      </c>
      <c r="I270" s="10">
        <f>+'A) Base RI'!F270</f>
        <v>0</v>
      </c>
      <c r="J270" s="10">
        <f>+'A) Base RI'!G270+'A) Base RI'!H270+'A) Base RI'!X270</f>
        <v>25416253.699999999</v>
      </c>
      <c r="K270" s="10">
        <f>+'A) Base RI'!I270</f>
        <v>814847.83</v>
      </c>
      <c r="L270" s="10">
        <f>+'A) Base RI'!J270</f>
        <v>1420528.04</v>
      </c>
      <c r="M270" s="10">
        <f>+'A) Base RI'!K270</f>
        <v>284336.55</v>
      </c>
      <c r="N270" s="10">
        <f>+'A) Base RI'!Q270</f>
        <v>65459.81</v>
      </c>
      <c r="O270" s="10">
        <f t="shared" si="25"/>
        <v>1789083.05</v>
      </c>
      <c r="P270" s="10">
        <f>+'A) Base RI'!L270</f>
        <v>1789083.05</v>
      </c>
      <c r="Q270" s="34">
        <f>'A) Base RI'!AS270</f>
        <v>1</v>
      </c>
      <c r="R270" s="412">
        <f t="shared" si="26"/>
        <v>45365487.369999997</v>
      </c>
      <c r="S270" s="33">
        <f>+'A) Base RI'!AN270</f>
        <v>59.5</v>
      </c>
      <c r="T270" s="412">
        <f t="shared" si="27"/>
        <v>43292067.770000003</v>
      </c>
      <c r="U270" s="412">
        <f t="shared" si="28"/>
        <v>762445.16588235286</v>
      </c>
      <c r="V270" s="10">
        <f>+'A) Base RI'!O270</f>
        <v>380747.1</v>
      </c>
      <c r="W270" s="10">
        <f>+'A) Base RI'!P270</f>
        <v>1909515.8</v>
      </c>
      <c r="X270" s="10">
        <f>+'A) Base RI'!R270</f>
        <v>328718.3</v>
      </c>
      <c r="Y270" s="412">
        <f t="shared" si="29"/>
        <v>2618981.1999999997</v>
      </c>
      <c r="Z270" s="10">
        <f>+'A) Base RI'!N270</f>
        <v>598198.19999999995</v>
      </c>
      <c r="AA270" s="10">
        <f>'A) Base RI'!AO270</f>
        <v>6245</v>
      </c>
    </row>
    <row r="271" spans="1:27" x14ac:dyDescent="0.25">
      <c r="A271" s="8">
        <f>'A) Base RI'!A271</f>
        <v>5862</v>
      </c>
      <c r="B271" s="32" t="str">
        <f>'A) Base RI'!B271</f>
        <v>Tartegnin</v>
      </c>
      <c r="C271" s="10">
        <f>'A) Base RI'!C271+'A) Base RI'!D271</f>
        <v>828342.71000000008</v>
      </c>
      <c r="D271" s="10">
        <f>'A) Base RI'!AP271</f>
        <v>-12090.29</v>
      </c>
      <c r="E271" s="31">
        <f>'A) Base RI'!AQ271</f>
        <v>0</v>
      </c>
      <c r="F271" s="31">
        <f>'A) Base RI'!AR271</f>
        <v>-56.96</v>
      </c>
      <c r="G271" s="412">
        <f t="shared" si="24"/>
        <v>816195.46000000008</v>
      </c>
      <c r="H271" s="10">
        <f>+'A) Base RI'!E271</f>
        <v>0</v>
      </c>
      <c r="I271" s="10">
        <f>+'A) Base RI'!F271</f>
        <v>0</v>
      </c>
      <c r="J271" s="10">
        <f>+'A) Base RI'!G271+'A) Base RI'!H271+'A) Base RI'!X271</f>
        <v>6999.05</v>
      </c>
      <c r="K271" s="10">
        <f>+'A) Base RI'!I271</f>
        <v>0</v>
      </c>
      <c r="L271" s="10">
        <f>+'A) Base RI'!J271</f>
        <v>14597.16</v>
      </c>
      <c r="M271" s="10">
        <f>+'A) Base RI'!K271</f>
        <v>0</v>
      </c>
      <c r="N271" s="10">
        <f>+'A) Base RI'!Q271</f>
        <v>0</v>
      </c>
      <c r="O271" s="10">
        <f t="shared" si="25"/>
        <v>49637.7</v>
      </c>
      <c r="P271" s="10">
        <f>+'A) Base RI'!L271</f>
        <v>49637.7</v>
      </c>
      <c r="Q271" s="34">
        <f>'A) Base RI'!AS271</f>
        <v>1</v>
      </c>
      <c r="R271" s="412">
        <f t="shared" si="26"/>
        <v>887429.37000000011</v>
      </c>
      <c r="S271" s="33">
        <f>+'A) Base RI'!AN271</f>
        <v>81</v>
      </c>
      <c r="T271" s="412">
        <f t="shared" si="27"/>
        <v>837791.67000000016</v>
      </c>
      <c r="U271" s="412">
        <f t="shared" si="28"/>
        <v>10955.91814814815</v>
      </c>
      <c r="V271" s="10">
        <f>+'A) Base RI'!O271</f>
        <v>0</v>
      </c>
      <c r="W271" s="10">
        <f>+'A) Base RI'!P271</f>
        <v>0</v>
      </c>
      <c r="X271" s="10">
        <f>+'A) Base RI'!R271</f>
        <v>3733.3</v>
      </c>
      <c r="Y271" s="412">
        <f t="shared" si="29"/>
        <v>3733.3</v>
      </c>
      <c r="Z271" s="10">
        <f>+'A) Base RI'!N271</f>
        <v>4147.8</v>
      </c>
      <c r="AA271" s="10">
        <f>'A) Base RI'!AO271</f>
        <v>233</v>
      </c>
    </row>
    <row r="272" spans="1:27" x14ac:dyDescent="0.25">
      <c r="A272" s="8">
        <f>'A) Base RI'!A272</f>
        <v>5863</v>
      </c>
      <c r="B272" s="32" t="str">
        <f>'A) Base RI'!B272</f>
        <v>Vinzel</v>
      </c>
      <c r="C272" s="10">
        <f>'A) Base RI'!C272+'A) Base RI'!D272</f>
        <v>1106289.19</v>
      </c>
      <c r="D272" s="10">
        <f>'A) Base RI'!AP272</f>
        <v>-77110.460000000006</v>
      </c>
      <c r="E272" s="31">
        <f>'A) Base RI'!AQ272</f>
        <v>0</v>
      </c>
      <c r="F272" s="31">
        <f>'A) Base RI'!AR272</f>
        <v>-1754.25</v>
      </c>
      <c r="G272" s="412">
        <f t="shared" si="24"/>
        <v>1027424.48</v>
      </c>
      <c r="H272" s="10">
        <f>+'A) Base RI'!E272</f>
        <v>0</v>
      </c>
      <c r="I272" s="10">
        <f>+'A) Base RI'!F272</f>
        <v>0</v>
      </c>
      <c r="J272" s="10">
        <f>+'A) Base RI'!G272+'A) Base RI'!H272+'A) Base RI'!X272</f>
        <v>20006.099999999999</v>
      </c>
      <c r="K272" s="10">
        <f>+'A) Base RI'!I272</f>
        <v>42873.3</v>
      </c>
      <c r="L272" s="10">
        <f>+'A) Base RI'!J272</f>
        <v>24348.21</v>
      </c>
      <c r="M272" s="10">
        <f>+'A) Base RI'!K272</f>
        <v>2004.9</v>
      </c>
      <c r="N272" s="10">
        <f>+'A) Base RI'!Q272</f>
        <v>0</v>
      </c>
      <c r="O272" s="10">
        <f t="shared" si="25"/>
        <v>81667</v>
      </c>
      <c r="P272" s="10">
        <f>+'A) Base RI'!L272</f>
        <v>81667</v>
      </c>
      <c r="Q272" s="34">
        <f>'A) Base RI'!AS272</f>
        <v>1</v>
      </c>
      <c r="R272" s="412">
        <f t="shared" si="26"/>
        <v>1198323.9899999998</v>
      </c>
      <c r="S272" s="33">
        <f>+'A) Base RI'!AN272</f>
        <v>67</v>
      </c>
      <c r="T272" s="412">
        <f t="shared" si="27"/>
        <v>1114652.0899999999</v>
      </c>
      <c r="U272" s="412">
        <f t="shared" si="28"/>
        <v>17885.432686567161</v>
      </c>
      <c r="V272" s="10">
        <f>+'A) Base RI'!O272</f>
        <v>0</v>
      </c>
      <c r="W272" s="10">
        <f>+'A) Base RI'!P272</f>
        <v>88043.7</v>
      </c>
      <c r="X272" s="10">
        <f>+'A) Base RI'!R272</f>
        <v>0</v>
      </c>
      <c r="Y272" s="412">
        <f t="shared" si="29"/>
        <v>88043.7</v>
      </c>
      <c r="Z272" s="10">
        <f>+'A) Base RI'!N272</f>
        <v>16833.150000000001</v>
      </c>
      <c r="AA272" s="10">
        <f>'A) Base RI'!AO272</f>
        <v>355</v>
      </c>
    </row>
    <row r="273" spans="1:27" x14ac:dyDescent="0.25">
      <c r="A273" s="8">
        <f>'A) Base RI'!A273</f>
        <v>5871</v>
      </c>
      <c r="B273" s="32" t="str">
        <f>'A) Base RI'!B273</f>
        <v>L'Abbaye</v>
      </c>
      <c r="C273" s="10">
        <f>'A) Base RI'!C273+'A) Base RI'!D273</f>
        <v>3166349.01</v>
      </c>
      <c r="D273" s="10">
        <f>'A) Base RI'!AP273</f>
        <v>-16403.990000000002</v>
      </c>
      <c r="E273" s="31">
        <f>'A) Base RI'!AQ273</f>
        <v>0</v>
      </c>
      <c r="F273" s="31">
        <f>'A) Base RI'!AR273</f>
        <v>-321.19</v>
      </c>
      <c r="G273" s="412">
        <f t="shared" si="24"/>
        <v>3149623.8299999996</v>
      </c>
      <c r="H273" s="10">
        <f>+'A) Base RI'!E273</f>
        <v>0</v>
      </c>
      <c r="I273" s="10">
        <f>+'A) Base RI'!F273</f>
        <v>0</v>
      </c>
      <c r="J273" s="10">
        <f>+'A) Base RI'!G273+'A) Base RI'!H273+'A) Base RI'!X273</f>
        <v>174903.55000000002</v>
      </c>
      <c r="K273" s="10">
        <f>+'A) Base RI'!I273</f>
        <v>0</v>
      </c>
      <c r="L273" s="10">
        <f>+'A) Base RI'!J273</f>
        <v>40007.78</v>
      </c>
      <c r="M273" s="10">
        <f>+'A) Base RI'!K273</f>
        <v>3864.65</v>
      </c>
      <c r="N273" s="10">
        <f>+'A) Base RI'!Q273</f>
        <v>445.17</v>
      </c>
      <c r="O273" s="10">
        <f t="shared" si="25"/>
        <v>259973.59999999998</v>
      </c>
      <c r="P273" s="10">
        <f>+'A) Base RI'!L273</f>
        <v>259973.59999999998</v>
      </c>
      <c r="Q273" s="34">
        <f>'A) Base RI'!AS273</f>
        <v>1</v>
      </c>
      <c r="R273" s="412">
        <f t="shared" si="26"/>
        <v>3628818.5799999991</v>
      </c>
      <c r="S273" s="33">
        <f>+'A) Base RI'!AN273</f>
        <v>77.599999999999994</v>
      </c>
      <c r="T273" s="412">
        <f t="shared" si="27"/>
        <v>3364980.3299999991</v>
      </c>
      <c r="U273" s="412">
        <f t="shared" si="28"/>
        <v>46763.12603092783</v>
      </c>
      <c r="V273" s="10">
        <f>+'A) Base RI'!O273</f>
        <v>65504.1</v>
      </c>
      <c r="W273" s="10">
        <f>+'A) Base RI'!P273</f>
        <v>124027.95</v>
      </c>
      <c r="X273" s="10">
        <f>+'A) Base RI'!R273</f>
        <v>77452.399999999994</v>
      </c>
      <c r="Y273" s="412">
        <f t="shared" si="29"/>
        <v>266984.44999999995</v>
      </c>
      <c r="Z273" s="10">
        <f>+'A) Base RI'!N273</f>
        <v>654987.30000000005</v>
      </c>
      <c r="AA273" s="10">
        <f>'A) Base RI'!AO273</f>
        <v>1481</v>
      </c>
    </row>
    <row r="274" spans="1:27" x14ac:dyDescent="0.25">
      <c r="A274" s="8">
        <f>'A) Base RI'!A274</f>
        <v>5872</v>
      </c>
      <c r="B274" s="32" t="str">
        <f>'A) Base RI'!B274</f>
        <v>Le Chenit</v>
      </c>
      <c r="C274" s="10">
        <f>'A) Base RI'!C274+'A) Base RI'!D274</f>
        <v>8257465.7699999996</v>
      </c>
      <c r="D274" s="10">
        <f>'A) Base RI'!AP274</f>
        <v>-170148.98</v>
      </c>
      <c r="E274" s="31">
        <f>'A) Base RI'!AQ274</f>
        <v>0</v>
      </c>
      <c r="F274" s="31">
        <f>'A) Base RI'!AR274</f>
        <v>-5655.62</v>
      </c>
      <c r="G274" s="412">
        <f t="shared" si="24"/>
        <v>8081661.169999999</v>
      </c>
      <c r="H274" s="10">
        <f>+'A) Base RI'!E274</f>
        <v>0</v>
      </c>
      <c r="I274" s="10">
        <f>+'A) Base RI'!F274</f>
        <v>0</v>
      </c>
      <c r="J274" s="10">
        <f>+'A) Base RI'!G274+'A) Base RI'!H274+'A) Base RI'!X274</f>
        <v>9195079.75</v>
      </c>
      <c r="K274" s="10">
        <f>+'A) Base RI'!I274</f>
        <v>0</v>
      </c>
      <c r="L274" s="10">
        <f>+'A) Base RI'!J274</f>
        <v>351851.14</v>
      </c>
      <c r="M274" s="10">
        <f>+'A) Base RI'!K274</f>
        <v>38880.699999999997</v>
      </c>
      <c r="N274" s="10">
        <f>+'A) Base RI'!Q274</f>
        <v>10048.540000000001</v>
      </c>
      <c r="O274" s="10">
        <f t="shared" si="25"/>
        <v>728194.4</v>
      </c>
      <c r="P274" s="10">
        <f>+'A) Base RI'!L274</f>
        <v>728194.4</v>
      </c>
      <c r="Q274" s="34">
        <f>'A) Base RI'!AS274</f>
        <v>1</v>
      </c>
      <c r="R274" s="412">
        <f t="shared" si="26"/>
        <v>18405715.699999996</v>
      </c>
      <c r="S274" s="33">
        <f>+'A) Base RI'!AN274</f>
        <v>68.39</v>
      </c>
      <c r="T274" s="412">
        <f t="shared" si="27"/>
        <v>17638640.599999998</v>
      </c>
      <c r="U274" s="412">
        <f t="shared" si="28"/>
        <v>269128.75712823507</v>
      </c>
      <c r="V274" s="10">
        <f>+'A) Base RI'!O274</f>
        <v>325830.40000000002</v>
      </c>
      <c r="W274" s="10">
        <f>+'A) Base RI'!P274</f>
        <v>258409.65</v>
      </c>
      <c r="X274" s="10">
        <f>+'A) Base RI'!R274</f>
        <v>324606.09999999998</v>
      </c>
      <c r="Y274" s="412">
        <f t="shared" si="29"/>
        <v>908846.15</v>
      </c>
      <c r="Z274" s="10">
        <f>+'A) Base RI'!N274</f>
        <v>7378758.0999999996</v>
      </c>
      <c r="AA274" s="10">
        <f>'A) Base RI'!AO274</f>
        <v>4657</v>
      </c>
    </row>
    <row r="275" spans="1:27" x14ac:dyDescent="0.25">
      <c r="A275" s="8">
        <f>'A) Base RI'!A275</f>
        <v>5873</v>
      </c>
      <c r="B275" s="32" t="str">
        <f>'A) Base RI'!B275</f>
        <v>Le Lieu</v>
      </c>
      <c r="C275" s="10">
        <f>'A) Base RI'!C275+'A) Base RI'!D275</f>
        <v>1703507.78</v>
      </c>
      <c r="D275" s="10">
        <f>'A) Base RI'!AP275</f>
        <v>-22500.99</v>
      </c>
      <c r="E275" s="31">
        <f>'A) Base RI'!AQ275</f>
        <v>0</v>
      </c>
      <c r="F275" s="31">
        <f>'A) Base RI'!AR275</f>
        <v>-111.33</v>
      </c>
      <c r="G275" s="412">
        <f t="shared" si="24"/>
        <v>1680895.46</v>
      </c>
      <c r="H275" s="10">
        <f>+'A) Base RI'!E275</f>
        <v>0</v>
      </c>
      <c r="I275" s="10">
        <f>+'A) Base RI'!F275</f>
        <v>0</v>
      </c>
      <c r="J275" s="10">
        <f>+'A) Base RI'!G275+'A) Base RI'!H275+'A) Base RI'!X275</f>
        <v>155811</v>
      </c>
      <c r="K275" s="10">
        <f>+'A) Base RI'!I275</f>
        <v>0</v>
      </c>
      <c r="L275" s="10">
        <f>+'A) Base RI'!J275</f>
        <v>37307.85</v>
      </c>
      <c r="M275" s="10">
        <f>+'A) Base RI'!K275</f>
        <v>0</v>
      </c>
      <c r="N275" s="10">
        <f>+'A) Base RI'!Q275</f>
        <v>12230.35</v>
      </c>
      <c r="O275" s="10">
        <f t="shared" si="25"/>
        <v>141360.83333333334</v>
      </c>
      <c r="P275" s="10">
        <f>+'A) Base RI'!L275</f>
        <v>84816.5</v>
      </c>
      <c r="Q275" s="34">
        <f>'A) Base RI'!AS275</f>
        <v>0.6</v>
      </c>
      <c r="R275" s="412">
        <f t="shared" si="26"/>
        <v>2027605.4933333334</v>
      </c>
      <c r="S275" s="33">
        <f>+'A) Base RI'!AN275</f>
        <v>70</v>
      </c>
      <c r="T275" s="412">
        <f t="shared" si="27"/>
        <v>1886244.6600000001</v>
      </c>
      <c r="U275" s="412">
        <f t="shared" si="28"/>
        <v>28965.792761904762</v>
      </c>
      <c r="V275" s="10">
        <f>+'A) Base RI'!O275</f>
        <v>0</v>
      </c>
      <c r="W275" s="10">
        <f>+'A) Base RI'!P275</f>
        <v>39988.65</v>
      </c>
      <c r="X275" s="10">
        <f>+'A) Base RI'!R275</f>
        <v>41358.9</v>
      </c>
      <c r="Y275" s="412">
        <f t="shared" si="29"/>
        <v>81347.55</v>
      </c>
      <c r="Z275" s="10">
        <f>+'A) Base RI'!N275</f>
        <v>811975.45</v>
      </c>
      <c r="AA275" s="10">
        <f>'A) Base RI'!AO275</f>
        <v>900</v>
      </c>
    </row>
    <row r="276" spans="1:27" x14ac:dyDescent="0.25">
      <c r="A276" s="8">
        <f>'A) Base RI'!A276</f>
        <v>5881</v>
      </c>
      <c r="B276" s="32" t="str">
        <f>'A) Base RI'!B276</f>
        <v>Blonay</v>
      </c>
      <c r="C276" s="10">
        <f>'A) Base RI'!C276+'A) Base RI'!D276</f>
        <v>22119048.600000001</v>
      </c>
      <c r="D276" s="10">
        <f>'A) Base RI'!AP276</f>
        <v>-123266.91</v>
      </c>
      <c r="E276" s="31">
        <f>'A) Base RI'!AQ276</f>
        <v>0</v>
      </c>
      <c r="F276" s="31">
        <f>'A) Base RI'!AR276</f>
        <v>-56915.75</v>
      </c>
      <c r="G276" s="412">
        <f t="shared" si="24"/>
        <v>21938865.940000001</v>
      </c>
      <c r="H276" s="10">
        <f>+'A) Base RI'!E276</f>
        <v>0</v>
      </c>
      <c r="I276" s="10">
        <f>+'A) Base RI'!F276</f>
        <v>0</v>
      </c>
      <c r="J276" s="10">
        <f>+'A) Base RI'!G276+'A) Base RI'!H276+'A) Base RI'!X276</f>
        <v>205122.15</v>
      </c>
      <c r="K276" s="10">
        <f>+'A) Base RI'!I276</f>
        <v>924683.62</v>
      </c>
      <c r="L276" s="10">
        <f>+'A) Base RI'!J276</f>
        <v>56787.64</v>
      </c>
      <c r="M276" s="10">
        <f>+'A) Base RI'!K276</f>
        <v>48743.65</v>
      </c>
      <c r="N276" s="10">
        <f>+'A) Base RI'!Q276</f>
        <v>64085.760000000002</v>
      </c>
      <c r="O276" s="10">
        <f t="shared" si="25"/>
        <v>1674622</v>
      </c>
      <c r="P276" s="10">
        <f>+'A) Base RI'!L276</f>
        <v>1674622</v>
      </c>
      <c r="Q276" s="34">
        <f>'A) Base RI'!AS276</f>
        <v>1</v>
      </c>
      <c r="R276" s="412">
        <f t="shared" si="26"/>
        <v>24912910.760000002</v>
      </c>
      <c r="S276" s="33">
        <f>+'A) Base RI'!AN276</f>
        <v>70</v>
      </c>
      <c r="T276" s="412">
        <f t="shared" si="27"/>
        <v>23189545.110000003</v>
      </c>
      <c r="U276" s="412">
        <f t="shared" si="28"/>
        <v>355898.72514285718</v>
      </c>
      <c r="V276" s="10">
        <f>+'A) Base RI'!O276</f>
        <v>498862.9</v>
      </c>
      <c r="W276" s="10">
        <f>+'A) Base RI'!P276</f>
        <v>1103773.3</v>
      </c>
      <c r="X276" s="10">
        <f>+'A) Base RI'!R276</f>
        <v>988588.4</v>
      </c>
      <c r="Y276" s="412">
        <f t="shared" si="29"/>
        <v>2591224.6</v>
      </c>
      <c r="Z276" s="10">
        <f>+'A) Base RI'!N276</f>
        <v>152382.95000000001</v>
      </c>
      <c r="AA276" s="10">
        <f>'A) Base RI'!AO276</f>
        <v>6151</v>
      </c>
    </row>
    <row r="277" spans="1:27" x14ac:dyDescent="0.25">
      <c r="A277" s="8">
        <f>'A) Base RI'!A277</f>
        <v>5882</v>
      </c>
      <c r="B277" s="32" t="str">
        <f>'A) Base RI'!B277</f>
        <v>Chardonne</v>
      </c>
      <c r="C277" s="10">
        <f>'A) Base RI'!C277+'A) Base RI'!D277</f>
        <v>10516725.689999999</v>
      </c>
      <c r="D277" s="10">
        <f>'A) Base RI'!AP277</f>
        <v>-142700.22</v>
      </c>
      <c r="E277" s="31">
        <f>'A) Base RI'!AQ277</f>
        <v>0</v>
      </c>
      <c r="F277" s="31">
        <f>'A) Base RI'!AR277</f>
        <v>-21074.02</v>
      </c>
      <c r="G277" s="412">
        <f t="shared" si="24"/>
        <v>10352951.449999999</v>
      </c>
      <c r="H277" s="10">
        <f>+'A) Base RI'!E277</f>
        <v>0</v>
      </c>
      <c r="I277" s="10">
        <f>+'A) Base RI'!F277</f>
        <v>0</v>
      </c>
      <c r="J277" s="10">
        <f>+'A) Base RI'!G277+'A) Base RI'!H277+'A) Base RI'!X277</f>
        <v>222501.9</v>
      </c>
      <c r="K277" s="10">
        <f>+'A) Base RI'!I277</f>
        <v>614230.69999999995</v>
      </c>
      <c r="L277" s="10">
        <f>+'A) Base RI'!J277</f>
        <v>216635.78</v>
      </c>
      <c r="M277" s="10">
        <f>+'A) Base RI'!K277</f>
        <v>97377.85</v>
      </c>
      <c r="N277" s="10">
        <f>+'A) Base RI'!Q277</f>
        <v>39342.26</v>
      </c>
      <c r="O277" s="10">
        <f t="shared" si="25"/>
        <v>974587.82</v>
      </c>
      <c r="P277" s="10">
        <f>+'A) Base RI'!L277</f>
        <v>974587.82</v>
      </c>
      <c r="Q277" s="34">
        <f>'A) Base RI'!AS277</f>
        <v>1</v>
      </c>
      <c r="R277" s="412">
        <f t="shared" si="26"/>
        <v>12517627.759999998</v>
      </c>
      <c r="S277" s="33">
        <f>+'A) Base RI'!AN277</f>
        <v>68</v>
      </c>
      <c r="T277" s="412">
        <f t="shared" si="27"/>
        <v>11445662.089999998</v>
      </c>
      <c r="U277" s="412">
        <f t="shared" si="28"/>
        <v>184082.76117647055</v>
      </c>
      <c r="V277" s="10">
        <f>+'A) Base RI'!O277</f>
        <v>1376729.5</v>
      </c>
      <c r="W277" s="10">
        <f>+'A) Base RI'!P277</f>
        <v>528615.75</v>
      </c>
      <c r="X277" s="10">
        <f>+'A) Base RI'!R277</f>
        <v>425357.8</v>
      </c>
      <c r="Y277" s="412">
        <f t="shared" si="29"/>
        <v>2330703.0499999998</v>
      </c>
      <c r="Z277" s="10">
        <f>+'A) Base RI'!N277</f>
        <v>12885.05</v>
      </c>
      <c r="AA277" s="10">
        <f>'A) Base RI'!AO277</f>
        <v>3032</v>
      </c>
    </row>
    <row r="278" spans="1:27" x14ac:dyDescent="0.25">
      <c r="A278" s="8">
        <f>'A) Base RI'!A278</f>
        <v>5883</v>
      </c>
      <c r="B278" s="32" t="str">
        <f>'A) Base RI'!B278</f>
        <v>Corseaux</v>
      </c>
      <c r="C278" s="10">
        <f>'A) Base RI'!C278+'A) Base RI'!D278</f>
        <v>10065622.040000001</v>
      </c>
      <c r="D278" s="10">
        <f>'A) Base RI'!AP278</f>
        <v>-45401.71</v>
      </c>
      <c r="E278" s="31">
        <f>'A) Base RI'!AQ278</f>
        <v>0</v>
      </c>
      <c r="F278" s="31">
        <f>'A) Base RI'!AR278</f>
        <v>-17264.27</v>
      </c>
      <c r="G278" s="412">
        <f t="shared" si="24"/>
        <v>10002956.060000001</v>
      </c>
      <c r="H278" s="10">
        <f>+'A) Base RI'!E278</f>
        <v>0</v>
      </c>
      <c r="I278" s="10">
        <f>+'A) Base RI'!F278</f>
        <v>0</v>
      </c>
      <c r="J278" s="10">
        <f>+'A) Base RI'!G278+'A) Base RI'!H278+'A) Base RI'!X278</f>
        <v>219464.15000000002</v>
      </c>
      <c r="K278" s="10">
        <f>+'A) Base RI'!I278</f>
        <v>254076.2</v>
      </c>
      <c r="L278" s="10">
        <f>+'A) Base RI'!J278</f>
        <v>180520.74</v>
      </c>
      <c r="M278" s="10">
        <f>+'A) Base RI'!K278</f>
        <v>5591.05</v>
      </c>
      <c r="N278" s="10">
        <f>+'A) Base RI'!Q278</f>
        <v>21638.560000000001</v>
      </c>
      <c r="O278" s="10">
        <f t="shared" si="25"/>
        <v>670114.35</v>
      </c>
      <c r="P278" s="10">
        <f>+'A) Base RI'!L278</f>
        <v>670114.35</v>
      </c>
      <c r="Q278" s="34">
        <f>'A) Base RI'!AS278</f>
        <v>1</v>
      </c>
      <c r="R278" s="412">
        <f t="shared" si="26"/>
        <v>11354361.110000001</v>
      </c>
      <c r="S278" s="33">
        <f>+'A) Base RI'!AN278</f>
        <v>69</v>
      </c>
      <c r="T278" s="412">
        <f t="shared" si="27"/>
        <v>10678655.710000001</v>
      </c>
      <c r="U278" s="412">
        <f t="shared" si="28"/>
        <v>164555.95811594205</v>
      </c>
      <c r="V278" s="10">
        <f>+'A) Base RI'!O278</f>
        <v>85276.800000000003</v>
      </c>
      <c r="W278" s="10">
        <f>+'A) Base RI'!P278</f>
        <v>281920.05</v>
      </c>
      <c r="X278" s="10">
        <f>+'A) Base RI'!R278</f>
        <v>313200.34999999998</v>
      </c>
      <c r="Y278" s="412">
        <f t="shared" si="29"/>
        <v>680397.2</v>
      </c>
      <c r="Z278" s="10">
        <f>+'A) Base RI'!N278</f>
        <v>2957.75</v>
      </c>
      <c r="AA278" s="10">
        <f>'A) Base RI'!AO278</f>
        <v>2287</v>
      </c>
    </row>
    <row r="279" spans="1:27" x14ac:dyDescent="0.25">
      <c r="A279" s="8">
        <f>'A) Base RI'!A279</f>
        <v>5884</v>
      </c>
      <c r="B279" s="32" t="str">
        <f>'A) Base RI'!B279</f>
        <v>Corsier-sur-Vevey</v>
      </c>
      <c r="C279" s="10">
        <f>'A) Base RI'!C279+'A) Base RI'!D279</f>
        <v>6448516.9900000002</v>
      </c>
      <c r="D279" s="10">
        <f>'A) Base RI'!AP279</f>
        <v>-357596.62</v>
      </c>
      <c r="E279" s="31">
        <f>'A) Base RI'!AQ279</f>
        <v>0</v>
      </c>
      <c r="F279" s="31">
        <f>'A) Base RI'!AR279</f>
        <v>-2345.4699999999998</v>
      </c>
      <c r="G279" s="412">
        <f t="shared" si="24"/>
        <v>6088574.9000000004</v>
      </c>
      <c r="H279" s="10">
        <f>+'A) Base RI'!E279</f>
        <v>0</v>
      </c>
      <c r="I279" s="10">
        <f>+'A) Base RI'!F279</f>
        <v>0</v>
      </c>
      <c r="J279" s="10">
        <f>+'A) Base RI'!G279+'A) Base RI'!H279+'A) Base RI'!X279</f>
        <v>806754.25</v>
      </c>
      <c r="K279" s="10">
        <f>+'A) Base RI'!I279</f>
        <v>27182.15</v>
      </c>
      <c r="L279" s="10">
        <f>+'A) Base RI'!J279</f>
        <v>206700.69</v>
      </c>
      <c r="M279" s="10">
        <f>+'A) Base RI'!K279</f>
        <v>184493.7</v>
      </c>
      <c r="N279" s="10">
        <f>+'A) Base RI'!Q279</f>
        <v>281071.89</v>
      </c>
      <c r="O279" s="10">
        <f t="shared" si="25"/>
        <v>794233.08333333337</v>
      </c>
      <c r="P279" s="10">
        <f>+'A) Base RI'!L279</f>
        <v>953079.7</v>
      </c>
      <c r="Q279" s="34">
        <f>'A) Base RI'!AS279</f>
        <v>1.2</v>
      </c>
      <c r="R279" s="412">
        <f t="shared" si="26"/>
        <v>8389010.663333334</v>
      </c>
      <c r="S279" s="33">
        <f>+'A) Base RI'!AN279</f>
        <v>66</v>
      </c>
      <c r="T279" s="412">
        <f t="shared" si="27"/>
        <v>7410283.8800000008</v>
      </c>
      <c r="U279" s="412">
        <f t="shared" si="28"/>
        <v>127106.22217171718</v>
      </c>
      <c r="V279" s="10">
        <f>+'A) Base RI'!O279</f>
        <v>0</v>
      </c>
      <c r="W279" s="10">
        <f>+'A) Base RI'!P279</f>
        <v>327007.09999999998</v>
      </c>
      <c r="X279" s="10">
        <f>+'A) Base RI'!R279</f>
        <v>147434</v>
      </c>
      <c r="Y279" s="412">
        <f t="shared" si="29"/>
        <v>474441.1</v>
      </c>
      <c r="Z279" s="10">
        <f>+'A) Base RI'!N279</f>
        <v>468496.5</v>
      </c>
      <c r="AA279" s="10">
        <f>'A) Base RI'!AO279</f>
        <v>3363</v>
      </c>
    </row>
    <row r="280" spans="1:27" x14ac:dyDescent="0.25">
      <c r="A280" s="8">
        <f>'A) Base RI'!A280</f>
        <v>5885</v>
      </c>
      <c r="B280" s="32" t="str">
        <f>'A) Base RI'!B280</f>
        <v>Jongny</v>
      </c>
      <c r="C280" s="10">
        <f>'A) Base RI'!C280+'A) Base RI'!D280</f>
        <v>5261005.79</v>
      </c>
      <c r="D280" s="10">
        <f>'A) Base RI'!AP280</f>
        <v>-67105.17</v>
      </c>
      <c r="E280" s="31">
        <f>'A) Base RI'!AQ280</f>
        <v>0</v>
      </c>
      <c r="F280" s="31">
        <f>'A) Base RI'!AR280</f>
        <v>-5840.13</v>
      </c>
      <c r="G280" s="412">
        <f t="shared" si="24"/>
        <v>5188060.49</v>
      </c>
      <c r="H280" s="10">
        <f>+'A) Base RI'!E280</f>
        <v>0</v>
      </c>
      <c r="I280" s="10">
        <f>+'A) Base RI'!F280</f>
        <v>0</v>
      </c>
      <c r="J280" s="10">
        <f>+'A) Base RI'!G280+'A) Base RI'!H280+'A) Base RI'!X280</f>
        <v>-120787.5</v>
      </c>
      <c r="K280" s="10">
        <f>+'A) Base RI'!I280</f>
        <v>88300.65</v>
      </c>
      <c r="L280" s="10">
        <f>+'A) Base RI'!J280</f>
        <v>46573.95</v>
      </c>
      <c r="M280" s="10">
        <f>+'A) Base RI'!K280</f>
        <v>15374.25</v>
      </c>
      <c r="N280" s="10">
        <f>+'A) Base RI'!Q280</f>
        <v>3858.2</v>
      </c>
      <c r="O280" s="10">
        <f t="shared" si="25"/>
        <v>396192.875</v>
      </c>
      <c r="P280" s="10">
        <f>+'A) Base RI'!L280</f>
        <v>475431.45</v>
      </c>
      <c r="Q280" s="34">
        <f>'A) Base RI'!AS280</f>
        <v>1.2</v>
      </c>
      <c r="R280" s="412">
        <f t="shared" si="26"/>
        <v>5617572.915000001</v>
      </c>
      <c r="S280" s="33">
        <f>+'A) Base RI'!AN280</f>
        <v>71</v>
      </c>
      <c r="T280" s="412">
        <f t="shared" si="27"/>
        <v>5206005.790000001</v>
      </c>
      <c r="U280" s="412">
        <f t="shared" si="28"/>
        <v>79120.74528169015</v>
      </c>
      <c r="V280" s="10">
        <f>+'A) Base RI'!O280</f>
        <v>65561.7</v>
      </c>
      <c r="W280" s="10">
        <f>+'A) Base RI'!P280</f>
        <v>344329.9</v>
      </c>
      <c r="X280" s="10">
        <f>+'A) Base RI'!R280</f>
        <v>176221.3</v>
      </c>
      <c r="Y280" s="412">
        <f t="shared" si="29"/>
        <v>586112.9</v>
      </c>
      <c r="Z280" s="10">
        <f>+'A) Base RI'!N280</f>
        <v>1555.2</v>
      </c>
      <c r="AA280" s="10">
        <f>'A) Base RI'!AO280</f>
        <v>1544</v>
      </c>
    </row>
    <row r="281" spans="1:27" x14ac:dyDescent="0.25">
      <c r="A281" s="8">
        <f>'A) Base RI'!A281</f>
        <v>5886</v>
      </c>
      <c r="B281" s="32" t="str">
        <f>'A) Base RI'!B281</f>
        <v>Montreux</v>
      </c>
      <c r="C281" s="10">
        <f>'A) Base RI'!C281+'A) Base RI'!D281</f>
        <v>55340650.439999998</v>
      </c>
      <c r="D281" s="10">
        <f>'A) Base RI'!AP281</f>
        <v>-1300291.2</v>
      </c>
      <c r="E281" s="31">
        <f>'A) Base RI'!AQ281</f>
        <v>0</v>
      </c>
      <c r="F281" s="31">
        <f>'A) Base RI'!AR281</f>
        <v>-90908.160000000003</v>
      </c>
      <c r="G281" s="412">
        <f t="shared" si="24"/>
        <v>53949451.079999998</v>
      </c>
      <c r="H281" s="10">
        <f>+'A) Base RI'!E281</f>
        <v>0</v>
      </c>
      <c r="I281" s="10">
        <f>+'A) Base RI'!F281</f>
        <v>0</v>
      </c>
      <c r="J281" s="10">
        <f>+'A) Base RI'!G281+'A) Base RI'!H281+'A) Base RI'!X281</f>
        <v>5156238.95</v>
      </c>
      <c r="K281" s="10">
        <f>+'A) Base RI'!I281</f>
        <v>4543184.4800000004</v>
      </c>
      <c r="L281" s="10">
        <f>+'A) Base RI'!J281</f>
        <v>2745817.61</v>
      </c>
      <c r="M281" s="10">
        <f>+'A) Base RI'!K281</f>
        <v>364982.25</v>
      </c>
      <c r="N281" s="10">
        <f>+'A) Base RI'!Q281</f>
        <v>546343.71</v>
      </c>
      <c r="O281" s="10">
        <f t="shared" si="25"/>
        <v>6927855.0133333327</v>
      </c>
      <c r="P281" s="10">
        <f>+'A) Base RI'!L281</f>
        <v>10391782.52</v>
      </c>
      <c r="Q281" s="34">
        <f>'A) Base RI'!AS281</f>
        <v>1.5</v>
      </c>
      <c r="R281" s="412">
        <f t="shared" si="26"/>
        <v>74233873.093333334</v>
      </c>
      <c r="S281" s="33">
        <f>+'A) Base RI'!AN281</f>
        <v>65</v>
      </c>
      <c r="T281" s="412">
        <f t="shared" si="27"/>
        <v>66941035.830000006</v>
      </c>
      <c r="U281" s="412">
        <f t="shared" si="28"/>
        <v>1142059.586051282</v>
      </c>
      <c r="V281" s="10">
        <f>+'A) Base RI'!O281</f>
        <v>8483433.5500000007</v>
      </c>
      <c r="W281" s="10">
        <f>+'A) Base RI'!P281</f>
        <v>4846537.45</v>
      </c>
      <c r="X281" s="10">
        <f>+'A) Base RI'!R281</f>
        <v>2431435.2000000002</v>
      </c>
      <c r="Y281" s="412">
        <f t="shared" si="29"/>
        <v>15761406.199999999</v>
      </c>
      <c r="Z281" s="10">
        <f>+'A) Base RI'!N281</f>
        <v>768045.85</v>
      </c>
      <c r="AA281" s="10">
        <f>'A) Base RI'!AO281</f>
        <v>26065</v>
      </c>
    </row>
    <row r="282" spans="1:27" x14ac:dyDescent="0.25">
      <c r="A282" s="8">
        <f>'A) Base RI'!A282</f>
        <v>5888</v>
      </c>
      <c r="B282" s="32" t="str">
        <f>'A) Base RI'!B282</f>
        <v>Saint-Légier-La Chiésaz</v>
      </c>
      <c r="C282" s="10">
        <f>'A) Base RI'!C282+'A) Base RI'!D282</f>
        <v>21482543.210000001</v>
      </c>
      <c r="D282" s="10">
        <f>'A) Base RI'!AP282</f>
        <v>-229086.71</v>
      </c>
      <c r="E282" s="31">
        <f>'A) Base RI'!AQ282</f>
        <v>0</v>
      </c>
      <c r="F282" s="31">
        <f>'A) Base RI'!AR282</f>
        <v>-144068.59</v>
      </c>
      <c r="G282" s="412">
        <f t="shared" si="24"/>
        <v>21109387.91</v>
      </c>
      <c r="H282" s="10">
        <f>+'A) Base RI'!E282</f>
        <v>0</v>
      </c>
      <c r="I282" s="10">
        <f>+'A) Base RI'!F282</f>
        <v>0</v>
      </c>
      <c r="J282" s="10">
        <f>+'A) Base RI'!G282+'A) Base RI'!H282+'A) Base RI'!X282</f>
        <v>546589.25</v>
      </c>
      <c r="K282" s="10">
        <f>+'A) Base RI'!I282</f>
        <v>180433.96</v>
      </c>
      <c r="L282" s="10">
        <f>+'A) Base RI'!J282</f>
        <v>133260.03</v>
      </c>
      <c r="M282" s="10">
        <f>+'A) Base RI'!K282</f>
        <v>75574.45</v>
      </c>
      <c r="N282" s="10">
        <f>+'A) Base RI'!Q282</f>
        <v>111273.52</v>
      </c>
      <c r="O282" s="10">
        <f t="shared" si="25"/>
        <v>1520915.7916666667</v>
      </c>
      <c r="P282" s="10">
        <f>+'A) Base RI'!L282</f>
        <v>1825098.95</v>
      </c>
      <c r="Q282" s="34">
        <f>'A) Base RI'!AS282</f>
        <v>1.2</v>
      </c>
      <c r="R282" s="412">
        <f t="shared" si="26"/>
        <v>23677434.911666669</v>
      </c>
      <c r="S282" s="33">
        <f>+'A) Base RI'!AN282</f>
        <v>70</v>
      </c>
      <c r="T282" s="412">
        <f t="shared" si="27"/>
        <v>22080944.670000002</v>
      </c>
      <c r="U282" s="412">
        <f t="shared" si="28"/>
        <v>338249.0701666667</v>
      </c>
      <c r="V282" s="10">
        <f>+'A) Base RI'!O282</f>
        <v>190441.4</v>
      </c>
      <c r="W282" s="10">
        <f>+'A) Base RI'!P282</f>
        <v>708311.1</v>
      </c>
      <c r="X282" s="10">
        <f>+'A) Base RI'!R282</f>
        <v>873024.15</v>
      </c>
      <c r="Y282" s="412">
        <f t="shared" si="29"/>
        <v>1771776.65</v>
      </c>
      <c r="Z282" s="10">
        <f>+'A) Base RI'!N282</f>
        <v>157043.5</v>
      </c>
      <c r="AA282" s="10">
        <f>'A) Base RI'!AO282</f>
        <v>5243</v>
      </c>
    </row>
    <row r="283" spans="1:27" x14ac:dyDescent="0.25">
      <c r="A283" s="8">
        <f>'A) Base RI'!A283</f>
        <v>5889</v>
      </c>
      <c r="B283" s="32" t="str">
        <f>'A) Base RI'!B283</f>
        <v>La Tour-de-Peilz</v>
      </c>
      <c r="C283" s="10">
        <f>'A) Base RI'!C283+'A) Base RI'!D283</f>
        <v>31416038.77</v>
      </c>
      <c r="D283" s="10">
        <f>'A) Base RI'!AP283</f>
        <v>-339170.18</v>
      </c>
      <c r="E283" s="31">
        <f>'A) Base RI'!AQ283</f>
        <v>0</v>
      </c>
      <c r="F283" s="31">
        <f>'A) Base RI'!AR283</f>
        <v>-137797.70000000001</v>
      </c>
      <c r="G283" s="412">
        <f t="shared" si="24"/>
        <v>30939070.890000001</v>
      </c>
      <c r="H283" s="10">
        <f>+'A) Base RI'!E283</f>
        <v>0</v>
      </c>
      <c r="I283" s="10">
        <f>+'A) Base RI'!F283</f>
        <v>0</v>
      </c>
      <c r="J283" s="10">
        <f>+'A) Base RI'!G283+'A) Base RI'!H283+'A) Base RI'!X283</f>
        <v>9183489.9500000011</v>
      </c>
      <c r="K283" s="10">
        <f>+'A) Base RI'!I283</f>
        <v>723935.3</v>
      </c>
      <c r="L283" s="10">
        <f>+'A) Base RI'!J283</f>
        <v>812855.5</v>
      </c>
      <c r="M283" s="10">
        <f>+'A) Base RI'!K283</f>
        <v>248040.5</v>
      </c>
      <c r="N283" s="10">
        <f>+'A) Base RI'!Q283</f>
        <v>60625.55</v>
      </c>
      <c r="O283" s="10">
        <f t="shared" si="25"/>
        <v>2394013.75</v>
      </c>
      <c r="P283" s="10">
        <f>+'A) Base RI'!L283</f>
        <v>2872816.5</v>
      </c>
      <c r="Q283" s="34">
        <f>'A) Base RI'!AS283</f>
        <v>1.2</v>
      </c>
      <c r="R283" s="412">
        <f t="shared" si="26"/>
        <v>44362031.439999998</v>
      </c>
      <c r="S283" s="33">
        <f>+'A) Base RI'!AN283</f>
        <v>64</v>
      </c>
      <c r="T283" s="412">
        <f t="shared" si="27"/>
        <v>41719977.189999998</v>
      </c>
      <c r="U283" s="412">
        <f t="shared" si="28"/>
        <v>693156.74124999996</v>
      </c>
      <c r="V283" s="10">
        <f>+'A) Base RI'!O283</f>
        <v>975365.3</v>
      </c>
      <c r="W283" s="10">
        <f>+'A) Base RI'!P283</f>
        <v>2044132.4</v>
      </c>
      <c r="X283" s="10">
        <f>+'A) Base RI'!R283</f>
        <v>783600.4</v>
      </c>
      <c r="Y283" s="412">
        <f t="shared" si="29"/>
        <v>3803098.1</v>
      </c>
      <c r="Z283" s="10">
        <f>+'A) Base RI'!N283</f>
        <v>177282.6</v>
      </c>
      <c r="AA283" s="10">
        <f>'A) Base RI'!AO283</f>
        <v>11906</v>
      </c>
    </row>
    <row r="284" spans="1:27" x14ac:dyDescent="0.25">
      <c r="A284" s="8">
        <f>'A) Base RI'!A284</f>
        <v>5890</v>
      </c>
      <c r="B284" s="32" t="str">
        <f>'A) Base RI'!B284</f>
        <v>Vevey</v>
      </c>
      <c r="C284" s="10">
        <f>'A) Base RI'!C284+'A) Base RI'!D284</f>
        <v>43820022.25</v>
      </c>
      <c r="D284" s="10">
        <f>'A) Base RI'!AP284</f>
        <v>-732817.29</v>
      </c>
      <c r="E284" s="31">
        <f>'A) Base RI'!AQ284</f>
        <v>0</v>
      </c>
      <c r="F284" s="31">
        <f>'A) Base RI'!AR284</f>
        <v>-175330.18</v>
      </c>
      <c r="G284" s="412">
        <f t="shared" si="24"/>
        <v>42911874.780000001</v>
      </c>
      <c r="H284" s="10">
        <f>+'A) Base RI'!E284</f>
        <v>0</v>
      </c>
      <c r="I284" s="10">
        <f>+'A) Base RI'!F284</f>
        <v>0</v>
      </c>
      <c r="J284" s="10">
        <f>+'A) Base RI'!G284+'A) Base RI'!H284+'A) Base RI'!X284</f>
        <v>22042923.800000001</v>
      </c>
      <c r="K284" s="10">
        <f>+'A) Base RI'!I284</f>
        <v>631417.13</v>
      </c>
      <c r="L284" s="10">
        <f>+'A) Base RI'!J284</f>
        <v>4089687.33</v>
      </c>
      <c r="M284" s="10">
        <f>+'A) Base RI'!K284</f>
        <v>594642.5</v>
      </c>
      <c r="N284" s="10">
        <f>+'A) Base RI'!Q284</f>
        <v>282313.75</v>
      </c>
      <c r="O284" s="10">
        <f t="shared" si="25"/>
        <v>3686953.14</v>
      </c>
      <c r="P284" s="10">
        <f>+'A) Base RI'!L284</f>
        <v>5530429.71</v>
      </c>
      <c r="Q284" s="34">
        <f>'A) Base RI'!AS284</f>
        <v>1.5</v>
      </c>
      <c r="R284" s="412">
        <f t="shared" si="26"/>
        <v>74239812.430000007</v>
      </c>
      <c r="S284" s="33">
        <f>+'A) Base RI'!AN284</f>
        <v>76</v>
      </c>
      <c r="T284" s="412">
        <f t="shared" si="27"/>
        <v>69958216.790000007</v>
      </c>
      <c r="U284" s="412">
        <f t="shared" si="28"/>
        <v>976839.63723684219</v>
      </c>
      <c r="V284" s="10">
        <f>+'A) Base RI'!O284</f>
        <v>958753.5</v>
      </c>
      <c r="W284" s="10">
        <f>+'A) Base RI'!P284</f>
        <v>1296278.75</v>
      </c>
      <c r="X284" s="10">
        <f>+'A) Base RI'!R284</f>
        <v>643155.65</v>
      </c>
      <c r="Y284" s="412">
        <f t="shared" si="29"/>
        <v>2898187.9</v>
      </c>
      <c r="Z284" s="10">
        <f>+'A) Base RI'!N284</f>
        <v>907414.25</v>
      </c>
      <c r="AA284" s="10">
        <f>'A) Base RI'!AO284</f>
        <v>19871</v>
      </c>
    </row>
    <row r="285" spans="1:27" x14ac:dyDescent="0.25">
      <c r="A285" s="8">
        <f>'A) Base RI'!A285</f>
        <v>5891</v>
      </c>
      <c r="B285" s="32" t="str">
        <f>'A) Base RI'!B285</f>
        <v>Veytaux</v>
      </c>
      <c r="C285" s="10">
        <f>'A) Base RI'!C285+'A) Base RI'!D285</f>
        <v>2269456.91</v>
      </c>
      <c r="D285" s="10">
        <f>'A) Base RI'!AP285</f>
        <v>-77771.34</v>
      </c>
      <c r="E285" s="31">
        <f>'A) Base RI'!AQ285</f>
        <v>0</v>
      </c>
      <c r="F285" s="31">
        <f>'A) Base RI'!AR285</f>
        <v>-1345.07</v>
      </c>
      <c r="G285" s="412">
        <f t="shared" si="24"/>
        <v>2190340.5000000005</v>
      </c>
      <c r="H285" s="10">
        <f>+'A) Base RI'!E285</f>
        <v>0</v>
      </c>
      <c r="I285" s="10">
        <f>+'A) Base RI'!F285</f>
        <v>0</v>
      </c>
      <c r="J285" s="10">
        <f>+'A) Base RI'!G285+'A) Base RI'!H285+'A) Base RI'!X285</f>
        <v>37116.550000000003</v>
      </c>
      <c r="K285" s="10">
        <f>+'A) Base RI'!I285</f>
        <v>13028.4</v>
      </c>
      <c r="L285" s="10">
        <f>+'A) Base RI'!J285</f>
        <v>86338.48</v>
      </c>
      <c r="M285" s="10">
        <f>+'A) Base RI'!K285</f>
        <v>11126.4</v>
      </c>
      <c r="N285" s="10">
        <f>+'A) Base RI'!Q285</f>
        <v>11770.33</v>
      </c>
      <c r="O285" s="10">
        <f t="shared" si="25"/>
        <v>291335.3</v>
      </c>
      <c r="P285" s="10">
        <f>+'A) Base RI'!L285</f>
        <v>437002.95</v>
      </c>
      <c r="Q285" s="34">
        <f>'A) Base RI'!AS285</f>
        <v>1.5</v>
      </c>
      <c r="R285" s="412">
        <f t="shared" si="26"/>
        <v>2641055.96</v>
      </c>
      <c r="S285" s="33">
        <f>+'A) Base RI'!AN285</f>
        <v>71</v>
      </c>
      <c r="T285" s="412">
        <f t="shared" si="27"/>
        <v>2338594.2600000002</v>
      </c>
      <c r="U285" s="412">
        <f t="shared" si="28"/>
        <v>37197.97126760563</v>
      </c>
      <c r="V285" s="10">
        <f>+'A) Base RI'!O285</f>
        <v>1452</v>
      </c>
      <c r="W285" s="10">
        <f>+'A) Base RI'!P285</f>
        <v>133424.54999999999</v>
      </c>
      <c r="X285" s="10">
        <f>+'A) Base RI'!R285</f>
        <v>86423.25</v>
      </c>
      <c r="Y285" s="412">
        <f t="shared" si="29"/>
        <v>221299.8</v>
      </c>
      <c r="Z285" s="10">
        <f>+'A) Base RI'!N285</f>
        <v>0</v>
      </c>
      <c r="AA285" s="10">
        <f>'A) Base RI'!AO285</f>
        <v>922</v>
      </c>
    </row>
    <row r="286" spans="1:27" x14ac:dyDescent="0.25">
      <c r="A286" s="8">
        <f>'A) Base RI'!A286</f>
        <v>5902</v>
      </c>
      <c r="B286" s="32" t="str">
        <f>'A) Base RI'!B286</f>
        <v>Belmont-sur-Yverdon</v>
      </c>
      <c r="C286" s="10">
        <f>'A) Base RI'!C286+'A) Base RI'!D286</f>
        <v>762078.59000000008</v>
      </c>
      <c r="D286" s="10">
        <f>'A) Base RI'!AP286</f>
        <v>0.36</v>
      </c>
      <c r="E286" s="31">
        <f>'A) Base RI'!AQ286</f>
        <v>0</v>
      </c>
      <c r="F286" s="31">
        <f>'A) Base RI'!AR286</f>
        <v>0</v>
      </c>
      <c r="G286" s="412">
        <f t="shared" si="24"/>
        <v>762078.95000000007</v>
      </c>
      <c r="H286" s="10">
        <f>+'A) Base RI'!E286</f>
        <v>0</v>
      </c>
      <c r="I286" s="10">
        <f>+'A) Base RI'!F286</f>
        <v>0</v>
      </c>
      <c r="J286" s="10">
        <f>+'A) Base RI'!G286+'A) Base RI'!H286+'A) Base RI'!X286</f>
        <v>2444.5500000000002</v>
      </c>
      <c r="K286" s="10">
        <f>+'A) Base RI'!I286</f>
        <v>0</v>
      </c>
      <c r="L286" s="10">
        <f>+'A) Base RI'!J286</f>
        <v>-1452.45</v>
      </c>
      <c r="M286" s="10">
        <f>+'A) Base RI'!K286</f>
        <v>0</v>
      </c>
      <c r="N286" s="10">
        <f>+'A) Base RI'!Q286</f>
        <v>0</v>
      </c>
      <c r="O286" s="10">
        <f t="shared" si="25"/>
        <v>56033.4</v>
      </c>
      <c r="P286" s="10">
        <f>+'A) Base RI'!L286</f>
        <v>56033.4</v>
      </c>
      <c r="Q286" s="34">
        <f>'A) Base RI'!AS286</f>
        <v>1</v>
      </c>
      <c r="R286" s="412">
        <f t="shared" si="26"/>
        <v>819104.45000000019</v>
      </c>
      <c r="S286" s="33">
        <f>+'A) Base RI'!AN286</f>
        <v>76</v>
      </c>
      <c r="T286" s="412">
        <f t="shared" si="27"/>
        <v>763071.05000000016</v>
      </c>
      <c r="U286" s="412">
        <f t="shared" si="28"/>
        <v>10777.690131578949</v>
      </c>
      <c r="V286" s="10">
        <f>+'A) Base RI'!O286</f>
        <v>425095.9</v>
      </c>
      <c r="W286" s="10">
        <f>+'A) Base RI'!P286</f>
        <v>23389.599999999999</v>
      </c>
      <c r="X286" s="10">
        <f>+'A) Base RI'!R286</f>
        <v>6587.4</v>
      </c>
      <c r="Y286" s="412">
        <f t="shared" si="29"/>
        <v>455072.9</v>
      </c>
      <c r="Z286" s="10">
        <f>+'A) Base RI'!N286</f>
        <v>0</v>
      </c>
      <c r="AA286" s="10">
        <f>'A) Base RI'!AO286</f>
        <v>374</v>
      </c>
    </row>
    <row r="287" spans="1:27" x14ac:dyDescent="0.25">
      <c r="A287" s="8">
        <f>'A) Base RI'!A287</f>
        <v>5903</v>
      </c>
      <c r="B287" s="32" t="str">
        <f>'A) Base RI'!B287</f>
        <v>Bioley-Magnoux</v>
      </c>
      <c r="C287" s="10">
        <f>'A) Base RI'!C287+'A) Base RI'!D287</f>
        <v>436400.31</v>
      </c>
      <c r="D287" s="10">
        <f>'A) Base RI'!AP287</f>
        <v>-1382.45</v>
      </c>
      <c r="E287" s="31">
        <f>'A) Base RI'!AQ287</f>
        <v>0</v>
      </c>
      <c r="F287" s="31">
        <f>'A) Base RI'!AR287</f>
        <v>-0.85</v>
      </c>
      <c r="G287" s="412">
        <f t="shared" si="24"/>
        <v>435017.01</v>
      </c>
      <c r="H287" s="10">
        <f>+'A) Base RI'!E287</f>
        <v>0</v>
      </c>
      <c r="I287" s="10">
        <f>+'A) Base RI'!F287</f>
        <v>0</v>
      </c>
      <c r="J287" s="10">
        <f>+'A) Base RI'!G287+'A) Base RI'!H287+'A) Base RI'!X287</f>
        <v>4261.1000000000004</v>
      </c>
      <c r="K287" s="10">
        <f>+'A) Base RI'!I287</f>
        <v>0</v>
      </c>
      <c r="L287" s="10">
        <f>+'A) Base RI'!J287</f>
        <v>3829.25</v>
      </c>
      <c r="M287" s="10">
        <f>+'A) Base RI'!K287</f>
        <v>0</v>
      </c>
      <c r="N287" s="10">
        <f>+'A) Base RI'!Q287</f>
        <v>0</v>
      </c>
      <c r="O287" s="10">
        <f t="shared" si="25"/>
        <v>36617.785714285717</v>
      </c>
      <c r="P287" s="10">
        <f>+'A) Base RI'!L287</f>
        <v>25632.45</v>
      </c>
      <c r="Q287" s="34">
        <f>'A) Base RI'!AS287</f>
        <v>0.7</v>
      </c>
      <c r="R287" s="412">
        <f t="shared" si="26"/>
        <v>479725.14571428573</v>
      </c>
      <c r="S287" s="33">
        <f>+'A) Base RI'!AN287</f>
        <v>74</v>
      </c>
      <c r="T287" s="412">
        <f t="shared" si="27"/>
        <v>443107.36</v>
      </c>
      <c r="U287" s="412">
        <f t="shared" si="28"/>
        <v>6482.7722393822396</v>
      </c>
      <c r="V287" s="10">
        <f>+'A) Base RI'!O287</f>
        <v>0</v>
      </c>
      <c r="W287" s="10">
        <f>+'A) Base RI'!P287</f>
        <v>1417</v>
      </c>
      <c r="X287" s="10">
        <f>+'A) Base RI'!R287</f>
        <v>0</v>
      </c>
      <c r="Y287" s="412">
        <f t="shared" si="29"/>
        <v>1417</v>
      </c>
      <c r="Z287" s="10">
        <f>+'A) Base RI'!N287</f>
        <v>22624.95</v>
      </c>
      <c r="AA287" s="10">
        <f>'A) Base RI'!AO287</f>
        <v>228</v>
      </c>
    </row>
    <row r="288" spans="1:27" x14ac:dyDescent="0.25">
      <c r="A288" s="8">
        <f>'A) Base RI'!A288</f>
        <v>5904</v>
      </c>
      <c r="B288" s="32" t="str">
        <f>'A) Base RI'!B288</f>
        <v>Chamblon</v>
      </c>
      <c r="C288" s="10">
        <f>'A) Base RI'!C288+'A) Base RI'!D288</f>
        <v>1340807.8400000001</v>
      </c>
      <c r="D288" s="10">
        <f>'A) Base RI'!AP288</f>
        <v>-33805.08</v>
      </c>
      <c r="E288" s="31">
        <f>'A) Base RI'!AQ288</f>
        <v>0</v>
      </c>
      <c r="F288" s="31">
        <f>'A) Base RI'!AR288</f>
        <v>-67.900000000000006</v>
      </c>
      <c r="G288" s="412">
        <f t="shared" si="24"/>
        <v>1306934.8600000001</v>
      </c>
      <c r="H288" s="10">
        <f>+'A) Base RI'!E288</f>
        <v>0</v>
      </c>
      <c r="I288" s="10">
        <f>+'A) Base RI'!F288</f>
        <v>0</v>
      </c>
      <c r="J288" s="10">
        <f>+'A) Base RI'!G288+'A) Base RI'!H288+'A) Base RI'!X288</f>
        <v>14400.349999999999</v>
      </c>
      <c r="K288" s="10">
        <f>+'A) Base RI'!I288</f>
        <v>0</v>
      </c>
      <c r="L288" s="10">
        <f>+'A) Base RI'!J288</f>
        <v>24452.66</v>
      </c>
      <c r="M288" s="10">
        <f>+'A) Base RI'!K288</f>
        <v>3705.65</v>
      </c>
      <c r="N288" s="10">
        <f>+'A) Base RI'!Q288</f>
        <v>5706.26</v>
      </c>
      <c r="O288" s="10">
        <f t="shared" si="25"/>
        <v>95309.3</v>
      </c>
      <c r="P288" s="10">
        <f>+'A) Base RI'!L288</f>
        <v>95309.3</v>
      </c>
      <c r="Q288" s="34">
        <f>'A) Base RI'!AS288</f>
        <v>1</v>
      </c>
      <c r="R288" s="412">
        <f t="shared" si="26"/>
        <v>1450509.08</v>
      </c>
      <c r="S288" s="33">
        <f>+'A) Base RI'!AN288</f>
        <v>66</v>
      </c>
      <c r="T288" s="412">
        <f t="shared" si="27"/>
        <v>1351494.1300000001</v>
      </c>
      <c r="U288" s="412">
        <f t="shared" si="28"/>
        <v>21977.410303030305</v>
      </c>
      <c r="V288" s="10">
        <f>+'A) Base RI'!O288</f>
        <v>0</v>
      </c>
      <c r="W288" s="10">
        <f>+'A) Base RI'!P288</f>
        <v>24991.65</v>
      </c>
      <c r="X288" s="10">
        <f>+'A) Base RI'!R288</f>
        <v>5738.35</v>
      </c>
      <c r="Y288" s="412">
        <f t="shared" si="29"/>
        <v>30730</v>
      </c>
      <c r="Z288" s="10">
        <f>+'A) Base RI'!N288</f>
        <v>36905.599999999999</v>
      </c>
      <c r="AA288" s="10">
        <f>'A) Base RI'!AO288</f>
        <v>540</v>
      </c>
    </row>
    <row r="289" spans="1:27" x14ac:dyDescent="0.25">
      <c r="A289" s="8">
        <f>'A) Base RI'!A289</f>
        <v>5905</v>
      </c>
      <c r="B289" s="32" t="str">
        <f>'A) Base RI'!B289</f>
        <v>Champvent</v>
      </c>
      <c r="C289" s="10">
        <f>'A) Base RI'!C289+'A) Base RI'!D289</f>
        <v>1489624.0899999999</v>
      </c>
      <c r="D289" s="10">
        <f>'A) Base RI'!AP289</f>
        <v>-27788.55</v>
      </c>
      <c r="E289" s="31">
        <f>'A) Base RI'!AQ289</f>
        <v>0</v>
      </c>
      <c r="F289" s="31">
        <f>'A) Base RI'!AR289</f>
        <v>-80.62</v>
      </c>
      <c r="G289" s="412">
        <f t="shared" si="24"/>
        <v>1461754.9199999997</v>
      </c>
      <c r="H289" s="10">
        <f>+'A) Base RI'!E289</f>
        <v>0</v>
      </c>
      <c r="I289" s="10">
        <f>+'A) Base RI'!F289</f>
        <v>0</v>
      </c>
      <c r="J289" s="10">
        <f>+'A) Base RI'!G289+'A) Base RI'!H289+'A) Base RI'!X289</f>
        <v>90441.75</v>
      </c>
      <c r="K289" s="10">
        <f>+'A) Base RI'!I289</f>
        <v>0</v>
      </c>
      <c r="L289" s="10">
        <f>+'A) Base RI'!J289</f>
        <v>25249.86</v>
      </c>
      <c r="M289" s="10">
        <f>+'A) Base RI'!K289</f>
        <v>2037.45</v>
      </c>
      <c r="N289" s="10">
        <f>+'A) Base RI'!Q289</f>
        <v>665.43</v>
      </c>
      <c r="O289" s="10">
        <f t="shared" si="25"/>
        <v>99805.85</v>
      </c>
      <c r="P289" s="10">
        <f>+'A) Base RI'!L289</f>
        <v>99805.85</v>
      </c>
      <c r="Q289" s="34">
        <f>'A) Base RI'!AS289</f>
        <v>1</v>
      </c>
      <c r="R289" s="412">
        <f t="shared" si="26"/>
        <v>1679955.2599999998</v>
      </c>
      <c r="S289" s="33">
        <f>+'A) Base RI'!AN289</f>
        <v>71</v>
      </c>
      <c r="T289" s="412">
        <f t="shared" si="27"/>
        <v>1578111.9599999997</v>
      </c>
      <c r="U289" s="412">
        <f t="shared" si="28"/>
        <v>23661.341690140842</v>
      </c>
      <c r="V289" s="10">
        <f>+'A) Base RI'!O289</f>
        <v>182127</v>
      </c>
      <c r="W289" s="10">
        <f>+'A) Base RI'!P289</f>
        <v>96580</v>
      </c>
      <c r="X289" s="10">
        <f>+'A) Base RI'!R289</f>
        <v>8637.4</v>
      </c>
      <c r="Y289" s="412">
        <f t="shared" si="29"/>
        <v>287344.40000000002</v>
      </c>
      <c r="Z289" s="10">
        <f>+'A) Base RI'!N289</f>
        <v>109768.55</v>
      </c>
      <c r="AA289" s="10">
        <f>'A) Base RI'!AO289</f>
        <v>689</v>
      </c>
    </row>
    <row r="290" spans="1:27" x14ac:dyDescent="0.25">
      <c r="A290" s="8">
        <f>'A) Base RI'!A290</f>
        <v>5907</v>
      </c>
      <c r="B290" s="32" t="str">
        <f>'A) Base RI'!B290</f>
        <v>Chavannes-le-Chêne</v>
      </c>
      <c r="C290" s="10">
        <f>'A) Base RI'!C290+'A) Base RI'!D290</f>
        <v>682858.66999999993</v>
      </c>
      <c r="D290" s="10">
        <f>'A) Base RI'!AP290</f>
        <v>-2103.9</v>
      </c>
      <c r="E290" s="31">
        <f>'A) Base RI'!AQ290</f>
        <v>0</v>
      </c>
      <c r="F290" s="31">
        <f>'A) Base RI'!AR290</f>
        <v>0</v>
      </c>
      <c r="G290" s="412">
        <f t="shared" si="24"/>
        <v>680754.7699999999</v>
      </c>
      <c r="H290" s="10">
        <f>+'A) Base RI'!E290</f>
        <v>0</v>
      </c>
      <c r="I290" s="10">
        <f>+'A) Base RI'!F290</f>
        <v>1840</v>
      </c>
      <c r="J290" s="10">
        <f>+'A) Base RI'!G290+'A) Base RI'!H290+'A) Base RI'!X290</f>
        <v>2295.8500000000004</v>
      </c>
      <c r="K290" s="10">
        <f>+'A) Base RI'!I290</f>
        <v>0</v>
      </c>
      <c r="L290" s="10">
        <f>+'A) Base RI'!J290</f>
        <v>6828.82</v>
      </c>
      <c r="M290" s="10">
        <f>+'A) Base RI'!K290</f>
        <v>520.70000000000005</v>
      </c>
      <c r="N290" s="10">
        <f>+'A) Base RI'!Q290</f>
        <v>0</v>
      </c>
      <c r="O290" s="10">
        <f t="shared" si="25"/>
        <v>47320.5</v>
      </c>
      <c r="P290" s="10">
        <f>+'A) Base RI'!L290</f>
        <v>47320.5</v>
      </c>
      <c r="Q290" s="34">
        <f>'A) Base RI'!AS290</f>
        <v>1</v>
      </c>
      <c r="R290" s="412">
        <f t="shared" si="26"/>
        <v>739560.63999999978</v>
      </c>
      <c r="S290" s="33">
        <f>+'A) Base RI'!AN290</f>
        <v>78</v>
      </c>
      <c r="T290" s="412">
        <f t="shared" si="27"/>
        <v>689879.43999999983</v>
      </c>
      <c r="U290" s="412">
        <f t="shared" si="28"/>
        <v>9481.5466666666634</v>
      </c>
      <c r="V290" s="10">
        <f>+'A) Base RI'!O290</f>
        <v>0</v>
      </c>
      <c r="W290" s="10">
        <f>+'A) Base RI'!P290</f>
        <v>2113.0500000000002</v>
      </c>
      <c r="X290" s="10">
        <f>+'A) Base RI'!R290</f>
        <v>3283.2</v>
      </c>
      <c r="Y290" s="412">
        <f t="shared" si="29"/>
        <v>5396.25</v>
      </c>
      <c r="Z290" s="10">
        <f>+'A) Base RI'!N290</f>
        <v>9367.6</v>
      </c>
      <c r="AA290" s="10">
        <f>'A) Base RI'!AO290</f>
        <v>311</v>
      </c>
    </row>
    <row r="291" spans="1:27" x14ac:dyDescent="0.25">
      <c r="A291" s="8">
        <f>'A) Base RI'!A291</f>
        <v>5908</v>
      </c>
      <c r="B291" s="32" t="str">
        <f>'A) Base RI'!B291</f>
        <v>Chêne-Pâquier</v>
      </c>
      <c r="C291" s="10">
        <f>'A) Base RI'!C291+'A) Base RI'!D291</f>
        <v>245857.71000000002</v>
      </c>
      <c r="D291" s="10">
        <f>'A) Base RI'!AP291</f>
        <v>-11572.59</v>
      </c>
      <c r="E291" s="31">
        <f>'A) Base RI'!AQ291</f>
        <v>0</v>
      </c>
      <c r="F291" s="31">
        <f>'A) Base RI'!AR291</f>
        <v>-26.31</v>
      </c>
      <c r="G291" s="412">
        <f t="shared" si="24"/>
        <v>234258.81000000003</v>
      </c>
      <c r="H291" s="10">
        <f>+'A) Base RI'!E291</f>
        <v>0</v>
      </c>
      <c r="I291" s="10">
        <f>+'A) Base RI'!F291</f>
        <v>0</v>
      </c>
      <c r="J291" s="10">
        <f>+'A) Base RI'!G291+'A) Base RI'!H291+'A) Base RI'!X291</f>
        <v>2779.95</v>
      </c>
      <c r="K291" s="10">
        <f>+'A) Base RI'!I291</f>
        <v>0</v>
      </c>
      <c r="L291" s="10">
        <f>+'A) Base RI'!J291</f>
        <v>11423.69</v>
      </c>
      <c r="M291" s="10">
        <f>+'A) Base RI'!K291</f>
        <v>49.5</v>
      </c>
      <c r="N291" s="10">
        <f>+'A) Base RI'!Q291</f>
        <v>0</v>
      </c>
      <c r="O291" s="10">
        <f t="shared" si="25"/>
        <v>18145.099999999999</v>
      </c>
      <c r="P291" s="10">
        <f>+'A) Base RI'!L291</f>
        <v>18145.099999999999</v>
      </c>
      <c r="Q291" s="34">
        <f>'A) Base RI'!AS291</f>
        <v>1</v>
      </c>
      <c r="R291" s="412">
        <f t="shared" si="26"/>
        <v>266657.05000000005</v>
      </c>
      <c r="S291" s="33">
        <f>+'A) Base RI'!AN291</f>
        <v>79</v>
      </c>
      <c r="T291" s="412">
        <f t="shared" si="27"/>
        <v>248462.45000000004</v>
      </c>
      <c r="U291" s="412">
        <f t="shared" si="28"/>
        <v>3375.4056962025325</v>
      </c>
      <c r="V291" s="10">
        <f>+'A) Base RI'!O291</f>
        <v>0</v>
      </c>
      <c r="W291" s="10">
        <f>+'A) Base RI'!P291</f>
        <v>148.85</v>
      </c>
      <c r="X291" s="10">
        <f>+'A) Base RI'!R291</f>
        <v>4523.2</v>
      </c>
      <c r="Y291" s="412">
        <f t="shared" si="29"/>
        <v>4672.05</v>
      </c>
      <c r="Z291" s="10">
        <f>+'A) Base RI'!N291</f>
        <v>0</v>
      </c>
      <c r="AA291" s="10">
        <f>'A) Base RI'!AO291</f>
        <v>153</v>
      </c>
    </row>
    <row r="292" spans="1:27" x14ac:dyDescent="0.25">
      <c r="A292" s="8">
        <f>'A) Base RI'!A292</f>
        <v>5909</v>
      </c>
      <c r="B292" s="32" t="str">
        <f>'A) Base RI'!B292</f>
        <v>Cheseaux-Noréaz</v>
      </c>
      <c r="C292" s="10">
        <f>'A) Base RI'!C292+'A) Base RI'!D292</f>
        <v>2050782.64</v>
      </c>
      <c r="D292" s="10">
        <f>'A) Base RI'!AP292</f>
        <v>-607.57000000000005</v>
      </c>
      <c r="E292" s="31">
        <f>'A) Base RI'!AQ292</f>
        <v>-5080.1499999999996</v>
      </c>
      <c r="F292" s="31">
        <f>'A) Base RI'!AR292</f>
        <v>-42.92</v>
      </c>
      <c r="G292" s="412">
        <f t="shared" si="24"/>
        <v>2045052</v>
      </c>
      <c r="H292" s="10">
        <f>+'A) Base RI'!E292</f>
        <v>0</v>
      </c>
      <c r="I292" s="10">
        <f>+'A) Base RI'!F292</f>
        <v>0</v>
      </c>
      <c r="J292" s="10">
        <f>+'A) Base RI'!G292+'A) Base RI'!H292+'A) Base RI'!X292</f>
        <v>37140.699999999997</v>
      </c>
      <c r="K292" s="10">
        <f>+'A) Base RI'!I292</f>
        <v>0</v>
      </c>
      <c r="L292" s="10">
        <f>+'A) Base RI'!J292</f>
        <v>20206.29</v>
      </c>
      <c r="M292" s="10">
        <f>+'A) Base RI'!K292</f>
        <v>405.95</v>
      </c>
      <c r="N292" s="10">
        <f>+'A) Base RI'!Q292</f>
        <v>0</v>
      </c>
      <c r="O292" s="10">
        <f t="shared" si="25"/>
        <v>161649</v>
      </c>
      <c r="P292" s="10">
        <f>+'A) Base RI'!L292</f>
        <v>161649</v>
      </c>
      <c r="Q292" s="34">
        <f>'A) Base RI'!AS292</f>
        <v>1</v>
      </c>
      <c r="R292" s="412">
        <f t="shared" si="26"/>
        <v>2264453.94</v>
      </c>
      <c r="S292" s="33">
        <f>+'A) Base RI'!AN292</f>
        <v>70</v>
      </c>
      <c r="T292" s="412">
        <f t="shared" si="27"/>
        <v>2102398.9899999998</v>
      </c>
      <c r="U292" s="412">
        <f t="shared" si="28"/>
        <v>32349.342000000001</v>
      </c>
      <c r="V292" s="10">
        <f>+'A) Base RI'!O292</f>
        <v>118143.8</v>
      </c>
      <c r="W292" s="10">
        <f>+'A) Base RI'!P292</f>
        <v>68158.2</v>
      </c>
      <c r="X292" s="10">
        <f>+'A) Base RI'!R292</f>
        <v>32391.15</v>
      </c>
      <c r="Y292" s="412">
        <f t="shared" si="29"/>
        <v>218693.15</v>
      </c>
      <c r="Z292" s="10">
        <f>+'A) Base RI'!N292</f>
        <v>7425.25</v>
      </c>
      <c r="AA292" s="10">
        <f>'A) Base RI'!AO292</f>
        <v>725</v>
      </c>
    </row>
    <row r="293" spans="1:27" x14ac:dyDescent="0.25">
      <c r="A293" s="8">
        <f>'A) Base RI'!A293</f>
        <v>5910</v>
      </c>
      <c r="B293" s="32" t="str">
        <f>'A) Base RI'!B293</f>
        <v>Cronay</v>
      </c>
      <c r="C293" s="10">
        <f>'A) Base RI'!C293+'A) Base RI'!D293</f>
        <v>763238.9</v>
      </c>
      <c r="D293" s="10">
        <f>'A) Base RI'!AP293</f>
        <v>-30093.55</v>
      </c>
      <c r="E293" s="31">
        <f>'A) Base RI'!AQ293</f>
        <v>0</v>
      </c>
      <c r="F293" s="31">
        <f>'A) Base RI'!AR293</f>
        <v>0</v>
      </c>
      <c r="G293" s="412">
        <f t="shared" si="24"/>
        <v>733145.35</v>
      </c>
      <c r="H293" s="10">
        <f>+'A) Base RI'!E293</f>
        <v>0</v>
      </c>
      <c r="I293" s="10">
        <f>+'A) Base RI'!F293</f>
        <v>2250</v>
      </c>
      <c r="J293" s="10">
        <f>+'A) Base RI'!G293+'A) Base RI'!H293+'A) Base RI'!X293</f>
        <v>9213.35</v>
      </c>
      <c r="K293" s="10">
        <f>+'A) Base RI'!I293</f>
        <v>0</v>
      </c>
      <c r="L293" s="10">
        <f>+'A) Base RI'!J293</f>
        <v>9430.1200000000008</v>
      </c>
      <c r="M293" s="10">
        <f>+'A) Base RI'!K293</f>
        <v>0</v>
      </c>
      <c r="N293" s="10">
        <f>+'A) Base RI'!Q293</f>
        <v>407.23</v>
      </c>
      <c r="O293" s="10">
        <f t="shared" si="25"/>
        <v>51399.6</v>
      </c>
      <c r="P293" s="10">
        <f>+'A) Base RI'!L293</f>
        <v>51399.6</v>
      </c>
      <c r="Q293" s="34">
        <f>'A) Base RI'!AS293</f>
        <v>1</v>
      </c>
      <c r="R293" s="412">
        <f t="shared" si="26"/>
        <v>805845.64999999991</v>
      </c>
      <c r="S293" s="33">
        <f>+'A) Base RI'!AN293</f>
        <v>79</v>
      </c>
      <c r="T293" s="412">
        <f t="shared" si="27"/>
        <v>752196.04999999993</v>
      </c>
      <c r="U293" s="412">
        <f t="shared" si="28"/>
        <v>10200.577848101264</v>
      </c>
      <c r="V293" s="10">
        <f>+'A) Base RI'!O293</f>
        <v>0</v>
      </c>
      <c r="W293" s="10">
        <f>+'A) Base RI'!P293</f>
        <v>37754.75</v>
      </c>
      <c r="X293" s="10">
        <f>+'A) Base RI'!R293</f>
        <v>115901.2</v>
      </c>
      <c r="Y293" s="412">
        <f t="shared" si="29"/>
        <v>153655.95000000001</v>
      </c>
      <c r="Z293" s="10">
        <f>+'A) Base RI'!N293</f>
        <v>0</v>
      </c>
      <c r="AA293" s="10">
        <f>'A) Base RI'!AO293</f>
        <v>394</v>
      </c>
    </row>
    <row r="294" spans="1:27" x14ac:dyDescent="0.25">
      <c r="A294" s="8">
        <f>'A) Base RI'!A294</f>
        <v>5911</v>
      </c>
      <c r="B294" s="32" t="str">
        <f>'A) Base RI'!B294</f>
        <v>Cuarny</v>
      </c>
      <c r="C294" s="10">
        <f>'A) Base RI'!C294+'A) Base RI'!D294</f>
        <v>585448.15</v>
      </c>
      <c r="D294" s="10">
        <f>'A) Base RI'!AP294</f>
        <v>-375.86</v>
      </c>
      <c r="E294" s="31">
        <f>'A) Base RI'!AQ294</f>
        <v>0</v>
      </c>
      <c r="F294" s="31">
        <f>'A) Base RI'!AR294</f>
        <v>-804.23</v>
      </c>
      <c r="G294" s="412">
        <f t="shared" si="24"/>
        <v>584268.06000000006</v>
      </c>
      <c r="H294" s="10">
        <f>+'A) Base RI'!E294</f>
        <v>0</v>
      </c>
      <c r="I294" s="10">
        <f>+'A) Base RI'!F294</f>
        <v>1430</v>
      </c>
      <c r="J294" s="10">
        <f>+'A) Base RI'!G294+'A) Base RI'!H294+'A) Base RI'!X294</f>
        <v>2621.3999999999996</v>
      </c>
      <c r="K294" s="10">
        <f>+'A) Base RI'!I294</f>
        <v>0</v>
      </c>
      <c r="L294" s="10">
        <f>+'A) Base RI'!J294</f>
        <v>-2142.9299999999998</v>
      </c>
      <c r="M294" s="10">
        <f>+'A) Base RI'!K294</f>
        <v>828.65</v>
      </c>
      <c r="N294" s="10">
        <f>+'A) Base RI'!Q294</f>
        <v>1.1599999999999999</v>
      </c>
      <c r="O294" s="10">
        <f t="shared" si="25"/>
        <v>32115.5</v>
      </c>
      <c r="P294" s="10">
        <f>+'A) Base RI'!L294</f>
        <v>32115.5</v>
      </c>
      <c r="Q294" s="34">
        <f>'A) Base RI'!AS294</f>
        <v>1</v>
      </c>
      <c r="R294" s="412">
        <f t="shared" si="26"/>
        <v>619121.84000000008</v>
      </c>
      <c r="S294" s="33">
        <f>+'A) Base RI'!AN294</f>
        <v>79</v>
      </c>
      <c r="T294" s="412">
        <f t="shared" si="27"/>
        <v>584747.69000000006</v>
      </c>
      <c r="U294" s="412">
        <f t="shared" si="28"/>
        <v>7836.9853164556971</v>
      </c>
      <c r="V294" s="10">
        <f>+'A) Base RI'!O294</f>
        <v>156.1</v>
      </c>
      <c r="W294" s="10">
        <f>+'A) Base RI'!P294</f>
        <v>0</v>
      </c>
      <c r="X294" s="10">
        <f>+'A) Base RI'!R294</f>
        <v>-16334.75</v>
      </c>
      <c r="Y294" s="412">
        <f t="shared" si="29"/>
        <v>-16178.65</v>
      </c>
      <c r="Z294" s="10">
        <f>+'A) Base RI'!N294</f>
        <v>1459.15</v>
      </c>
      <c r="AA294" s="10">
        <f>'A) Base RI'!AO294</f>
        <v>239</v>
      </c>
    </row>
    <row r="295" spans="1:27" x14ac:dyDescent="0.25">
      <c r="A295" s="8">
        <f>'A) Base RI'!A295</f>
        <v>5912</v>
      </c>
      <c r="B295" s="32" t="str">
        <f>'A) Base RI'!B295</f>
        <v>Démoret</v>
      </c>
      <c r="C295" s="10">
        <f>'A) Base RI'!C295+'A) Base RI'!D295</f>
        <v>297707.59000000003</v>
      </c>
      <c r="D295" s="10">
        <f>'A) Base RI'!AP295</f>
        <v>-1465.79</v>
      </c>
      <c r="E295" s="31">
        <f>'A) Base RI'!AQ295</f>
        <v>0</v>
      </c>
      <c r="F295" s="31">
        <f>'A) Base RI'!AR295</f>
        <v>0</v>
      </c>
      <c r="G295" s="412">
        <f t="shared" si="24"/>
        <v>296241.80000000005</v>
      </c>
      <c r="H295" s="10">
        <f>+'A) Base RI'!E295</f>
        <v>0</v>
      </c>
      <c r="I295" s="10">
        <f>+'A) Base RI'!F295</f>
        <v>0</v>
      </c>
      <c r="J295" s="10">
        <f>+'A) Base RI'!G295+'A) Base RI'!H295+'A) Base RI'!X295</f>
        <v>481</v>
      </c>
      <c r="K295" s="10">
        <f>+'A) Base RI'!I295</f>
        <v>0</v>
      </c>
      <c r="L295" s="10">
        <f>+'A) Base RI'!J295</f>
        <v>4037.7</v>
      </c>
      <c r="M295" s="10">
        <f>+'A) Base RI'!K295</f>
        <v>0</v>
      </c>
      <c r="N295" s="10">
        <f>+'A) Base RI'!Q295</f>
        <v>0</v>
      </c>
      <c r="O295" s="10">
        <f t="shared" si="25"/>
        <v>20443.5</v>
      </c>
      <c r="P295" s="10">
        <f>+'A) Base RI'!L295</f>
        <v>20443.5</v>
      </c>
      <c r="Q295" s="34">
        <f>'A) Base RI'!AS295</f>
        <v>1</v>
      </c>
      <c r="R295" s="412">
        <f t="shared" si="26"/>
        <v>321204.00000000006</v>
      </c>
      <c r="S295" s="33">
        <f>+'A) Base RI'!AN295</f>
        <v>81</v>
      </c>
      <c r="T295" s="412">
        <f t="shared" si="27"/>
        <v>300760.50000000006</v>
      </c>
      <c r="U295" s="412">
        <f t="shared" si="28"/>
        <v>3965.4814814814822</v>
      </c>
      <c r="V295" s="10">
        <f>+'A) Base RI'!O295</f>
        <v>0</v>
      </c>
      <c r="W295" s="10">
        <f>+'A) Base RI'!P295</f>
        <v>0</v>
      </c>
      <c r="X295" s="10">
        <f>+'A) Base RI'!R295</f>
        <v>0</v>
      </c>
      <c r="Y295" s="412">
        <f t="shared" si="29"/>
        <v>0</v>
      </c>
      <c r="Z295" s="10">
        <f>+'A) Base RI'!N295</f>
        <v>0</v>
      </c>
      <c r="AA295" s="10">
        <f>'A) Base RI'!AO295</f>
        <v>156</v>
      </c>
    </row>
    <row r="296" spans="1:27" x14ac:dyDescent="0.25">
      <c r="A296" s="8">
        <f>'A) Base RI'!A296</f>
        <v>5913</v>
      </c>
      <c r="B296" s="32" t="str">
        <f>'A) Base RI'!B296</f>
        <v>Donneloye</v>
      </c>
      <c r="C296" s="10">
        <f>'A) Base RI'!C296+'A) Base RI'!D296</f>
        <v>1438530.95</v>
      </c>
      <c r="D296" s="10">
        <f>'A) Base RI'!AP296</f>
        <v>-8026.96</v>
      </c>
      <c r="E296" s="31">
        <f>'A) Base RI'!AQ296</f>
        <v>0</v>
      </c>
      <c r="F296" s="31">
        <f>'A) Base RI'!AR296</f>
        <v>-644.23</v>
      </c>
      <c r="G296" s="412">
        <f t="shared" si="24"/>
        <v>1429859.76</v>
      </c>
      <c r="H296" s="10">
        <f>+'A) Base RI'!E296</f>
        <v>0</v>
      </c>
      <c r="I296" s="10">
        <f>+'A) Base RI'!F296</f>
        <v>0</v>
      </c>
      <c r="J296" s="10">
        <f>+'A) Base RI'!G296+'A) Base RI'!H296+'A) Base RI'!X296</f>
        <v>13742.649999999998</v>
      </c>
      <c r="K296" s="10">
        <f>+'A) Base RI'!I296</f>
        <v>0</v>
      </c>
      <c r="L296" s="10">
        <f>+'A) Base RI'!J296</f>
        <v>16839.669999999998</v>
      </c>
      <c r="M296" s="10">
        <f>+'A) Base RI'!K296</f>
        <v>-192.35</v>
      </c>
      <c r="N296" s="10">
        <f>+'A) Base RI'!Q296</f>
        <v>733.13</v>
      </c>
      <c r="O296" s="10">
        <f t="shared" si="25"/>
        <v>116046.95</v>
      </c>
      <c r="P296" s="10">
        <f>+'A) Base RI'!L296</f>
        <v>116046.95</v>
      </c>
      <c r="Q296" s="34">
        <f>'A) Base RI'!AS296</f>
        <v>1</v>
      </c>
      <c r="R296" s="412">
        <f t="shared" si="26"/>
        <v>1577029.8099999996</v>
      </c>
      <c r="S296" s="33">
        <f>+'A) Base RI'!AN296</f>
        <v>73</v>
      </c>
      <c r="T296" s="412">
        <f t="shared" si="27"/>
        <v>1461175.2099999997</v>
      </c>
      <c r="U296" s="412">
        <f t="shared" si="28"/>
        <v>21603.148082191776</v>
      </c>
      <c r="V296" s="10">
        <f>+'A) Base RI'!O296</f>
        <v>3118.5</v>
      </c>
      <c r="W296" s="10">
        <f>+'A) Base RI'!P296</f>
        <v>63673.45</v>
      </c>
      <c r="X296" s="10">
        <f>+'A) Base RI'!R296</f>
        <v>84557.1</v>
      </c>
      <c r="Y296" s="412">
        <f t="shared" si="29"/>
        <v>151349.04999999999</v>
      </c>
      <c r="Z296" s="10">
        <f>+'A) Base RI'!N296</f>
        <v>24516.1</v>
      </c>
      <c r="AA296" s="10">
        <f>'A) Base RI'!AO296</f>
        <v>823</v>
      </c>
    </row>
    <row r="297" spans="1:27" x14ac:dyDescent="0.25">
      <c r="A297" s="8">
        <f>'A) Base RI'!A297</f>
        <v>5914</v>
      </c>
      <c r="B297" s="32" t="str">
        <f>'A) Base RI'!B297</f>
        <v>Ependes</v>
      </c>
      <c r="C297" s="10">
        <f>'A) Base RI'!C297+'A) Base RI'!D297</f>
        <v>682591.7</v>
      </c>
      <c r="D297" s="10">
        <f>'A) Base RI'!AP297</f>
        <v>-13781.15</v>
      </c>
      <c r="E297" s="31">
        <f>'A) Base RI'!AQ297</f>
        <v>0</v>
      </c>
      <c r="F297" s="31">
        <f>'A) Base RI'!AR297</f>
        <v>0</v>
      </c>
      <c r="G297" s="412">
        <f t="shared" si="24"/>
        <v>668810.54999999993</v>
      </c>
      <c r="H297" s="10">
        <f>+'A) Base RI'!E297</f>
        <v>0</v>
      </c>
      <c r="I297" s="10">
        <f>+'A) Base RI'!F297</f>
        <v>2120</v>
      </c>
      <c r="J297" s="10">
        <f>+'A) Base RI'!G297+'A) Base RI'!H297+'A) Base RI'!X297</f>
        <v>20400.699999999997</v>
      </c>
      <c r="K297" s="10">
        <f>+'A) Base RI'!I297</f>
        <v>0</v>
      </c>
      <c r="L297" s="10">
        <f>+'A) Base RI'!J297</f>
        <v>10620.09</v>
      </c>
      <c r="M297" s="10">
        <f>+'A) Base RI'!K297</f>
        <v>2894.6</v>
      </c>
      <c r="N297" s="10">
        <f>+'A) Base RI'!Q297</f>
        <v>0</v>
      </c>
      <c r="O297" s="10">
        <f t="shared" si="25"/>
        <v>53812.65</v>
      </c>
      <c r="P297" s="10">
        <f>+'A) Base RI'!L297</f>
        <v>53812.65</v>
      </c>
      <c r="Q297" s="34">
        <f>'A) Base RI'!AS297</f>
        <v>1</v>
      </c>
      <c r="R297" s="412">
        <f t="shared" si="26"/>
        <v>758658.58999999985</v>
      </c>
      <c r="S297" s="33">
        <f>+'A) Base RI'!AN297</f>
        <v>75</v>
      </c>
      <c r="T297" s="412">
        <f t="shared" si="27"/>
        <v>699831.33999999985</v>
      </c>
      <c r="U297" s="412">
        <f t="shared" si="28"/>
        <v>10115.447866666666</v>
      </c>
      <c r="V297" s="10">
        <f>+'A) Base RI'!O297</f>
        <v>0</v>
      </c>
      <c r="W297" s="10">
        <f>+'A) Base RI'!P297</f>
        <v>17616.8</v>
      </c>
      <c r="X297" s="10">
        <f>+'A) Base RI'!R297</f>
        <v>4520.8500000000004</v>
      </c>
      <c r="Y297" s="412">
        <f t="shared" si="29"/>
        <v>22137.65</v>
      </c>
      <c r="Z297" s="10">
        <f>+'A) Base RI'!N297</f>
        <v>561.9</v>
      </c>
      <c r="AA297" s="10">
        <f>'A) Base RI'!AO297</f>
        <v>357</v>
      </c>
    </row>
    <row r="298" spans="1:27" x14ac:dyDescent="0.25">
      <c r="A298" s="8">
        <f>'A) Base RI'!A298</f>
        <v>5919</v>
      </c>
      <c r="B298" s="32" t="str">
        <f>'A) Base RI'!B298</f>
        <v>Mathod</v>
      </c>
      <c r="C298" s="10">
        <f>'A) Base RI'!C298+'A) Base RI'!D298</f>
        <v>1095416.69</v>
      </c>
      <c r="D298" s="10">
        <f>'A) Base RI'!AP298</f>
        <v>-20763.830000000002</v>
      </c>
      <c r="E298" s="31">
        <f>'A) Base RI'!AQ298</f>
        <v>0</v>
      </c>
      <c r="F298" s="31">
        <f>'A) Base RI'!AR298</f>
        <v>-102.96</v>
      </c>
      <c r="G298" s="412">
        <f t="shared" si="24"/>
        <v>1074549.8999999999</v>
      </c>
      <c r="H298" s="10">
        <f>+'A) Base RI'!E298</f>
        <v>0</v>
      </c>
      <c r="I298" s="10">
        <f>+'A) Base RI'!F298</f>
        <v>3620</v>
      </c>
      <c r="J298" s="10">
        <f>+'A) Base RI'!G298+'A) Base RI'!H298+'A) Base RI'!X298</f>
        <v>31739.15</v>
      </c>
      <c r="K298" s="10">
        <f>+'A) Base RI'!I298</f>
        <v>0</v>
      </c>
      <c r="L298" s="10">
        <f>+'A) Base RI'!J298</f>
        <v>14666.37</v>
      </c>
      <c r="M298" s="10">
        <f>+'A) Base RI'!K298</f>
        <v>9935.2000000000007</v>
      </c>
      <c r="N298" s="10">
        <f>+'A) Base RI'!Q298</f>
        <v>11563.69</v>
      </c>
      <c r="O298" s="10">
        <f t="shared" si="25"/>
        <v>112157.58333333334</v>
      </c>
      <c r="P298" s="10">
        <f>+'A) Base RI'!L298</f>
        <v>134589.1</v>
      </c>
      <c r="Q298" s="34">
        <f>'A) Base RI'!AS298</f>
        <v>1.2</v>
      </c>
      <c r="R298" s="412">
        <f t="shared" si="26"/>
        <v>1258231.8933333331</v>
      </c>
      <c r="S298" s="33">
        <f>+'A) Base RI'!AN298</f>
        <v>72</v>
      </c>
      <c r="T298" s="412">
        <f t="shared" si="27"/>
        <v>1132519.1099999999</v>
      </c>
      <c r="U298" s="412">
        <f t="shared" si="28"/>
        <v>17475.442962962959</v>
      </c>
      <c r="V298" s="10">
        <f>+'A) Base RI'!O298</f>
        <v>0</v>
      </c>
      <c r="W298" s="10">
        <f>+'A) Base RI'!P298</f>
        <v>49362.7</v>
      </c>
      <c r="X298" s="10">
        <f>+'A) Base RI'!R298</f>
        <v>8979.65</v>
      </c>
      <c r="Y298" s="412">
        <f t="shared" si="29"/>
        <v>58342.35</v>
      </c>
      <c r="Z298" s="10">
        <f>+'A) Base RI'!N298</f>
        <v>4963.05</v>
      </c>
      <c r="AA298" s="10">
        <f>'A) Base RI'!AO298</f>
        <v>601</v>
      </c>
    </row>
    <row r="299" spans="1:27" x14ac:dyDescent="0.25">
      <c r="A299" s="8">
        <f>'A) Base RI'!A299</f>
        <v>5921</v>
      </c>
      <c r="B299" s="32" t="str">
        <f>'A) Base RI'!B299</f>
        <v>Molondin</v>
      </c>
      <c r="C299" s="10">
        <f>'A) Base RI'!C299+'A) Base RI'!D299</f>
        <v>377672.13</v>
      </c>
      <c r="D299" s="10">
        <f>'A) Base RI'!AP299</f>
        <v>-366.93</v>
      </c>
      <c r="E299" s="31">
        <f>'A) Base RI'!AQ299</f>
        <v>0</v>
      </c>
      <c r="F299" s="31">
        <f>'A) Base RI'!AR299</f>
        <v>-0.19</v>
      </c>
      <c r="G299" s="412">
        <f t="shared" si="24"/>
        <v>377305.01</v>
      </c>
      <c r="H299" s="10">
        <f>+'A) Base RI'!E299</f>
        <v>0</v>
      </c>
      <c r="I299" s="10">
        <f>+'A) Base RI'!F299</f>
        <v>0</v>
      </c>
      <c r="J299" s="10">
        <f>+'A) Base RI'!G299+'A) Base RI'!H299+'A) Base RI'!X299</f>
        <v>26517.8</v>
      </c>
      <c r="K299" s="10">
        <f>+'A) Base RI'!I299</f>
        <v>0</v>
      </c>
      <c r="L299" s="10">
        <f>+'A) Base RI'!J299</f>
        <v>20897.88</v>
      </c>
      <c r="M299" s="10">
        <f>+'A) Base RI'!K299</f>
        <v>0</v>
      </c>
      <c r="N299" s="10">
        <f>+'A) Base RI'!Q299</f>
        <v>2228.85</v>
      </c>
      <c r="O299" s="10">
        <f t="shared" si="25"/>
        <v>31965.25</v>
      </c>
      <c r="P299" s="10">
        <f>+'A) Base RI'!L299</f>
        <v>31965.25</v>
      </c>
      <c r="Q299" s="34">
        <f>'A) Base RI'!AS299</f>
        <v>1</v>
      </c>
      <c r="R299" s="412">
        <f t="shared" si="26"/>
        <v>458914.79</v>
      </c>
      <c r="S299" s="33">
        <f>+'A) Base RI'!AN299</f>
        <v>81</v>
      </c>
      <c r="T299" s="412">
        <f t="shared" si="27"/>
        <v>426949.54</v>
      </c>
      <c r="U299" s="412">
        <f t="shared" si="28"/>
        <v>5665.6146913580242</v>
      </c>
      <c r="V299" s="10">
        <f>+'A) Base RI'!O299</f>
        <v>74.7</v>
      </c>
      <c r="W299" s="10">
        <f>+'A) Base RI'!P299</f>
        <v>15563.9</v>
      </c>
      <c r="X299" s="10">
        <f>+'A) Base RI'!R299</f>
        <v>27571.7</v>
      </c>
      <c r="Y299" s="412">
        <f t="shared" si="29"/>
        <v>43210.3</v>
      </c>
      <c r="Z299" s="10">
        <f>+'A) Base RI'!N299</f>
        <v>0</v>
      </c>
      <c r="AA299" s="10">
        <f>'A) Base RI'!AO299</f>
        <v>240</v>
      </c>
    </row>
    <row r="300" spans="1:27" x14ac:dyDescent="0.25">
      <c r="A300" s="8">
        <f>'A) Base RI'!A300</f>
        <v>5922</v>
      </c>
      <c r="B300" s="32" t="str">
        <f>'A) Base RI'!B300</f>
        <v>Montagny-près-Yverdon</v>
      </c>
      <c r="C300" s="10">
        <f>'A) Base RI'!C300+'A) Base RI'!D300</f>
        <v>1613328.31</v>
      </c>
      <c r="D300" s="10">
        <f>'A) Base RI'!AP300</f>
        <v>-22200.68</v>
      </c>
      <c r="E300" s="31">
        <f>'A) Base RI'!AQ300</f>
        <v>0</v>
      </c>
      <c r="F300" s="31">
        <f>'A) Base RI'!AR300</f>
        <v>-227.57</v>
      </c>
      <c r="G300" s="412">
        <f t="shared" si="24"/>
        <v>1590900.06</v>
      </c>
      <c r="H300" s="10">
        <f>+'A) Base RI'!E300</f>
        <v>0</v>
      </c>
      <c r="I300" s="10">
        <f>+'A) Base RI'!F300</f>
        <v>0</v>
      </c>
      <c r="J300" s="10">
        <f>+'A) Base RI'!G300+'A) Base RI'!H300+'A) Base RI'!X300</f>
        <v>410760.94999999995</v>
      </c>
      <c r="K300" s="10">
        <f>+'A) Base RI'!I300</f>
        <v>0</v>
      </c>
      <c r="L300" s="10">
        <f>+'A) Base RI'!J300</f>
        <v>53659.53</v>
      </c>
      <c r="M300" s="10">
        <f>+'A) Base RI'!K300</f>
        <v>65060.55</v>
      </c>
      <c r="N300" s="10">
        <f>+'A) Base RI'!Q300</f>
        <v>0</v>
      </c>
      <c r="O300" s="10">
        <f t="shared" si="25"/>
        <v>324878.0625</v>
      </c>
      <c r="P300" s="10">
        <f>+'A) Base RI'!L300</f>
        <v>259902.45</v>
      </c>
      <c r="Q300" s="34">
        <f>'A) Base RI'!AS300</f>
        <v>0.8</v>
      </c>
      <c r="R300" s="412">
        <f t="shared" si="26"/>
        <v>2445259.1524999999</v>
      </c>
      <c r="S300" s="33">
        <f>+'A) Base RI'!AN300</f>
        <v>65</v>
      </c>
      <c r="T300" s="412">
        <f t="shared" si="27"/>
        <v>2055320.54</v>
      </c>
      <c r="U300" s="412">
        <f t="shared" si="28"/>
        <v>37619.371576923077</v>
      </c>
      <c r="V300" s="10">
        <f>+'A) Base RI'!O300</f>
        <v>11035.2</v>
      </c>
      <c r="W300" s="10">
        <f>+'A) Base RI'!P300</f>
        <v>151526.65</v>
      </c>
      <c r="X300" s="10">
        <f>+'A) Base RI'!R300</f>
        <v>45928.65</v>
      </c>
      <c r="Y300" s="412">
        <f t="shared" si="29"/>
        <v>208490.5</v>
      </c>
      <c r="Z300" s="10">
        <f>+'A) Base RI'!N300</f>
        <v>195665</v>
      </c>
      <c r="AA300" s="10">
        <f>'A) Base RI'!AO300</f>
        <v>747</v>
      </c>
    </row>
    <row r="301" spans="1:27" x14ac:dyDescent="0.25">
      <c r="A301" s="8">
        <f>'A) Base RI'!A301</f>
        <v>5923</v>
      </c>
      <c r="B301" s="32" t="str">
        <f>'A) Base RI'!B301</f>
        <v>Oppens</v>
      </c>
      <c r="C301" s="10">
        <f>'A) Base RI'!C301+'A) Base RI'!D301</f>
        <v>388161.82</v>
      </c>
      <c r="D301" s="10">
        <f>'A) Base RI'!AP301</f>
        <v>-6064.4</v>
      </c>
      <c r="E301" s="31">
        <f>'A) Base RI'!AQ301</f>
        <v>0</v>
      </c>
      <c r="F301" s="31">
        <f>'A) Base RI'!AR301</f>
        <v>0</v>
      </c>
      <c r="G301" s="412">
        <f t="shared" si="24"/>
        <v>382097.42</v>
      </c>
      <c r="H301" s="10">
        <f>+'A) Base RI'!E301</f>
        <v>0</v>
      </c>
      <c r="I301" s="10">
        <f>+'A) Base RI'!F301</f>
        <v>0</v>
      </c>
      <c r="J301" s="10">
        <f>+'A) Base RI'!G301+'A) Base RI'!H301+'A) Base RI'!X301</f>
        <v>5094</v>
      </c>
      <c r="K301" s="10">
        <f>+'A) Base RI'!I301</f>
        <v>0</v>
      </c>
      <c r="L301" s="10">
        <f>+'A) Base RI'!J301</f>
        <v>24338.29</v>
      </c>
      <c r="M301" s="10">
        <f>+'A) Base RI'!K301</f>
        <v>0</v>
      </c>
      <c r="N301" s="10">
        <f>+'A) Base RI'!Q301</f>
        <v>0</v>
      </c>
      <c r="O301" s="10">
        <f t="shared" si="25"/>
        <v>25830</v>
      </c>
      <c r="P301" s="10">
        <f>+'A) Base RI'!L301</f>
        <v>25830</v>
      </c>
      <c r="Q301" s="34">
        <f>'A) Base RI'!AS301</f>
        <v>1</v>
      </c>
      <c r="R301" s="412">
        <f t="shared" si="26"/>
        <v>437359.70999999996</v>
      </c>
      <c r="S301" s="33">
        <f>+'A) Base RI'!AN301</f>
        <v>81</v>
      </c>
      <c r="T301" s="412">
        <f t="shared" si="27"/>
        <v>411529.70999999996</v>
      </c>
      <c r="U301" s="412">
        <f t="shared" si="28"/>
        <v>5399.502592592592</v>
      </c>
      <c r="V301" s="10">
        <f>+'A) Base RI'!O301</f>
        <v>0</v>
      </c>
      <c r="W301" s="10">
        <f>+'A) Base RI'!P301</f>
        <v>7774.8</v>
      </c>
      <c r="X301" s="10">
        <f>+'A) Base RI'!R301</f>
        <v>9012</v>
      </c>
      <c r="Y301" s="412">
        <f t="shared" si="29"/>
        <v>16786.8</v>
      </c>
      <c r="Z301" s="10">
        <f>+'A) Base RI'!N301</f>
        <v>19625.8</v>
      </c>
      <c r="AA301" s="10">
        <f>'A) Base RI'!AO301</f>
        <v>202</v>
      </c>
    </row>
    <row r="302" spans="1:27" x14ac:dyDescent="0.25">
      <c r="A302" s="8">
        <f>'A) Base RI'!A302</f>
        <v>5924</v>
      </c>
      <c r="B302" s="32" t="str">
        <f>'A) Base RI'!B302</f>
        <v>Orges</v>
      </c>
      <c r="C302" s="10">
        <f>'A) Base RI'!C302+'A) Base RI'!D302</f>
        <v>792350.75</v>
      </c>
      <c r="D302" s="10">
        <f>'A) Base RI'!AP302</f>
        <v>-509.78</v>
      </c>
      <c r="E302" s="31">
        <f>'A) Base RI'!AQ302</f>
        <v>0</v>
      </c>
      <c r="F302" s="31">
        <f>'A) Base RI'!AR302</f>
        <v>-36.28</v>
      </c>
      <c r="G302" s="412">
        <f t="shared" si="24"/>
        <v>791804.69</v>
      </c>
      <c r="H302" s="10">
        <f>+'A) Base RI'!E302</f>
        <v>0</v>
      </c>
      <c r="I302" s="10">
        <f>+'A) Base RI'!F302</f>
        <v>0</v>
      </c>
      <c r="J302" s="10">
        <f>+'A) Base RI'!G302+'A) Base RI'!H302+'A) Base RI'!X302</f>
        <v>26015.55</v>
      </c>
      <c r="K302" s="10">
        <f>+'A) Base RI'!I302</f>
        <v>0</v>
      </c>
      <c r="L302" s="10">
        <f>+'A) Base RI'!J302</f>
        <v>10428.48</v>
      </c>
      <c r="M302" s="10">
        <f>+'A) Base RI'!K302</f>
        <v>0</v>
      </c>
      <c r="N302" s="10">
        <f>+'A) Base RI'!Q302</f>
        <v>35.67</v>
      </c>
      <c r="O302" s="10">
        <f t="shared" si="25"/>
        <v>53155.75</v>
      </c>
      <c r="P302" s="10">
        <f>+'A) Base RI'!L302</f>
        <v>53155.75</v>
      </c>
      <c r="Q302" s="34">
        <f>'A) Base RI'!AS302</f>
        <v>1</v>
      </c>
      <c r="R302" s="412">
        <f t="shared" si="26"/>
        <v>881440.14</v>
      </c>
      <c r="S302" s="33">
        <f>+'A) Base RI'!AN302</f>
        <v>74</v>
      </c>
      <c r="T302" s="412">
        <f t="shared" si="27"/>
        <v>828284.39</v>
      </c>
      <c r="U302" s="412">
        <f t="shared" si="28"/>
        <v>11911.353243243244</v>
      </c>
      <c r="V302" s="10">
        <f>+'A) Base RI'!O302</f>
        <v>46797.9</v>
      </c>
      <c r="W302" s="10">
        <f>+'A) Base RI'!P302</f>
        <v>24429.15</v>
      </c>
      <c r="X302" s="10">
        <f>+'A) Base RI'!R302</f>
        <v>18006.400000000001</v>
      </c>
      <c r="Y302" s="412">
        <f t="shared" si="29"/>
        <v>89233.450000000012</v>
      </c>
      <c r="Z302" s="10">
        <f>+'A) Base RI'!N302</f>
        <v>10554.8</v>
      </c>
      <c r="AA302" s="10">
        <f>'A) Base RI'!AO302</f>
        <v>332</v>
      </c>
    </row>
    <row r="303" spans="1:27" x14ac:dyDescent="0.25">
      <c r="A303" s="8">
        <f>'A) Base RI'!A303</f>
        <v>5925</v>
      </c>
      <c r="B303" s="32" t="str">
        <f>'A) Base RI'!B303</f>
        <v>Orzens</v>
      </c>
      <c r="C303" s="10">
        <f>'A) Base RI'!C303+'A) Base RI'!D303</f>
        <v>390112.28</v>
      </c>
      <c r="D303" s="10">
        <f>'A) Base RI'!AP303</f>
        <v>-9901.7900000000009</v>
      </c>
      <c r="E303" s="31">
        <f>'A) Base RI'!AQ303</f>
        <v>0</v>
      </c>
      <c r="F303" s="31">
        <f>'A) Base RI'!AR303</f>
        <v>0</v>
      </c>
      <c r="G303" s="412">
        <f t="shared" si="24"/>
        <v>380210.49000000005</v>
      </c>
      <c r="H303" s="10">
        <f>+'A) Base RI'!E303</f>
        <v>0</v>
      </c>
      <c r="I303" s="10">
        <f>+'A) Base RI'!F303</f>
        <v>1190</v>
      </c>
      <c r="J303" s="10">
        <f>+'A) Base RI'!G303+'A) Base RI'!H303+'A) Base RI'!X303</f>
        <v>2824.9</v>
      </c>
      <c r="K303" s="10">
        <f>+'A) Base RI'!I303</f>
        <v>0</v>
      </c>
      <c r="L303" s="10">
        <f>+'A) Base RI'!J303</f>
        <v>7626.19</v>
      </c>
      <c r="M303" s="10">
        <f>+'A) Base RI'!K303</f>
        <v>0</v>
      </c>
      <c r="N303" s="10">
        <f>+'A) Base RI'!Q303</f>
        <v>0</v>
      </c>
      <c r="O303" s="10">
        <f t="shared" si="25"/>
        <v>30671.1</v>
      </c>
      <c r="P303" s="10">
        <f>+'A) Base RI'!L303</f>
        <v>30671.1</v>
      </c>
      <c r="Q303" s="34">
        <f>'A) Base RI'!AS303</f>
        <v>1</v>
      </c>
      <c r="R303" s="412">
        <f t="shared" si="26"/>
        <v>422522.68000000005</v>
      </c>
      <c r="S303" s="33">
        <f>+'A) Base RI'!AN303</f>
        <v>79</v>
      </c>
      <c r="T303" s="412">
        <f t="shared" si="27"/>
        <v>390661.58000000007</v>
      </c>
      <c r="U303" s="412">
        <f t="shared" si="28"/>
        <v>5348.3883544303808</v>
      </c>
      <c r="V303" s="10">
        <f>+'A) Base RI'!O303</f>
        <v>20179.5</v>
      </c>
      <c r="W303" s="10">
        <f>+'A) Base RI'!P303</f>
        <v>52571.75</v>
      </c>
      <c r="X303" s="10">
        <f>+'A) Base RI'!R303</f>
        <v>112526.85</v>
      </c>
      <c r="Y303" s="412">
        <f t="shared" si="29"/>
        <v>185278.1</v>
      </c>
      <c r="Z303" s="10">
        <f>+'A) Base RI'!N303</f>
        <v>9065.0499999999993</v>
      </c>
      <c r="AA303" s="10">
        <f>'A) Base RI'!AO303</f>
        <v>208</v>
      </c>
    </row>
    <row r="304" spans="1:27" x14ac:dyDescent="0.25">
      <c r="A304" s="8">
        <f>'A) Base RI'!A304</f>
        <v>5926</v>
      </c>
      <c r="B304" s="32" t="str">
        <f>'A) Base RI'!B304</f>
        <v>Pomy</v>
      </c>
      <c r="C304" s="10">
        <f>'A) Base RI'!C304+'A) Base RI'!D304</f>
        <v>1788676.5</v>
      </c>
      <c r="D304" s="10">
        <f>'A) Base RI'!AP304</f>
        <v>-5221.0200000000004</v>
      </c>
      <c r="E304" s="31">
        <f>'A) Base RI'!AQ304</f>
        <v>0</v>
      </c>
      <c r="F304" s="31">
        <f>'A) Base RI'!AR304</f>
        <v>-269.63</v>
      </c>
      <c r="G304" s="412">
        <f t="shared" si="24"/>
        <v>1783185.85</v>
      </c>
      <c r="H304" s="10">
        <f>+'A) Base RI'!E304</f>
        <v>0</v>
      </c>
      <c r="I304" s="10">
        <f>+'A) Base RI'!F304</f>
        <v>0</v>
      </c>
      <c r="J304" s="10">
        <f>+'A) Base RI'!G304+'A) Base RI'!H304+'A) Base RI'!X304</f>
        <v>34545.449999999997</v>
      </c>
      <c r="K304" s="10">
        <f>+'A) Base RI'!I304</f>
        <v>0</v>
      </c>
      <c r="L304" s="10">
        <f>+'A) Base RI'!J304</f>
        <v>15937.63</v>
      </c>
      <c r="M304" s="10">
        <f>+'A) Base RI'!K304</f>
        <v>0</v>
      </c>
      <c r="N304" s="10">
        <f>+'A) Base RI'!Q304</f>
        <v>1953.87</v>
      </c>
      <c r="O304" s="10">
        <f t="shared" si="25"/>
        <v>121418</v>
      </c>
      <c r="P304" s="10">
        <f>+'A) Base RI'!L304</f>
        <v>121418</v>
      </c>
      <c r="Q304" s="34">
        <f>'A) Base RI'!AS304</f>
        <v>1</v>
      </c>
      <c r="R304" s="412">
        <f t="shared" si="26"/>
        <v>1957040.8</v>
      </c>
      <c r="S304" s="33">
        <f>+'A) Base RI'!AN304</f>
        <v>71</v>
      </c>
      <c r="T304" s="412">
        <f t="shared" si="27"/>
        <v>1835622.8</v>
      </c>
      <c r="U304" s="412">
        <f t="shared" si="28"/>
        <v>27563.954929577467</v>
      </c>
      <c r="V304" s="10">
        <f>+'A) Base RI'!O304</f>
        <v>58866.1</v>
      </c>
      <c r="W304" s="10">
        <f>+'A) Base RI'!P304</f>
        <v>15070</v>
      </c>
      <c r="X304" s="10">
        <f>+'A) Base RI'!R304</f>
        <v>19061.400000000001</v>
      </c>
      <c r="Y304" s="412">
        <f t="shared" si="29"/>
        <v>92997.5</v>
      </c>
      <c r="Z304" s="10">
        <f>+'A) Base RI'!N304</f>
        <v>2452.3000000000002</v>
      </c>
      <c r="AA304" s="10">
        <f>'A) Base RI'!AO304</f>
        <v>793</v>
      </c>
    </row>
    <row r="305" spans="1:27" x14ac:dyDescent="0.25">
      <c r="A305" s="8">
        <f>'A) Base RI'!A305</f>
        <v>5928</v>
      </c>
      <c r="B305" s="32" t="str">
        <f>'A) Base RI'!B305</f>
        <v>Rovray</v>
      </c>
      <c r="C305" s="10">
        <f>'A) Base RI'!C305+'A) Base RI'!D305</f>
        <v>408867.41</v>
      </c>
      <c r="D305" s="10">
        <f>'A) Base RI'!AP305</f>
        <v>-9350.0400000000009</v>
      </c>
      <c r="E305" s="31">
        <f>'A) Base RI'!AQ305</f>
        <v>0</v>
      </c>
      <c r="F305" s="31">
        <f>'A) Base RI'!AR305</f>
        <v>-13.5</v>
      </c>
      <c r="G305" s="412">
        <f t="shared" si="24"/>
        <v>399503.87</v>
      </c>
      <c r="H305" s="10">
        <f>+'A) Base RI'!E305</f>
        <v>0</v>
      </c>
      <c r="I305" s="10">
        <f>+'A) Base RI'!F305</f>
        <v>0</v>
      </c>
      <c r="J305" s="10">
        <f>+'A) Base RI'!G305+'A) Base RI'!H305+'A) Base RI'!X305</f>
        <v>3209.25</v>
      </c>
      <c r="K305" s="10">
        <f>+'A) Base RI'!I305</f>
        <v>0</v>
      </c>
      <c r="L305" s="10">
        <f>+'A) Base RI'!J305</f>
        <v>8610.8799999999992</v>
      </c>
      <c r="M305" s="10">
        <f>+'A) Base RI'!K305</f>
        <v>0</v>
      </c>
      <c r="N305" s="10">
        <f>+'A) Base RI'!Q305</f>
        <v>3860.41</v>
      </c>
      <c r="O305" s="10">
        <f t="shared" si="25"/>
        <v>22963</v>
      </c>
      <c r="P305" s="10">
        <f>+'A) Base RI'!L305</f>
        <v>22963</v>
      </c>
      <c r="Q305" s="34">
        <f>'A) Base RI'!AS305</f>
        <v>1</v>
      </c>
      <c r="R305" s="412">
        <f t="shared" si="26"/>
        <v>438147.41</v>
      </c>
      <c r="S305" s="33">
        <f>+'A) Base RI'!AN305</f>
        <v>73</v>
      </c>
      <c r="T305" s="412">
        <f t="shared" si="27"/>
        <v>415184.41</v>
      </c>
      <c r="U305" s="412">
        <f t="shared" si="28"/>
        <v>6002.0193150684927</v>
      </c>
      <c r="V305" s="10">
        <f>+'A) Base RI'!O305</f>
        <v>23831.3</v>
      </c>
      <c r="W305" s="10">
        <f>+'A) Base RI'!P305</f>
        <v>10735.2</v>
      </c>
      <c r="X305" s="10">
        <f>+'A) Base RI'!R305</f>
        <v>20592.400000000001</v>
      </c>
      <c r="Y305" s="412">
        <f t="shared" si="29"/>
        <v>55158.9</v>
      </c>
      <c r="Z305" s="10">
        <f>+'A) Base RI'!N305</f>
        <v>3733</v>
      </c>
      <c r="AA305" s="10">
        <f>'A) Base RI'!AO305</f>
        <v>185</v>
      </c>
    </row>
    <row r="306" spans="1:27" x14ac:dyDescent="0.25">
      <c r="A306" s="8">
        <f>'A) Base RI'!A306</f>
        <v>5929</v>
      </c>
      <c r="B306" s="32" t="str">
        <f>'A) Base RI'!B306</f>
        <v>Suchy</v>
      </c>
      <c r="C306" s="10">
        <f>'A) Base RI'!C306+'A) Base RI'!D306</f>
        <v>1038936.8</v>
      </c>
      <c r="D306" s="10">
        <f>'A) Base RI'!AP306</f>
        <v>-17335.900000000001</v>
      </c>
      <c r="E306" s="31">
        <f>'A) Base RI'!AQ306</f>
        <v>0</v>
      </c>
      <c r="F306" s="31">
        <f>'A) Base RI'!AR306</f>
        <v>-29.46</v>
      </c>
      <c r="G306" s="412">
        <f t="shared" si="24"/>
        <v>1021571.4400000001</v>
      </c>
      <c r="H306" s="10">
        <f>+'A) Base RI'!E306</f>
        <v>0</v>
      </c>
      <c r="I306" s="10">
        <f>+'A) Base RI'!F306</f>
        <v>0</v>
      </c>
      <c r="J306" s="10">
        <f>+'A) Base RI'!G306+'A) Base RI'!H306+'A) Base RI'!X306</f>
        <v>12607.7</v>
      </c>
      <c r="K306" s="10">
        <f>+'A) Base RI'!I306</f>
        <v>41100.15</v>
      </c>
      <c r="L306" s="10">
        <f>+'A) Base RI'!J306</f>
        <v>25049.05</v>
      </c>
      <c r="M306" s="10">
        <f>+'A) Base RI'!K306</f>
        <v>0</v>
      </c>
      <c r="N306" s="10">
        <f>+'A) Base RI'!Q306</f>
        <v>0</v>
      </c>
      <c r="O306" s="10">
        <f t="shared" si="25"/>
        <v>107763.875</v>
      </c>
      <c r="P306" s="10">
        <f>+'A) Base RI'!L306</f>
        <v>86211.1</v>
      </c>
      <c r="Q306" s="34">
        <f>'A) Base RI'!AS306</f>
        <v>0.8</v>
      </c>
      <c r="R306" s="412">
        <f t="shared" si="26"/>
        <v>1208092.2150000001</v>
      </c>
      <c r="S306" s="33">
        <f>+'A) Base RI'!AN306</f>
        <v>70</v>
      </c>
      <c r="T306" s="412">
        <f t="shared" si="27"/>
        <v>1100328.3400000001</v>
      </c>
      <c r="U306" s="412">
        <f t="shared" si="28"/>
        <v>17258.460214285715</v>
      </c>
      <c r="V306" s="10">
        <f>+'A) Base RI'!O306</f>
        <v>98806.2</v>
      </c>
      <c r="W306" s="10">
        <f>+'A) Base RI'!P306</f>
        <v>53798.15</v>
      </c>
      <c r="X306" s="10">
        <f>+'A) Base RI'!R306</f>
        <v>54952.3</v>
      </c>
      <c r="Y306" s="412">
        <f t="shared" si="29"/>
        <v>207556.65000000002</v>
      </c>
      <c r="Z306" s="10">
        <f>+'A) Base RI'!N306</f>
        <v>7224.65</v>
      </c>
      <c r="AA306" s="10">
        <f>'A) Base RI'!AO306</f>
        <v>645</v>
      </c>
    </row>
    <row r="307" spans="1:27" x14ac:dyDescent="0.25">
      <c r="A307" s="8">
        <f>'A) Base RI'!A307</f>
        <v>5930</v>
      </c>
      <c r="B307" s="32" t="str">
        <f>'A) Base RI'!B307</f>
        <v>Suscévaz</v>
      </c>
      <c r="C307" s="10">
        <f>'A) Base RI'!C307+'A) Base RI'!D307</f>
        <v>385522.20999999996</v>
      </c>
      <c r="D307" s="10">
        <f>'A) Base RI'!AP307</f>
        <v>-3719.27</v>
      </c>
      <c r="E307" s="31">
        <f>'A) Base RI'!AQ307</f>
        <v>0</v>
      </c>
      <c r="F307" s="31">
        <f>'A) Base RI'!AR307</f>
        <v>0</v>
      </c>
      <c r="G307" s="412">
        <f t="shared" si="24"/>
        <v>381802.93999999994</v>
      </c>
      <c r="H307" s="10">
        <f>+'A) Base RI'!E307</f>
        <v>0</v>
      </c>
      <c r="I307" s="10">
        <f>+'A) Base RI'!F307</f>
        <v>1230</v>
      </c>
      <c r="J307" s="10">
        <f>+'A) Base RI'!G307+'A) Base RI'!H307+'A) Base RI'!X307</f>
        <v>4200.2999999999993</v>
      </c>
      <c r="K307" s="10">
        <f>+'A) Base RI'!I307</f>
        <v>0</v>
      </c>
      <c r="L307" s="10">
        <f>+'A) Base RI'!J307</f>
        <v>4284.0600000000004</v>
      </c>
      <c r="M307" s="10">
        <f>+'A) Base RI'!K307</f>
        <v>228.6</v>
      </c>
      <c r="N307" s="10">
        <f>+'A) Base RI'!Q307</f>
        <v>63.01</v>
      </c>
      <c r="O307" s="10">
        <f t="shared" si="25"/>
        <v>29584.55</v>
      </c>
      <c r="P307" s="10">
        <f>+'A) Base RI'!L307</f>
        <v>29584.55</v>
      </c>
      <c r="Q307" s="34">
        <f>'A) Base RI'!AS307</f>
        <v>1</v>
      </c>
      <c r="R307" s="412">
        <f t="shared" si="26"/>
        <v>421393.4599999999</v>
      </c>
      <c r="S307" s="33">
        <f>+'A) Base RI'!AN307</f>
        <v>72</v>
      </c>
      <c r="T307" s="412">
        <f t="shared" si="27"/>
        <v>390350.30999999994</v>
      </c>
      <c r="U307" s="412">
        <f t="shared" si="28"/>
        <v>5852.6869444444428</v>
      </c>
      <c r="V307" s="10">
        <f>+'A) Base RI'!O307</f>
        <v>0</v>
      </c>
      <c r="W307" s="10">
        <f>+'A) Base RI'!P307</f>
        <v>150.05000000000001</v>
      </c>
      <c r="X307" s="10">
        <f>+'A) Base RI'!R307</f>
        <v>2551.35</v>
      </c>
      <c r="Y307" s="412">
        <f t="shared" si="29"/>
        <v>2701.4</v>
      </c>
      <c r="Z307" s="10">
        <f>+'A) Base RI'!N307</f>
        <v>0</v>
      </c>
      <c r="AA307" s="10">
        <f>'A) Base RI'!AO307</f>
        <v>215</v>
      </c>
    </row>
    <row r="308" spans="1:27" x14ac:dyDescent="0.25">
      <c r="A308" s="8">
        <f>'A) Base RI'!A308</f>
        <v>5931</v>
      </c>
      <c r="B308" s="32" t="str">
        <f>'A) Base RI'!B308</f>
        <v>Treycovagnes</v>
      </c>
      <c r="C308" s="10">
        <f>'A) Base RI'!C308+'A) Base RI'!D308</f>
        <v>849819.26</v>
      </c>
      <c r="D308" s="10">
        <f>'A) Base RI'!AP308</f>
        <v>-24884.48</v>
      </c>
      <c r="E308" s="31">
        <f>'A) Base RI'!AQ308</f>
        <v>0</v>
      </c>
      <c r="F308" s="31">
        <f>'A) Base RI'!AR308</f>
        <v>-12.12</v>
      </c>
      <c r="G308" s="412">
        <f t="shared" si="24"/>
        <v>824922.66</v>
      </c>
      <c r="H308" s="10">
        <f>+'A) Base RI'!E308</f>
        <v>0</v>
      </c>
      <c r="I308" s="10">
        <f>+'A) Base RI'!F308</f>
        <v>0</v>
      </c>
      <c r="J308" s="10">
        <f>+'A) Base RI'!G308+'A) Base RI'!H308+'A) Base RI'!X308</f>
        <v>2284.1</v>
      </c>
      <c r="K308" s="10">
        <f>+'A) Base RI'!I308</f>
        <v>0</v>
      </c>
      <c r="L308" s="10">
        <f>+'A) Base RI'!J308</f>
        <v>11985.32</v>
      </c>
      <c r="M308" s="10">
        <f>+'A) Base RI'!K308</f>
        <v>660</v>
      </c>
      <c r="N308" s="10">
        <f>+'A) Base RI'!Q308</f>
        <v>0</v>
      </c>
      <c r="O308" s="10">
        <f t="shared" si="25"/>
        <v>75306.600000000006</v>
      </c>
      <c r="P308" s="10">
        <f>+'A) Base RI'!L308</f>
        <v>75306.600000000006</v>
      </c>
      <c r="Q308" s="34">
        <f>'A) Base RI'!AS308</f>
        <v>1</v>
      </c>
      <c r="R308" s="412">
        <f t="shared" si="26"/>
        <v>915158.67999999993</v>
      </c>
      <c r="S308" s="33">
        <f>+'A) Base RI'!AN308</f>
        <v>75</v>
      </c>
      <c r="T308" s="412">
        <f t="shared" si="27"/>
        <v>839192.08</v>
      </c>
      <c r="U308" s="412">
        <f t="shared" si="28"/>
        <v>12202.115733333332</v>
      </c>
      <c r="V308" s="10">
        <f>+'A) Base RI'!O308</f>
        <v>3913.4</v>
      </c>
      <c r="W308" s="10">
        <f>+'A) Base RI'!P308</f>
        <v>19893.75</v>
      </c>
      <c r="X308" s="10">
        <f>+'A) Base RI'!R308</f>
        <v>18531.150000000001</v>
      </c>
      <c r="Y308" s="412">
        <f t="shared" si="29"/>
        <v>42338.3</v>
      </c>
      <c r="Z308" s="10">
        <f>+'A) Base RI'!N308</f>
        <v>5790.35</v>
      </c>
      <c r="AA308" s="10">
        <f>'A) Base RI'!AO308</f>
        <v>492</v>
      </c>
    </row>
    <row r="309" spans="1:27" x14ac:dyDescent="0.25">
      <c r="A309" s="8">
        <f>'A) Base RI'!A309</f>
        <v>5932</v>
      </c>
      <c r="B309" s="32" t="str">
        <f>'A) Base RI'!B309</f>
        <v>Ursins</v>
      </c>
      <c r="C309" s="10">
        <f>'A) Base RI'!C309+'A) Base RI'!D309</f>
        <v>621874.56000000006</v>
      </c>
      <c r="D309" s="10">
        <f>'A) Base RI'!AP309</f>
        <v>-20820.79</v>
      </c>
      <c r="E309" s="31">
        <f>'A) Base RI'!AQ309</f>
        <v>-29232.15</v>
      </c>
      <c r="F309" s="31">
        <f>'A) Base RI'!AR309</f>
        <v>-0.45</v>
      </c>
      <c r="G309" s="412">
        <f t="shared" si="24"/>
        <v>571821.17000000004</v>
      </c>
      <c r="H309" s="10">
        <f>+'A) Base RI'!E309</f>
        <v>0</v>
      </c>
      <c r="I309" s="10">
        <f>+'A) Base RI'!F309</f>
        <v>1340</v>
      </c>
      <c r="J309" s="10">
        <f>+'A) Base RI'!G309+'A) Base RI'!H309+'A) Base RI'!X309</f>
        <v>890.89999999999986</v>
      </c>
      <c r="K309" s="10">
        <f>+'A) Base RI'!I309</f>
        <v>36203.449999999997</v>
      </c>
      <c r="L309" s="10">
        <f>+'A) Base RI'!J309</f>
        <v>-4053.08</v>
      </c>
      <c r="M309" s="10">
        <f>+'A) Base RI'!K309</f>
        <v>148</v>
      </c>
      <c r="N309" s="10">
        <f>+'A) Base RI'!Q309</f>
        <v>0</v>
      </c>
      <c r="O309" s="10">
        <f t="shared" si="25"/>
        <v>31084.5</v>
      </c>
      <c r="P309" s="10">
        <f>+'A) Base RI'!L309</f>
        <v>31084.5</v>
      </c>
      <c r="Q309" s="34">
        <f>'A) Base RI'!AS309</f>
        <v>1</v>
      </c>
      <c r="R309" s="412">
        <f t="shared" si="26"/>
        <v>637434.94000000006</v>
      </c>
      <c r="S309" s="33">
        <f>+'A) Base RI'!AN309</f>
        <v>77</v>
      </c>
      <c r="T309" s="412">
        <f t="shared" si="27"/>
        <v>604862.44000000006</v>
      </c>
      <c r="U309" s="412">
        <f t="shared" si="28"/>
        <v>8278.3758441558457</v>
      </c>
      <c r="V309" s="10">
        <f>+'A) Base RI'!O309</f>
        <v>1616.3</v>
      </c>
      <c r="W309" s="10">
        <f>+'A) Base RI'!P309</f>
        <v>12771</v>
      </c>
      <c r="X309" s="10">
        <f>+'A) Base RI'!R309</f>
        <v>32136.45</v>
      </c>
      <c r="Y309" s="412">
        <f t="shared" si="29"/>
        <v>46523.75</v>
      </c>
      <c r="Z309" s="10">
        <f>+'A) Base RI'!N309</f>
        <v>0</v>
      </c>
      <c r="AA309" s="10">
        <f>'A) Base RI'!AO309</f>
        <v>225</v>
      </c>
    </row>
    <row r="310" spans="1:27" x14ac:dyDescent="0.25">
      <c r="A310" s="8">
        <f>'A) Base RI'!A310</f>
        <v>5933</v>
      </c>
      <c r="B310" s="32" t="str">
        <f>'A) Base RI'!B310</f>
        <v>Valeyres-sous-Montagny</v>
      </c>
      <c r="C310" s="10">
        <f>'A) Base RI'!C310+'A) Base RI'!D310</f>
        <v>1459318.6600000001</v>
      </c>
      <c r="D310" s="10">
        <f>'A) Base RI'!AP310</f>
        <v>-18365.48</v>
      </c>
      <c r="E310" s="31">
        <f>'A) Base RI'!AQ310</f>
        <v>-16150.65</v>
      </c>
      <c r="F310" s="31">
        <f>'A) Base RI'!AR310</f>
        <v>-8.56</v>
      </c>
      <c r="G310" s="412">
        <f t="shared" si="24"/>
        <v>1424793.9700000002</v>
      </c>
      <c r="H310" s="10">
        <f>+'A) Base RI'!E310</f>
        <v>0</v>
      </c>
      <c r="I310" s="10">
        <f>+'A) Base RI'!F310</f>
        <v>0</v>
      </c>
      <c r="J310" s="10">
        <f>+'A) Base RI'!G310+'A) Base RI'!H310+'A) Base RI'!X310</f>
        <v>34199.699999999997</v>
      </c>
      <c r="K310" s="10">
        <f>+'A) Base RI'!I310</f>
        <v>0</v>
      </c>
      <c r="L310" s="10">
        <f>+'A) Base RI'!J310</f>
        <v>13084.2</v>
      </c>
      <c r="M310" s="10">
        <f>+'A) Base RI'!K310</f>
        <v>2972.55</v>
      </c>
      <c r="N310" s="10">
        <f>+'A) Base RI'!Q310</f>
        <v>380.35</v>
      </c>
      <c r="O310" s="10">
        <f t="shared" si="25"/>
        <v>118335.45</v>
      </c>
      <c r="P310" s="10">
        <f>+'A) Base RI'!L310</f>
        <v>118335.45</v>
      </c>
      <c r="Q310" s="34">
        <f>'A) Base RI'!AS310</f>
        <v>1</v>
      </c>
      <c r="R310" s="412">
        <f t="shared" si="26"/>
        <v>1593766.2200000002</v>
      </c>
      <c r="S310" s="33">
        <f>+'A) Base RI'!AN310</f>
        <v>72</v>
      </c>
      <c r="T310" s="412">
        <f t="shared" si="27"/>
        <v>1472458.2200000002</v>
      </c>
      <c r="U310" s="412">
        <f t="shared" si="28"/>
        <v>22135.641944444447</v>
      </c>
      <c r="V310" s="10">
        <f>+'A) Base RI'!O310</f>
        <v>4212.7</v>
      </c>
      <c r="W310" s="10">
        <f>+'A) Base RI'!P310</f>
        <v>60777.7</v>
      </c>
      <c r="X310" s="10">
        <f>+'A) Base RI'!R310</f>
        <v>61084.9</v>
      </c>
      <c r="Y310" s="412">
        <f t="shared" si="29"/>
        <v>126075.29999999999</v>
      </c>
      <c r="Z310" s="10">
        <f>+'A) Base RI'!N310</f>
        <v>18184.05</v>
      </c>
      <c r="AA310" s="10">
        <f>'A) Base RI'!AO310</f>
        <v>709</v>
      </c>
    </row>
    <row r="311" spans="1:27" x14ac:dyDescent="0.25">
      <c r="A311" s="8">
        <f>'A) Base RI'!A311</f>
        <v>5934</v>
      </c>
      <c r="B311" s="32" t="str">
        <f>'A) Base RI'!B311</f>
        <v>Valeyres-sous-Ursins</v>
      </c>
      <c r="C311" s="10">
        <f>'A) Base RI'!C311+'A) Base RI'!D311</f>
        <v>562590.15</v>
      </c>
      <c r="D311" s="10">
        <f>'A) Base RI'!AP311</f>
        <v>-1327.83</v>
      </c>
      <c r="E311" s="31">
        <f>'A) Base RI'!AQ311</f>
        <v>0</v>
      </c>
      <c r="F311" s="31">
        <f>'A) Base RI'!AR311</f>
        <v>0</v>
      </c>
      <c r="G311" s="412">
        <f t="shared" si="24"/>
        <v>561262.32000000007</v>
      </c>
      <c r="H311" s="10">
        <f>+'A) Base RI'!E311</f>
        <v>0</v>
      </c>
      <c r="I311" s="10">
        <f>+'A) Base RI'!F311</f>
        <v>1380</v>
      </c>
      <c r="J311" s="10">
        <f>+'A) Base RI'!G311+'A) Base RI'!H311+'A) Base RI'!X311</f>
        <v>992.3</v>
      </c>
      <c r="K311" s="10">
        <f>+'A) Base RI'!I311</f>
        <v>0</v>
      </c>
      <c r="L311" s="10">
        <f>+'A) Base RI'!J311</f>
        <v>5881.24</v>
      </c>
      <c r="M311" s="10">
        <f>+'A) Base RI'!K311</f>
        <v>27.75</v>
      </c>
      <c r="N311" s="10">
        <f>+'A) Base RI'!Q311</f>
        <v>0</v>
      </c>
      <c r="O311" s="10">
        <f t="shared" si="25"/>
        <v>27937.5</v>
      </c>
      <c r="P311" s="10">
        <f>+'A) Base RI'!L311</f>
        <v>27937.5</v>
      </c>
      <c r="Q311" s="34">
        <f>'A) Base RI'!AS311</f>
        <v>1</v>
      </c>
      <c r="R311" s="412">
        <f t="shared" si="26"/>
        <v>597481.1100000001</v>
      </c>
      <c r="S311" s="33">
        <f>+'A) Base RI'!AN311</f>
        <v>79</v>
      </c>
      <c r="T311" s="412">
        <f t="shared" si="27"/>
        <v>568135.8600000001</v>
      </c>
      <c r="U311" s="412">
        <f t="shared" si="28"/>
        <v>7563.0520253164568</v>
      </c>
      <c r="V311" s="10">
        <f>+'A) Base RI'!O311</f>
        <v>0</v>
      </c>
      <c r="W311" s="10">
        <f>+'A) Base RI'!P311</f>
        <v>17318.400000000001</v>
      </c>
      <c r="X311" s="10">
        <f>+'A) Base RI'!R311</f>
        <v>20199.95</v>
      </c>
      <c r="Y311" s="412">
        <f t="shared" si="29"/>
        <v>37518.350000000006</v>
      </c>
      <c r="Z311" s="10">
        <f>+'A) Base RI'!N311</f>
        <v>0</v>
      </c>
      <c r="AA311" s="10">
        <f>'A) Base RI'!AO311</f>
        <v>227</v>
      </c>
    </row>
    <row r="312" spans="1:27" x14ac:dyDescent="0.25">
      <c r="A312" s="8">
        <f>'A) Base RI'!A312</f>
        <v>5935</v>
      </c>
      <c r="B312" s="32" t="str">
        <f>'A) Base RI'!B312</f>
        <v>Villars-Epeney</v>
      </c>
      <c r="C312" s="10">
        <f>'A) Base RI'!C312+'A) Base RI'!D312</f>
        <v>273525.69</v>
      </c>
      <c r="D312" s="10">
        <f>'A) Base RI'!AP312</f>
        <v>-24.33</v>
      </c>
      <c r="E312" s="31">
        <f>'A) Base RI'!AQ312</f>
        <v>0</v>
      </c>
      <c r="F312" s="31">
        <f>'A) Base RI'!AR312</f>
        <v>-503.4</v>
      </c>
      <c r="G312" s="412">
        <f t="shared" si="24"/>
        <v>272997.95999999996</v>
      </c>
      <c r="H312" s="10">
        <f>+'A) Base RI'!E312</f>
        <v>0</v>
      </c>
      <c r="I312" s="10">
        <f>+'A) Base RI'!F312</f>
        <v>0</v>
      </c>
      <c r="J312" s="10">
        <f>+'A) Base RI'!G312+'A) Base RI'!H312+'A) Base RI'!X312</f>
        <v>-181.30000000000007</v>
      </c>
      <c r="K312" s="10">
        <f>+'A) Base RI'!I312</f>
        <v>0</v>
      </c>
      <c r="L312" s="10">
        <f>+'A) Base RI'!J312</f>
        <v>0</v>
      </c>
      <c r="M312" s="10">
        <f>+'A) Base RI'!K312</f>
        <v>0</v>
      </c>
      <c r="N312" s="10">
        <f>+'A) Base RI'!Q312</f>
        <v>0</v>
      </c>
      <c r="O312" s="10">
        <f t="shared" si="25"/>
        <v>18717.95</v>
      </c>
      <c r="P312" s="10">
        <f>+'A) Base RI'!L312</f>
        <v>18717.95</v>
      </c>
      <c r="Q312" s="34">
        <f>'A) Base RI'!AS312</f>
        <v>1</v>
      </c>
      <c r="R312" s="412">
        <f t="shared" si="26"/>
        <v>291534.61</v>
      </c>
      <c r="S312" s="33">
        <f>+'A) Base RI'!AN312</f>
        <v>60</v>
      </c>
      <c r="T312" s="412">
        <f t="shared" si="27"/>
        <v>272816.65999999997</v>
      </c>
      <c r="U312" s="412">
        <f t="shared" si="28"/>
        <v>4858.9101666666666</v>
      </c>
      <c r="V312" s="10">
        <f>+'A) Base RI'!O312</f>
        <v>0</v>
      </c>
      <c r="W312" s="10">
        <f>+'A) Base RI'!P312</f>
        <v>1100</v>
      </c>
      <c r="X312" s="10">
        <f>+'A) Base RI'!R312</f>
        <v>0</v>
      </c>
      <c r="Y312" s="412">
        <f t="shared" si="29"/>
        <v>1100</v>
      </c>
      <c r="Z312" s="10">
        <f>+'A) Base RI'!N312</f>
        <v>0</v>
      </c>
      <c r="AA312" s="10">
        <f>'A) Base RI'!AO312</f>
        <v>102</v>
      </c>
    </row>
    <row r="313" spans="1:27" x14ac:dyDescent="0.25">
      <c r="A313" s="8">
        <f>'A) Base RI'!A313</f>
        <v>5937</v>
      </c>
      <c r="B313" s="32" t="str">
        <f>'A) Base RI'!B313</f>
        <v>Vugelles-La Mothe</v>
      </c>
      <c r="C313" s="10">
        <f>'A) Base RI'!C313+'A) Base RI'!D313</f>
        <v>187098.18</v>
      </c>
      <c r="D313" s="10">
        <f>'A) Base RI'!AP313</f>
        <v>-12474.27</v>
      </c>
      <c r="E313" s="31">
        <f>'A) Base RI'!AQ313</f>
        <v>0</v>
      </c>
      <c r="F313" s="31">
        <f>'A) Base RI'!AR313</f>
        <v>-101.94</v>
      </c>
      <c r="G313" s="412">
        <f t="shared" si="24"/>
        <v>174521.97</v>
      </c>
      <c r="H313" s="10">
        <f>+'A) Base RI'!E313</f>
        <v>0</v>
      </c>
      <c r="I313" s="10">
        <f>+'A) Base RI'!F313</f>
        <v>0</v>
      </c>
      <c r="J313" s="10">
        <f>+'A) Base RI'!G313+'A) Base RI'!H313+'A) Base RI'!X313</f>
        <v>18750.95</v>
      </c>
      <c r="K313" s="10">
        <f>+'A) Base RI'!I313</f>
        <v>0</v>
      </c>
      <c r="L313" s="10">
        <f>+'A) Base RI'!J313</f>
        <v>-679.96</v>
      </c>
      <c r="M313" s="10">
        <f>+'A) Base RI'!K313</f>
        <v>0</v>
      </c>
      <c r="N313" s="10">
        <f>+'A) Base RI'!Q313</f>
        <v>0</v>
      </c>
      <c r="O313" s="10">
        <f t="shared" si="25"/>
        <v>16314.214285714288</v>
      </c>
      <c r="P313" s="10">
        <f>+'A) Base RI'!L313</f>
        <v>11419.95</v>
      </c>
      <c r="Q313" s="34">
        <f>'A) Base RI'!AS313</f>
        <v>0.7</v>
      </c>
      <c r="R313" s="412">
        <f t="shared" si="26"/>
        <v>208907.17428571431</v>
      </c>
      <c r="S313" s="33">
        <f>+'A) Base RI'!AN313</f>
        <v>70</v>
      </c>
      <c r="T313" s="412">
        <f t="shared" si="27"/>
        <v>192592.96000000002</v>
      </c>
      <c r="U313" s="412">
        <f t="shared" si="28"/>
        <v>2984.3882040816329</v>
      </c>
      <c r="V313" s="10">
        <f>+'A) Base RI'!O313</f>
        <v>9.4</v>
      </c>
      <c r="W313" s="10">
        <f>+'A) Base RI'!P313</f>
        <v>9625</v>
      </c>
      <c r="X313" s="10">
        <f>+'A) Base RI'!R313</f>
        <v>23502.6</v>
      </c>
      <c r="Y313" s="412">
        <f t="shared" si="29"/>
        <v>33137</v>
      </c>
      <c r="Z313" s="10">
        <f>+'A) Base RI'!N313</f>
        <v>2191.85</v>
      </c>
      <c r="AA313" s="10">
        <f>'A) Base RI'!AO313</f>
        <v>135</v>
      </c>
    </row>
    <row r="314" spans="1:27" x14ac:dyDescent="0.25">
      <c r="A314" s="8">
        <f>'A) Base RI'!A314</f>
        <v>5938</v>
      </c>
      <c r="B314" s="32" t="str">
        <f>'A) Base RI'!B314</f>
        <v>Yverdon-les-Bains</v>
      </c>
      <c r="C314" s="10">
        <f>'A) Base RI'!C314+'A) Base RI'!D314</f>
        <v>49575280.729999997</v>
      </c>
      <c r="D314" s="10">
        <f>'A) Base RI'!AP314</f>
        <v>-1607195.06</v>
      </c>
      <c r="E314" s="31">
        <f>'A) Base RI'!AQ314</f>
        <v>0</v>
      </c>
      <c r="F314" s="31">
        <f>'A) Base RI'!AR314</f>
        <v>-37674.81</v>
      </c>
      <c r="G314" s="412">
        <f t="shared" si="24"/>
        <v>47930410.859999992</v>
      </c>
      <c r="H314" s="10">
        <f>+'A) Base RI'!E314</f>
        <v>0</v>
      </c>
      <c r="I314" s="10">
        <f>+'A) Base RI'!F314</f>
        <v>0</v>
      </c>
      <c r="J314" s="10">
        <f>+'A) Base RI'!G314+'A) Base RI'!H314+'A) Base RI'!X314</f>
        <v>5337639.25</v>
      </c>
      <c r="K314" s="10">
        <f>+'A) Base RI'!I314</f>
        <v>-6800.46000000001</v>
      </c>
      <c r="L314" s="10">
        <f>+'A) Base RI'!J314</f>
        <v>1833664.44</v>
      </c>
      <c r="M314" s="10">
        <f>+'A) Base RI'!K314</f>
        <v>703447.75</v>
      </c>
      <c r="N314" s="10">
        <f>+'A) Base RI'!Q314</f>
        <v>323949.44</v>
      </c>
      <c r="O314" s="10">
        <f t="shared" si="25"/>
        <v>4191995.7</v>
      </c>
      <c r="P314" s="10">
        <f>+'A) Base RI'!L314</f>
        <v>4191995.7</v>
      </c>
      <c r="Q314" s="34">
        <f>'A) Base RI'!AS314</f>
        <v>1</v>
      </c>
      <c r="R314" s="412">
        <f t="shared" si="26"/>
        <v>60314306.979999989</v>
      </c>
      <c r="S314" s="33">
        <f>+'A) Base RI'!AN314</f>
        <v>76.5</v>
      </c>
      <c r="T314" s="412">
        <f t="shared" si="27"/>
        <v>55418863.529999986</v>
      </c>
      <c r="U314" s="412">
        <f t="shared" si="28"/>
        <v>788422.31346405216</v>
      </c>
      <c r="V314" s="10">
        <f>+'A) Base RI'!O314</f>
        <v>844988.1</v>
      </c>
      <c r="W314" s="10">
        <f>+'A) Base RI'!P314</f>
        <v>2004716.3</v>
      </c>
      <c r="X314" s="10">
        <f>+'A) Base RI'!R314</f>
        <v>1001332.95</v>
      </c>
      <c r="Y314" s="412">
        <f t="shared" si="29"/>
        <v>3851037.3499999996</v>
      </c>
      <c r="Z314" s="10">
        <f>+'A) Base RI'!N314</f>
        <v>4210979.75</v>
      </c>
      <c r="AA314" s="10">
        <f>'A) Base RI'!AO314</f>
        <v>30189</v>
      </c>
    </row>
    <row r="315" spans="1:27" x14ac:dyDescent="0.25">
      <c r="A315" s="8">
        <f>'A) Base RI'!A315</f>
        <v>5939</v>
      </c>
      <c r="B315" s="32" t="str">
        <f>'A) Base RI'!B315</f>
        <v>Yvonand</v>
      </c>
      <c r="C315" s="10">
        <f>'A) Base RI'!C315+'A) Base RI'!D315</f>
        <v>6032056.9799999995</v>
      </c>
      <c r="D315" s="10">
        <f>'A) Base RI'!AP315</f>
        <v>-123010.34</v>
      </c>
      <c r="E315" s="31">
        <f>'A) Base RI'!AQ315</f>
        <v>0</v>
      </c>
      <c r="F315" s="31">
        <f>'A) Base RI'!AR315</f>
        <v>-373.19</v>
      </c>
      <c r="G315" s="412">
        <f t="shared" si="24"/>
        <v>5908673.4499999993</v>
      </c>
      <c r="H315" s="10">
        <f>+'A) Base RI'!E315</f>
        <v>0</v>
      </c>
      <c r="I315" s="10">
        <f>+'A) Base RI'!F315</f>
        <v>0</v>
      </c>
      <c r="J315" s="10">
        <f>+'A) Base RI'!G315+'A) Base RI'!H315+'A) Base RI'!X315</f>
        <v>306347.7</v>
      </c>
      <c r="K315" s="10">
        <f>+'A) Base RI'!I315</f>
        <v>0</v>
      </c>
      <c r="L315" s="10">
        <f>+'A) Base RI'!J315</f>
        <v>100315.72</v>
      </c>
      <c r="M315" s="10">
        <f>+'A) Base RI'!K315</f>
        <v>42149.599999999999</v>
      </c>
      <c r="N315" s="10">
        <f>+'A) Base RI'!Q315</f>
        <v>27503.32</v>
      </c>
      <c r="O315" s="10">
        <f t="shared" si="25"/>
        <v>558972</v>
      </c>
      <c r="P315" s="10">
        <f>+'A) Base RI'!L315</f>
        <v>558972</v>
      </c>
      <c r="Q315" s="34">
        <f>'A) Base RI'!AS315</f>
        <v>1</v>
      </c>
      <c r="R315" s="412">
        <f t="shared" si="26"/>
        <v>6943961.7899999991</v>
      </c>
      <c r="S315" s="33">
        <f>+'A) Base RI'!AN315</f>
        <v>73</v>
      </c>
      <c r="T315" s="412">
        <f t="shared" si="27"/>
        <v>6342840.1899999995</v>
      </c>
      <c r="U315" s="412">
        <f t="shared" si="28"/>
        <v>95122.764246575331</v>
      </c>
      <c r="V315" s="10">
        <f>+'A) Base RI'!O315</f>
        <v>377824.8</v>
      </c>
      <c r="W315" s="10">
        <f>+'A) Base RI'!P315</f>
        <v>709824.7</v>
      </c>
      <c r="X315" s="10">
        <f>+'A) Base RI'!R315</f>
        <v>136903.95000000001</v>
      </c>
      <c r="Y315" s="412">
        <f t="shared" si="29"/>
        <v>1224553.45</v>
      </c>
      <c r="Z315" s="10">
        <f>+'A) Base RI'!N315</f>
        <v>140392.6</v>
      </c>
      <c r="AA315" s="10">
        <f>'A) Base RI'!AO315</f>
        <v>3434</v>
      </c>
    </row>
    <row r="316" spans="1:27" x14ac:dyDescent="0.25">
      <c r="A316" s="7"/>
      <c r="B316" s="24">
        <f>COUNTA(B7:B315)</f>
        <v>309</v>
      </c>
      <c r="C316" s="11">
        <f t="shared" ref="C316:P316" si="30">SUM(C7:C315)</f>
        <v>2031862159.1800001</v>
      </c>
      <c r="D316" s="11">
        <f t="shared" si="30"/>
        <v>-38167616.669999994</v>
      </c>
      <c r="E316" s="11">
        <f t="shared" si="30"/>
        <v>-53718.3</v>
      </c>
      <c r="F316" s="11">
        <f t="shared" si="30"/>
        <v>-5688037.7500000037</v>
      </c>
      <c r="G316" s="38">
        <f t="shared" si="30"/>
        <v>1987952786.46</v>
      </c>
      <c r="H316" s="11">
        <f t="shared" si="30"/>
        <v>0</v>
      </c>
      <c r="I316" s="11">
        <f t="shared" si="30"/>
        <v>114038.2</v>
      </c>
      <c r="J316" s="11">
        <f t="shared" si="30"/>
        <v>284871430.06999981</v>
      </c>
      <c r="K316" s="11">
        <f t="shared" si="30"/>
        <v>44263557.479999997</v>
      </c>
      <c r="L316" s="11">
        <f t="shared" si="30"/>
        <v>74423976.749999985</v>
      </c>
      <c r="M316" s="11">
        <f t="shared" si="30"/>
        <v>17911764.599999994</v>
      </c>
      <c r="N316" s="11">
        <f t="shared" si="30"/>
        <v>9327675.4499999881</v>
      </c>
      <c r="O316" s="11">
        <f t="shared" si="30"/>
        <v>171517995.52320918</v>
      </c>
      <c r="P316" s="11">
        <f t="shared" si="30"/>
        <v>202920919.8000001</v>
      </c>
      <c r="Q316" s="35"/>
      <c r="R316" s="38">
        <f>SUM(R7:R315)</f>
        <v>2590383224.5332093</v>
      </c>
      <c r="S316" s="494">
        <f>R316/U316</f>
        <v>68.191890899218393</v>
      </c>
      <c r="T316" s="38">
        <f t="shared" ref="T316:Z316" si="31">SUM(T7:T315)</f>
        <v>2400839426.2100005</v>
      </c>
      <c r="U316" s="38">
        <f t="shared" si="31"/>
        <v>37986675.400474928</v>
      </c>
      <c r="V316" s="11">
        <f t="shared" si="31"/>
        <v>85741413.290000021</v>
      </c>
      <c r="W316" s="11">
        <f t="shared" si="31"/>
        <v>90612189.349999979</v>
      </c>
      <c r="X316" s="11">
        <f t="shared" si="31"/>
        <v>62623917.230000004</v>
      </c>
      <c r="Y316" s="38">
        <f t="shared" si="31"/>
        <v>238977519.87000009</v>
      </c>
      <c r="Z316" s="11">
        <f t="shared" si="31"/>
        <v>71803023.849999994</v>
      </c>
      <c r="AA316" s="11">
        <f>SUM(AA7:AA315)</f>
        <v>806088</v>
      </c>
    </row>
    <row r="317" spans="1:27" x14ac:dyDescent="0.25">
      <c r="C317" s="6"/>
      <c r="E317" s="6"/>
      <c r="G317" s="6"/>
      <c r="I317" s="6"/>
      <c r="J317" s="6"/>
      <c r="K317" s="6"/>
      <c r="L317" s="6"/>
      <c r="M317" s="6"/>
      <c r="N317" s="6"/>
      <c r="O317" s="6"/>
      <c r="P317" s="6"/>
      <c r="Q317" s="6"/>
      <c r="R317" s="6"/>
      <c r="S317" s="369"/>
      <c r="T317" s="6"/>
      <c r="U317" s="6"/>
      <c r="V317" s="6"/>
      <c r="W317" s="6"/>
      <c r="X317" s="6"/>
      <c r="Y317" s="6"/>
      <c r="Z317" s="6"/>
    </row>
    <row r="318" spans="1:27" x14ac:dyDescent="0.25">
      <c r="C318" s="6"/>
      <c r="D318" s="464"/>
      <c r="E318" s="464"/>
      <c r="F318" s="464"/>
      <c r="G318" s="464"/>
      <c r="H318" s="464"/>
      <c r="I318" s="464"/>
      <c r="J318" s="464"/>
      <c r="K318" s="464"/>
      <c r="L318" s="464"/>
      <c r="M318" s="464"/>
      <c r="N318" s="464"/>
      <c r="O318" s="464"/>
      <c r="P318" s="464"/>
      <c r="Q318" s="464"/>
      <c r="R318" s="464"/>
      <c r="S318" s="464"/>
      <c r="T318" s="464"/>
      <c r="U318" s="464"/>
      <c r="V318" s="464"/>
      <c r="W318" s="464"/>
      <c r="X318" s="464"/>
      <c r="Y318" s="464"/>
      <c r="Z318" s="464"/>
      <c r="AA318" s="464"/>
    </row>
    <row r="319" spans="1:27" x14ac:dyDescent="0.25">
      <c r="C319" s="6"/>
      <c r="J319" s="6"/>
      <c r="R319" s="6"/>
      <c r="T319" s="6"/>
    </row>
    <row r="320" spans="1:27" x14ac:dyDescent="0.25">
      <c r="C320" s="6"/>
      <c r="G320" s="6"/>
      <c r="J320" s="36"/>
      <c r="R320" s="6"/>
      <c r="T320" s="6"/>
    </row>
    <row r="321" spans="1:18" x14ac:dyDescent="0.25">
      <c r="G321" s="6"/>
      <c r="R321" s="6"/>
    </row>
    <row r="322" spans="1:18" x14ac:dyDescent="0.25">
      <c r="G322" s="6"/>
      <c r="R322" s="36"/>
    </row>
    <row r="323" spans="1:18" x14ac:dyDescent="0.25">
      <c r="G323" s="6"/>
      <c r="R323" s="36"/>
    </row>
    <row r="324" spans="1:18" x14ac:dyDescent="0.25">
      <c r="G324" s="36"/>
    </row>
    <row r="325" spans="1:18" s="6" customFormat="1" x14ac:dyDescent="0.25">
      <c r="A325" s="5"/>
    </row>
  </sheetData>
  <mergeCells count="27">
    <mergeCell ref="Q4:Q6"/>
    <mergeCell ref="O4:O6"/>
    <mergeCell ref="V4:V5"/>
    <mergeCell ref="U4:U5"/>
    <mergeCell ref="Z4:Z5"/>
    <mergeCell ref="X4:X5"/>
    <mergeCell ref="P4:P5"/>
    <mergeCell ref="R4:R6"/>
    <mergeCell ref="AA4:AA5"/>
    <mergeCell ref="S4:S5"/>
    <mergeCell ref="W4:W5"/>
    <mergeCell ref="Y4:Y6"/>
    <mergeCell ref="T4:T6"/>
    <mergeCell ref="A4:A6"/>
    <mergeCell ref="B4:B6"/>
    <mergeCell ref="N4:N6"/>
    <mergeCell ref="C4:C5"/>
    <mergeCell ref="H4:H5"/>
    <mergeCell ref="I4:I5"/>
    <mergeCell ref="J4:J5"/>
    <mergeCell ref="G4:G5"/>
    <mergeCell ref="K4:K5"/>
    <mergeCell ref="L4:L5"/>
    <mergeCell ref="M4:M5"/>
    <mergeCell ref="D4:D6"/>
    <mergeCell ref="E4:E6"/>
    <mergeCell ref="F4:F6"/>
  </mergeCells>
  <phoneticPr fontId="0" type="noConversion"/>
  <pageMargins left="0" right="0" top="0" bottom="0" header="0.51181102362204722" footer="0.51181102362204722"/>
  <pageSetup paperSize="8" orientation="landscape"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00B050"/>
  </sheetPr>
  <dimension ref="A1:H332"/>
  <sheetViews>
    <sheetView workbookViewId="0"/>
  </sheetViews>
  <sheetFormatPr baseColWidth="10" defaultColWidth="11" defaultRowHeight="15" x14ac:dyDescent="0.25"/>
  <cols>
    <col min="1" max="1" width="7.25" style="13" customWidth="1"/>
    <col min="2" max="2" width="17.375" style="13" bestFit="1" customWidth="1"/>
    <col min="3" max="3" width="18" style="6" customWidth="1"/>
    <col min="4" max="4" width="14.625" style="6" bestFit="1" customWidth="1"/>
    <col min="5" max="5" width="10.75" style="6" bestFit="1" customWidth="1"/>
    <col min="6" max="6" width="11.25" style="6" bestFit="1" customWidth="1"/>
    <col min="7" max="7" width="13" style="28" bestFit="1" customWidth="1"/>
    <col min="8" max="8" width="12.25" style="6" bestFit="1" customWidth="1"/>
    <col min="9" max="16384" width="11" style="13"/>
  </cols>
  <sheetData>
    <row r="1" spans="1:8" ht="21" x14ac:dyDescent="0.25">
      <c r="A1" s="51" t="s">
        <v>436</v>
      </c>
      <c r="B1" s="42"/>
      <c r="C1" s="44"/>
      <c r="D1" s="44"/>
      <c r="E1" s="44"/>
      <c r="F1" s="44"/>
      <c r="G1" s="52"/>
      <c r="H1" s="44"/>
    </row>
    <row r="3" spans="1:8" ht="60" x14ac:dyDescent="0.25">
      <c r="A3" s="559" t="s">
        <v>46</v>
      </c>
      <c r="B3" s="559" t="s">
        <v>96</v>
      </c>
      <c r="C3" s="287" t="s">
        <v>425</v>
      </c>
      <c r="D3" s="287" t="s">
        <v>194</v>
      </c>
      <c r="E3" s="556" t="s">
        <v>138</v>
      </c>
      <c r="F3" s="556" t="s">
        <v>371</v>
      </c>
      <c r="G3" s="563" t="s">
        <v>289</v>
      </c>
      <c r="H3" s="556" t="s">
        <v>422</v>
      </c>
    </row>
    <row r="4" spans="1:8" x14ac:dyDescent="0.25">
      <c r="A4" s="561"/>
      <c r="B4" s="561"/>
      <c r="C4" s="286">
        <f>Paramètres!B11</f>
        <v>0.5</v>
      </c>
      <c r="D4" s="382">
        <f>Paramètres!B12</f>
        <v>0.3</v>
      </c>
      <c r="E4" s="558"/>
      <c r="F4" s="558"/>
      <c r="G4" s="564"/>
      <c r="H4" s="558"/>
    </row>
    <row r="5" spans="1:8" x14ac:dyDescent="0.25">
      <c r="A5" s="46">
        <f>'A) Base RI'!A7</f>
        <v>5401</v>
      </c>
      <c r="B5" s="55" t="str">
        <f>'A) Base RI'!B7</f>
        <v>Aigle</v>
      </c>
      <c r="C5" s="31">
        <f>'B) D RI'!Y7</f>
        <v>1626903</v>
      </c>
      <c r="D5" s="14">
        <f>'B) D RI'!Z7</f>
        <v>1052253.75</v>
      </c>
      <c r="E5" s="10">
        <f>C5+D5</f>
        <v>2679156.75</v>
      </c>
      <c r="F5" s="14">
        <f>'B) D RI'!U7</f>
        <v>277789.63254320994</v>
      </c>
      <c r="G5" s="256">
        <f>E5/F5</f>
        <v>9.6445526979242455</v>
      </c>
      <c r="H5" s="57">
        <f>(C5*$C$4)+(D5*$D$4)</f>
        <v>1129127.625</v>
      </c>
    </row>
    <row r="6" spans="1:8" x14ac:dyDescent="0.25">
      <c r="A6" s="49">
        <f>'A) Base RI'!A8</f>
        <v>5402</v>
      </c>
      <c r="B6" s="56" t="str">
        <f>'A) Base RI'!B8</f>
        <v>Bex</v>
      </c>
      <c r="C6" s="31">
        <f>'B) D RI'!Y8</f>
        <v>1138949.8500000001</v>
      </c>
      <c r="D6" s="14">
        <f>'B) D RI'!Z8</f>
        <v>217296.4</v>
      </c>
      <c r="E6" s="10">
        <f t="shared" ref="E6:E69" si="0">C6+D6</f>
        <v>1356246.25</v>
      </c>
      <c r="F6" s="14">
        <f>'B) D RI'!U8</f>
        <v>185729.53788732394</v>
      </c>
      <c r="G6" s="256">
        <f t="shared" ref="G6:G69" si="1">E6/F6</f>
        <v>7.3022647093581332</v>
      </c>
      <c r="H6" s="57">
        <f t="shared" ref="H6:H69" si="2">(C6*$C$4)+(D6*$D$4)</f>
        <v>634663.84500000009</v>
      </c>
    </row>
    <row r="7" spans="1:8" x14ac:dyDescent="0.25">
      <c r="A7" s="49">
        <f>'A) Base RI'!A9</f>
        <v>5403</v>
      </c>
      <c r="B7" s="56" t="str">
        <f>'A) Base RI'!B9</f>
        <v>Chessel</v>
      </c>
      <c r="C7" s="31">
        <f>'B) D RI'!Y9</f>
        <v>94829.75</v>
      </c>
      <c r="D7" s="14">
        <f>'B) D RI'!Z9</f>
        <v>8065.6</v>
      </c>
      <c r="E7" s="10">
        <f t="shared" si="0"/>
        <v>102895.35</v>
      </c>
      <c r="F7" s="14">
        <f>'B) D RI'!U9</f>
        <v>10653.993243243245</v>
      </c>
      <c r="G7" s="256">
        <f t="shared" si="1"/>
        <v>9.6579139530857283</v>
      </c>
      <c r="H7" s="57">
        <f t="shared" si="2"/>
        <v>49834.555</v>
      </c>
    </row>
    <row r="8" spans="1:8" x14ac:dyDescent="0.25">
      <c r="A8" s="49">
        <f>'A) Base RI'!A10</f>
        <v>5404</v>
      </c>
      <c r="B8" s="56" t="str">
        <f>'A) Base RI'!B10</f>
        <v>Corbeyrier</v>
      </c>
      <c r="C8" s="31">
        <f>'B) D RI'!Y10</f>
        <v>174432.75</v>
      </c>
      <c r="D8" s="14">
        <f>'B) D RI'!Z10</f>
        <v>27352.35</v>
      </c>
      <c r="E8" s="10">
        <f t="shared" si="0"/>
        <v>201785.1</v>
      </c>
      <c r="F8" s="14">
        <f>'B) D RI'!U10</f>
        <v>14595.552612612611</v>
      </c>
      <c r="G8" s="256">
        <f t="shared" si="1"/>
        <v>13.825108603673511</v>
      </c>
      <c r="H8" s="57">
        <f t="shared" si="2"/>
        <v>95422.080000000002</v>
      </c>
    </row>
    <row r="9" spans="1:8" x14ac:dyDescent="0.25">
      <c r="A9" s="49">
        <f>'A) Base RI'!A11</f>
        <v>5405</v>
      </c>
      <c r="B9" s="56" t="str">
        <f>'A) Base RI'!B11</f>
        <v>Gryon</v>
      </c>
      <c r="C9" s="31">
        <f>'B) D RI'!Y11</f>
        <v>626771.89999999991</v>
      </c>
      <c r="D9" s="14">
        <f>'B) D RI'!Z11</f>
        <v>0</v>
      </c>
      <c r="E9" s="10">
        <f t="shared" si="0"/>
        <v>626771.89999999991</v>
      </c>
      <c r="F9" s="14">
        <f>'B) D RI'!U11</f>
        <v>65705.555822222203</v>
      </c>
      <c r="G9" s="256">
        <f t="shared" si="1"/>
        <v>9.5391004939649271</v>
      </c>
      <c r="H9" s="57">
        <f t="shared" si="2"/>
        <v>313385.94999999995</v>
      </c>
    </row>
    <row r="10" spans="1:8" x14ac:dyDescent="0.25">
      <c r="A10" s="49">
        <f>'A) Base RI'!A12</f>
        <v>5406</v>
      </c>
      <c r="B10" s="56" t="str">
        <f>'A) Base RI'!B12</f>
        <v>Lavey-Morcles</v>
      </c>
      <c r="C10" s="31">
        <f>'B) D RI'!Y12</f>
        <v>40425.5</v>
      </c>
      <c r="D10" s="14">
        <f>'B) D RI'!Z12</f>
        <v>3939</v>
      </c>
      <c r="E10" s="10">
        <f t="shared" si="0"/>
        <v>44364.5</v>
      </c>
      <c r="F10" s="14">
        <f>'B) D RI'!U12</f>
        <v>24857.219750812561</v>
      </c>
      <c r="G10" s="256">
        <f t="shared" si="1"/>
        <v>1.7847732145727908</v>
      </c>
      <c r="H10" s="57">
        <f t="shared" si="2"/>
        <v>21394.45</v>
      </c>
    </row>
    <row r="11" spans="1:8" x14ac:dyDescent="0.25">
      <c r="A11" s="49">
        <f>'A) Base RI'!A13</f>
        <v>5407</v>
      </c>
      <c r="B11" s="56" t="str">
        <f>'A) Base RI'!B13</f>
        <v>Leysin</v>
      </c>
      <c r="C11" s="31">
        <f>'B) D RI'!Y13</f>
        <v>768231.9</v>
      </c>
      <c r="D11" s="14">
        <f>'B) D RI'!Z13</f>
        <v>51426.35</v>
      </c>
      <c r="E11" s="10">
        <f t="shared" si="0"/>
        <v>819658.25</v>
      </c>
      <c r="F11" s="14">
        <f>'B) D RI'!U13</f>
        <v>90593.766196581171</v>
      </c>
      <c r="G11" s="256">
        <f t="shared" si="1"/>
        <v>9.047623080614704</v>
      </c>
      <c r="H11" s="57">
        <f t="shared" si="2"/>
        <v>399543.85499999998</v>
      </c>
    </row>
    <row r="12" spans="1:8" x14ac:dyDescent="0.25">
      <c r="A12" s="49">
        <f>'A) Base RI'!A14</f>
        <v>5408</v>
      </c>
      <c r="B12" s="56" t="str">
        <f>'A) Base RI'!B14</f>
        <v>Noville</v>
      </c>
      <c r="C12" s="31">
        <f>'B) D RI'!Y14</f>
        <v>644634.94999999995</v>
      </c>
      <c r="D12" s="14">
        <f>'B) D RI'!Z14</f>
        <v>100718.3</v>
      </c>
      <c r="E12" s="10">
        <f t="shared" si="0"/>
        <v>745353.25</v>
      </c>
      <c r="F12" s="14">
        <f>'B) D RI'!U14</f>
        <v>28671.623864118894</v>
      </c>
      <c r="G12" s="256">
        <f t="shared" si="1"/>
        <v>25.996199361863574</v>
      </c>
      <c r="H12" s="57">
        <f t="shared" si="2"/>
        <v>352532.96499999997</v>
      </c>
    </row>
    <row r="13" spans="1:8" x14ac:dyDescent="0.25">
      <c r="A13" s="49">
        <f>'A) Base RI'!A15</f>
        <v>5409</v>
      </c>
      <c r="B13" s="56" t="str">
        <f>'A) Base RI'!B15</f>
        <v>Ollon</v>
      </c>
      <c r="C13" s="31">
        <f>'B) D RI'!Y15</f>
        <v>3097270.4</v>
      </c>
      <c r="D13" s="14">
        <f>'B) D RI'!Z15</f>
        <v>57026.45</v>
      </c>
      <c r="E13" s="10">
        <f t="shared" si="0"/>
        <v>3154296.85</v>
      </c>
      <c r="F13" s="14">
        <f>'B) D RI'!U15</f>
        <v>399776.03154977376</v>
      </c>
      <c r="G13" s="256">
        <f t="shared" si="1"/>
        <v>7.8901599922637615</v>
      </c>
      <c r="H13" s="57">
        <f t="shared" si="2"/>
        <v>1565743.135</v>
      </c>
    </row>
    <row r="14" spans="1:8" x14ac:dyDescent="0.25">
      <c r="A14" s="49">
        <f>'A) Base RI'!A16</f>
        <v>5410</v>
      </c>
      <c r="B14" s="56" t="str">
        <f>'A) Base RI'!B16</f>
        <v>Ormont-Dessous</v>
      </c>
      <c r="C14" s="31">
        <f>'B) D RI'!Y16</f>
        <v>367474.1</v>
      </c>
      <c r="D14" s="14">
        <f>'B) D RI'!Z16</f>
        <v>3078.55</v>
      </c>
      <c r="E14" s="10">
        <f t="shared" si="0"/>
        <v>370552.64999999997</v>
      </c>
      <c r="F14" s="14">
        <f>'B) D RI'!U16</f>
        <v>38431.903864118896</v>
      </c>
      <c r="G14" s="256">
        <f t="shared" si="1"/>
        <v>9.6417979007789487</v>
      </c>
      <c r="H14" s="57">
        <f t="shared" si="2"/>
        <v>184660.61499999999</v>
      </c>
    </row>
    <row r="15" spans="1:8" x14ac:dyDescent="0.25">
      <c r="A15" s="49">
        <f>'A) Base RI'!A17</f>
        <v>5411</v>
      </c>
      <c r="B15" s="56" t="str">
        <f>'A) Base RI'!B17</f>
        <v>Ormont-Dessus</v>
      </c>
      <c r="C15" s="31">
        <f>'B) D RI'!Y17</f>
        <v>706517.8</v>
      </c>
      <c r="D15" s="14">
        <f>'B) D RI'!Z17</f>
        <v>10235.85</v>
      </c>
      <c r="E15" s="10">
        <f t="shared" si="0"/>
        <v>716753.65</v>
      </c>
      <c r="F15" s="14">
        <f>'B) D RI'!U17</f>
        <v>73250.08368421052</v>
      </c>
      <c r="G15" s="256">
        <f t="shared" si="1"/>
        <v>9.7850215856408695</v>
      </c>
      <c r="H15" s="57">
        <f t="shared" si="2"/>
        <v>356329.65500000003</v>
      </c>
    </row>
    <row r="16" spans="1:8" x14ac:dyDescent="0.25">
      <c r="A16" s="49">
        <f>'A) Base RI'!A18</f>
        <v>5412</v>
      </c>
      <c r="B16" s="56" t="str">
        <f>'A) Base RI'!B18</f>
        <v>Rennaz</v>
      </c>
      <c r="C16" s="31">
        <f>'B) D RI'!Y18</f>
        <v>65132.549999999996</v>
      </c>
      <c r="D16" s="14">
        <f>'B) D RI'!Z18</f>
        <v>87891.6</v>
      </c>
      <c r="E16" s="10">
        <f t="shared" si="0"/>
        <v>153024.15</v>
      </c>
      <c r="F16" s="14">
        <f>'B) D RI'!U18</f>
        <v>24302.490518518523</v>
      </c>
      <c r="G16" s="256">
        <f t="shared" si="1"/>
        <v>6.2966447773488659</v>
      </c>
      <c r="H16" s="57">
        <f t="shared" si="2"/>
        <v>58933.754999999997</v>
      </c>
    </row>
    <row r="17" spans="1:8" x14ac:dyDescent="0.25">
      <c r="A17" s="49">
        <f>'A) Base RI'!A19</f>
        <v>5413</v>
      </c>
      <c r="B17" s="56" t="str">
        <f>'A) Base RI'!B19</f>
        <v>Roche</v>
      </c>
      <c r="C17" s="31">
        <f>'B) D RI'!Y19</f>
        <v>394637.55000000005</v>
      </c>
      <c r="D17" s="14">
        <f>'B) D RI'!Z19</f>
        <v>244007.9</v>
      </c>
      <c r="E17" s="10">
        <f t="shared" si="0"/>
        <v>638645.45000000007</v>
      </c>
      <c r="F17" s="14">
        <f>'B) D RI'!U19</f>
        <v>45084.327818627447</v>
      </c>
      <c r="G17" s="256">
        <f t="shared" si="1"/>
        <v>14.16557550928222</v>
      </c>
      <c r="H17" s="57">
        <f t="shared" si="2"/>
        <v>270521.14500000002</v>
      </c>
    </row>
    <row r="18" spans="1:8" x14ac:dyDescent="0.25">
      <c r="A18" s="49">
        <f>'A) Base RI'!A20</f>
        <v>5414</v>
      </c>
      <c r="B18" s="56" t="str">
        <f>'A) Base RI'!B20</f>
        <v>Villeneuve</v>
      </c>
      <c r="C18" s="31">
        <f>'B) D RI'!Y20</f>
        <v>1802465.4</v>
      </c>
      <c r="D18" s="14">
        <f>'B) D RI'!Z20</f>
        <v>1426833.65</v>
      </c>
      <c r="E18" s="10">
        <f t="shared" si="0"/>
        <v>3229299.05</v>
      </c>
      <c r="F18" s="14">
        <f>'B) D RI'!U20</f>
        <v>167595.35260869566</v>
      </c>
      <c r="G18" s="256">
        <f t="shared" si="1"/>
        <v>19.268428388583182</v>
      </c>
      <c r="H18" s="57">
        <f t="shared" si="2"/>
        <v>1329282.7949999999</v>
      </c>
    </row>
    <row r="19" spans="1:8" x14ac:dyDescent="0.25">
      <c r="A19" s="49">
        <f>'A) Base RI'!A21</f>
        <v>5415</v>
      </c>
      <c r="B19" s="56" t="str">
        <f>'A) Base RI'!B21</f>
        <v>Yvorne</v>
      </c>
      <c r="C19" s="31">
        <f>'B) D RI'!Y21</f>
        <v>364831.2</v>
      </c>
      <c r="D19" s="14">
        <f>'B) D RI'!Z21</f>
        <v>18151.900000000001</v>
      </c>
      <c r="E19" s="10">
        <f t="shared" si="0"/>
        <v>382983.10000000003</v>
      </c>
      <c r="F19" s="14">
        <f>'B) D RI'!U21</f>
        <v>39170.690675990678</v>
      </c>
      <c r="G19" s="256">
        <f t="shared" si="1"/>
        <v>9.7772873898990529</v>
      </c>
      <c r="H19" s="57">
        <f t="shared" si="2"/>
        <v>187861.17</v>
      </c>
    </row>
    <row r="20" spans="1:8" x14ac:dyDescent="0.25">
      <c r="A20" s="49">
        <f>'A) Base RI'!A22</f>
        <v>5421</v>
      </c>
      <c r="B20" s="56" t="str">
        <f>'A) Base RI'!B22</f>
        <v>Apples</v>
      </c>
      <c r="C20" s="31">
        <f>'B) D RI'!Y22</f>
        <v>376949.5</v>
      </c>
      <c r="D20" s="14">
        <f>'B) D RI'!Z22</f>
        <v>26298.5</v>
      </c>
      <c r="E20" s="10">
        <f t="shared" si="0"/>
        <v>403248</v>
      </c>
      <c r="F20" s="14">
        <f>'B) D RI'!U22</f>
        <v>70612.156710526324</v>
      </c>
      <c r="G20" s="256">
        <f t="shared" si="1"/>
        <v>5.7107447043872384</v>
      </c>
      <c r="H20" s="57">
        <f t="shared" si="2"/>
        <v>196364.3</v>
      </c>
    </row>
    <row r="21" spans="1:8" x14ac:dyDescent="0.25">
      <c r="A21" s="49">
        <f>'A) Base RI'!A23</f>
        <v>5422</v>
      </c>
      <c r="B21" s="56" t="str">
        <f>'A) Base RI'!B23</f>
        <v>Aubonne</v>
      </c>
      <c r="C21" s="31">
        <f>'B) D RI'!Y23</f>
        <v>870526.79999999993</v>
      </c>
      <c r="D21" s="14">
        <f>'B) D RI'!Z23</f>
        <v>892412.4</v>
      </c>
      <c r="E21" s="10">
        <f t="shared" si="0"/>
        <v>1762939.2</v>
      </c>
      <c r="F21" s="14">
        <f>'B) D RI'!U23</f>
        <v>231171.83385714272</v>
      </c>
      <c r="G21" s="256">
        <f t="shared" si="1"/>
        <v>7.626098606326944</v>
      </c>
      <c r="H21" s="57">
        <f t="shared" si="2"/>
        <v>702987.11999999988</v>
      </c>
    </row>
    <row r="22" spans="1:8" x14ac:dyDescent="0.25">
      <c r="A22" s="49">
        <f>'A) Base RI'!A24</f>
        <v>5423</v>
      </c>
      <c r="B22" s="56" t="str">
        <f>'A) Base RI'!B24</f>
        <v>Ballens</v>
      </c>
      <c r="C22" s="31">
        <f>'B) D RI'!Y24</f>
        <v>80054.3</v>
      </c>
      <c r="D22" s="14">
        <f>'B) D RI'!Z24</f>
        <v>33405.599999999999</v>
      </c>
      <c r="E22" s="10">
        <f t="shared" si="0"/>
        <v>113459.9</v>
      </c>
      <c r="F22" s="14">
        <f>'B) D RI'!U24</f>
        <v>16262.42684931507</v>
      </c>
      <c r="G22" s="256">
        <f t="shared" si="1"/>
        <v>6.9768123202828498</v>
      </c>
      <c r="H22" s="57">
        <f t="shared" si="2"/>
        <v>50048.83</v>
      </c>
    </row>
    <row r="23" spans="1:8" x14ac:dyDescent="0.25">
      <c r="A23" s="49">
        <f>'A) Base RI'!A25</f>
        <v>5424</v>
      </c>
      <c r="B23" s="56" t="str">
        <f>'A) Base RI'!B25</f>
        <v>Berolle</v>
      </c>
      <c r="C23" s="31">
        <f>'B) D RI'!Y25</f>
        <v>10503.9</v>
      </c>
      <c r="D23" s="14">
        <f>'B) D RI'!Z25</f>
        <v>0</v>
      </c>
      <c r="E23" s="10">
        <f t="shared" si="0"/>
        <v>10503.9</v>
      </c>
      <c r="F23" s="14">
        <f>'B) D RI'!U25</f>
        <v>9281.7425974025955</v>
      </c>
      <c r="G23" s="256">
        <f t="shared" si="1"/>
        <v>1.1316732703769885</v>
      </c>
      <c r="H23" s="57">
        <f t="shared" si="2"/>
        <v>5251.95</v>
      </c>
    </row>
    <row r="24" spans="1:8" x14ac:dyDescent="0.25">
      <c r="A24" s="49">
        <f>'A) Base RI'!A26</f>
        <v>5425</v>
      </c>
      <c r="B24" s="56" t="str">
        <f>'A) Base RI'!B26</f>
        <v>Bière</v>
      </c>
      <c r="C24" s="31">
        <f>'B) D RI'!Y26</f>
        <v>304545.45</v>
      </c>
      <c r="D24" s="14">
        <f>'B) D RI'!Z26</f>
        <v>59876.55</v>
      </c>
      <c r="E24" s="10">
        <f t="shared" si="0"/>
        <v>364422</v>
      </c>
      <c r="F24" s="14">
        <f>'B) D RI'!U26</f>
        <v>39522.239817733993</v>
      </c>
      <c r="G24" s="256">
        <f t="shared" si="1"/>
        <v>9.22068186622562</v>
      </c>
      <c r="H24" s="57">
        <f t="shared" si="2"/>
        <v>170235.69</v>
      </c>
    </row>
    <row r="25" spans="1:8" x14ac:dyDescent="0.25">
      <c r="A25" s="49">
        <f>'A) Base RI'!A27</f>
        <v>5426</v>
      </c>
      <c r="B25" s="56" t="str">
        <f>'A) Base RI'!B27</f>
        <v>Bougy-Villars</v>
      </c>
      <c r="C25" s="31">
        <f>'B) D RI'!Y27</f>
        <v>315305.75</v>
      </c>
      <c r="D25" s="14">
        <f>'B) D RI'!Z27</f>
        <v>720.4</v>
      </c>
      <c r="E25" s="10">
        <f t="shared" si="0"/>
        <v>316026.15000000002</v>
      </c>
      <c r="F25" s="14">
        <f>'B) D RI'!U27</f>
        <v>52073.160505050502</v>
      </c>
      <c r="G25" s="256">
        <f t="shared" si="1"/>
        <v>6.0688874447970003</v>
      </c>
      <c r="H25" s="57">
        <f t="shared" si="2"/>
        <v>157868.995</v>
      </c>
    </row>
    <row r="26" spans="1:8" x14ac:dyDescent="0.25">
      <c r="A26" s="49">
        <f>'A) Base RI'!A28</f>
        <v>5427</v>
      </c>
      <c r="B26" s="56" t="str">
        <f>'A) Base RI'!B28</f>
        <v>Féchy</v>
      </c>
      <c r="C26" s="31">
        <f>'B) D RI'!Y28</f>
        <v>460523.35</v>
      </c>
      <c r="D26" s="14">
        <f>'B) D RI'!Z28</f>
        <v>12002.5</v>
      </c>
      <c r="E26" s="10">
        <f t="shared" si="0"/>
        <v>472525.85</v>
      </c>
      <c r="F26" s="14">
        <f>'B) D RI'!U28</f>
        <v>86749.440144230772</v>
      </c>
      <c r="G26" s="256">
        <f t="shared" si="1"/>
        <v>5.4470190149281912</v>
      </c>
      <c r="H26" s="57">
        <f t="shared" si="2"/>
        <v>233862.42499999999</v>
      </c>
    </row>
    <row r="27" spans="1:8" x14ac:dyDescent="0.25">
      <c r="A27" s="49">
        <f>'A) Base RI'!A29</f>
        <v>5428</v>
      </c>
      <c r="B27" s="56" t="str">
        <f>'A) Base RI'!B29</f>
        <v>Gimel</v>
      </c>
      <c r="C27" s="31">
        <f>'B) D RI'!Y29</f>
        <v>362519.25</v>
      </c>
      <c r="D27" s="14">
        <f>'B) D RI'!Z29</f>
        <v>226233.85</v>
      </c>
      <c r="E27" s="10">
        <f t="shared" si="0"/>
        <v>588753.1</v>
      </c>
      <c r="F27" s="14">
        <f>'B) D RI'!U29</f>
        <v>66171.009865771834</v>
      </c>
      <c r="G27" s="256">
        <f t="shared" si="1"/>
        <v>8.897447706998701</v>
      </c>
      <c r="H27" s="57">
        <f t="shared" si="2"/>
        <v>249129.78</v>
      </c>
    </row>
    <row r="28" spans="1:8" x14ac:dyDescent="0.25">
      <c r="A28" s="49">
        <f>'A) Base RI'!A30</f>
        <v>5429</v>
      </c>
      <c r="B28" s="56" t="str">
        <f>'A) Base RI'!B30</f>
        <v>Longirod</v>
      </c>
      <c r="C28" s="31">
        <f>'B) D RI'!Y30</f>
        <v>76944.049999999988</v>
      </c>
      <c r="D28" s="14">
        <f>'B) D RI'!Z30</f>
        <v>0</v>
      </c>
      <c r="E28" s="10">
        <f t="shared" si="0"/>
        <v>76944.049999999988</v>
      </c>
      <c r="F28" s="14">
        <f>'B) D RI'!U30</f>
        <v>15311.416666666666</v>
      </c>
      <c r="G28" s="256">
        <f t="shared" si="1"/>
        <v>5.0252730805444736</v>
      </c>
      <c r="H28" s="57">
        <f t="shared" si="2"/>
        <v>38472.024999999994</v>
      </c>
    </row>
    <row r="29" spans="1:8" x14ac:dyDescent="0.25">
      <c r="A29" s="49">
        <f>'A) Base RI'!A31</f>
        <v>5430</v>
      </c>
      <c r="B29" s="56" t="str">
        <f>'A) Base RI'!B31</f>
        <v>Marchissy</v>
      </c>
      <c r="C29" s="31">
        <f>'B) D RI'!Y31</f>
        <v>55638.299999999996</v>
      </c>
      <c r="D29" s="14">
        <f>'B) D RI'!Z31</f>
        <v>6850.45</v>
      </c>
      <c r="E29" s="10">
        <f t="shared" si="0"/>
        <v>62488.749999999993</v>
      </c>
      <c r="F29" s="14">
        <f>'B) D RI'!U31</f>
        <v>14827.393037974683</v>
      </c>
      <c r="G29" s="256">
        <f t="shared" si="1"/>
        <v>4.2144124621205501</v>
      </c>
      <c r="H29" s="57">
        <f t="shared" si="2"/>
        <v>29874.284999999996</v>
      </c>
    </row>
    <row r="30" spans="1:8" x14ac:dyDescent="0.25">
      <c r="A30" s="49">
        <f>'A) Base RI'!A32</f>
        <v>5431</v>
      </c>
      <c r="B30" s="56" t="str">
        <f>'A) Base RI'!B32</f>
        <v>Mollens</v>
      </c>
      <c r="C30" s="31">
        <f>'B) D RI'!Y32</f>
        <v>116337.04999999999</v>
      </c>
      <c r="D30" s="14">
        <f>'B) D RI'!Z32</f>
        <v>292.05</v>
      </c>
      <c r="E30" s="10">
        <f t="shared" si="0"/>
        <v>116629.09999999999</v>
      </c>
      <c r="F30" s="14">
        <f>'B) D RI'!U32</f>
        <v>10626.755405405405</v>
      </c>
      <c r="G30" s="256">
        <f t="shared" si="1"/>
        <v>10.975043232920882</v>
      </c>
      <c r="H30" s="57">
        <f t="shared" si="2"/>
        <v>58256.139999999992</v>
      </c>
    </row>
    <row r="31" spans="1:8" x14ac:dyDescent="0.25">
      <c r="A31" s="49">
        <f>'A) Base RI'!A33</f>
        <v>5432</v>
      </c>
      <c r="B31" s="56" t="str">
        <f>'A) Base RI'!B33</f>
        <v>Montherod</v>
      </c>
      <c r="C31" s="31">
        <f>'B) D RI'!Y33</f>
        <v>41308.149999999994</v>
      </c>
      <c r="D31" s="14">
        <f>'B) D RI'!Z33</f>
        <v>13497.2</v>
      </c>
      <c r="E31" s="10">
        <f t="shared" si="0"/>
        <v>54805.349999999991</v>
      </c>
      <c r="F31" s="14">
        <f>'B) D RI'!U33</f>
        <v>16078.014230769231</v>
      </c>
      <c r="G31" s="256">
        <f t="shared" si="1"/>
        <v>3.4087138631284755</v>
      </c>
      <c r="H31" s="57">
        <f t="shared" si="2"/>
        <v>24703.234999999997</v>
      </c>
    </row>
    <row r="32" spans="1:8" x14ac:dyDescent="0.25">
      <c r="A32" s="49">
        <f>'A) Base RI'!A34</f>
        <v>5434</v>
      </c>
      <c r="B32" s="56" t="str">
        <f>'A) Base RI'!B34</f>
        <v>Saint-George</v>
      </c>
      <c r="C32" s="31">
        <f>'B) D RI'!Y34</f>
        <v>211977.25</v>
      </c>
      <c r="D32" s="14">
        <f>'B) D RI'!Z34</f>
        <v>31108.400000000001</v>
      </c>
      <c r="E32" s="10">
        <f t="shared" si="0"/>
        <v>243085.65</v>
      </c>
      <c r="F32" s="14">
        <f>'B) D RI'!U34</f>
        <v>39905.96180751174</v>
      </c>
      <c r="G32" s="256">
        <f t="shared" si="1"/>
        <v>6.0914620019067556</v>
      </c>
      <c r="H32" s="57">
        <f t="shared" si="2"/>
        <v>115321.145</v>
      </c>
    </row>
    <row r="33" spans="1:8" x14ac:dyDescent="0.25">
      <c r="A33" s="49">
        <f>'A) Base RI'!A35</f>
        <v>5435</v>
      </c>
      <c r="B33" s="56" t="str">
        <f>'A) Base RI'!B35</f>
        <v>Saint-Livres</v>
      </c>
      <c r="C33" s="31">
        <f>'B) D RI'!Y35</f>
        <v>66162.399999999994</v>
      </c>
      <c r="D33" s="14">
        <f>'B) D RI'!Z35</f>
        <v>1807.7</v>
      </c>
      <c r="E33" s="10">
        <f t="shared" si="0"/>
        <v>67970.099999999991</v>
      </c>
      <c r="F33" s="14">
        <f>'B) D RI'!U35</f>
        <v>24331.716956521734</v>
      </c>
      <c r="G33" s="256">
        <f t="shared" si="1"/>
        <v>2.7934773415889862</v>
      </c>
      <c r="H33" s="57">
        <f t="shared" si="2"/>
        <v>33623.509999999995</v>
      </c>
    </row>
    <row r="34" spans="1:8" x14ac:dyDescent="0.25">
      <c r="A34" s="49">
        <f>'A) Base RI'!A36</f>
        <v>5436</v>
      </c>
      <c r="B34" s="56" t="str">
        <f>'A) Base RI'!B36</f>
        <v>Saint-Oyens</v>
      </c>
      <c r="C34" s="31">
        <f>'B) D RI'!Y36</f>
        <v>47544.05</v>
      </c>
      <c r="D34" s="14">
        <f>'B) D RI'!Z36</f>
        <v>1201.0999999999999</v>
      </c>
      <c r="E34" s="10">
        <f t="shared" si="0"/>
        <v>48745.15</v>
      </c>
      <c r="F34" s="14">
        <f>'B) D RI'!U36</f>
        <v>16564.840617283953</v>
      </c>
      <c r="G34" s="256">
        <f t="shared" si="1"/>
        <v>2.942687534774028</v>
      </c>
      <c r="H34" s="57">
        <f t="shared" si="2"/>
        <v>24132.355000000003</v>
      </c>
    </row>
    <row r="35" spans="1:8" x14ac:dyDescent="0.25">
      <c r="A35" s="49">
        <f>'A) Base RI'!A37</f>
        <v>5437</v>
      </c>
      <c r="B35" s="56" t="str">
        <f>'A) Base RI'!B37</f>
        <v>Saubraz</v>
      </c>
      <c r="C35" s="31">
        <f>'B) D RI'!Y37</f>
        <v>46518.75</v>
      </c>
      <c r="D35" s="14">
        <f>'B) D RI'!Z37</f>
        <v>0</v>
      </c>
      <c r="E35" s="10">
        <f t="shared" si="0"/>
        <v>46518.75</v>
      </c>
      <c r="F35" s="14">
        <f>'B) D RI'!U37</f>
        <v>13155.785124999999</v>
      </c>
      <c r="G35" s="256">
        <f t="shared" si="1"/>
        <v>3.535991927353709</v>
      </c>
      <c r="H35" s="57">
        <f t="shared" si="2"/>
        <v>23259.375</v>
      </c>
    </row>
    <row r="36" spans="1:8" x14ac:dyDescent="0.25">
      <c r="A36" s="49">
        <f>'A) Base RI'!A38</f>
        <v>5451</v>
      </c>
      <c r="B36" s="56" t="str">
        <f>'A) Base RI'!B38</f>
        <v>Avenches</v>
      </c>
      <c r="C36" s="31">
        <f>'B) D RI'!Y38</f>
        <v>756358</v>
      </c>
      <c r="D36" s="14">
        <f>'B) D RI'!Z38</f>
        <v>402168.8</v>
      </c>
      <c r="E36" s="10">
        <f t="shared" si="0"/>
        <v>1158526.8</v>
      </c>
      <c r="F36" s="14">
        <f>'B) D RI'!U38</f>
        <v>129378.19823529426</v>
      </c>
      <c r="G36" s="256">
        <f t="shared" si="1"/>
        <v>8.9545751587376401</v>
      </c>
      <c r="H36" s="57">
        <f t="shared" si="2"/>
        <v>498829.64</v>
      </c>
    </row>
    <row r="37" spans="1:8" x14ac:dyDescent="0.25">
      <c r="A37" s="49">
        <f>'A) Base RI'!A39</f>
        <v>5456</v>
      </c>
      <c r="B37" s="56" t="str">
        <f>'A) Base RI'!B39</f>
        <v>Cudrefin</v>
      </c>
      <c r="C37" s="31">
        <f>'B) D RI'!Y39</f>
        <v>1147950.4500000002</v>
      </c>
      <c r="D37" s="14">
        <f>'B) D RI'!Z39</f>
        <v>11939.5</v>
      </c>
      <c r="E37" s="10">
        <f t="shared" si="0"/>
        <v>1159889.9500000002</v>
      </c>
      <c r="F37" s="14">
        <f>'B) D RI'!U39</f>
        <v>57755.250790960446</v>
      </c>
      <c r="G37" s="256">
        <f t="shared" si="1"/>
        <v>20.082848470316748</v>
      </c>
      <c r="H37" s="57">
        <f t="shared" si="2"/>
        <v>577557.07500000007</v>
      </c>
    </row>
    <row r="38" spans="1:8" x14ac:dyDescent="0.25">
      <c r="A38" s="49">
        <f>'A) Base RI'!A40</f>
        <v>5458</v>
      </c>
      <c r="B38" s="56" t="str">
        <f>'A) Base RI'!B40</f>
        <v>Faoug</v>
      </c>
      <c r="C38" s="31">
        <f>'B) D RI'!Y40</f>
        <v>449305.95000000007</v>
      </c>
      <c r="D38" s="14">
        <f>'B) D RI'!Z40</f>
        <v>0</v>
      </c>
      <c r="E38" s="10">
        <f t="shared" si="0"/>
        <v>449305.95000000007</v>
      </c>
      <c r="F38" s="14">
        <f>'B) D RI'!U40</f>
        <v>33143.605656565654</v>
      </c>
      <c r="G38" s="256">
        <f t="shared" si="1"/>
        <v>13.556338880437826</v>
      </c>
      <c r="H38" s="57">
        <f t="shared" si="2"/>
        <v>224652.97500000003</v>
      </c>
    </row>
    <row r="39" spans="1:8" x14ac:dyDescent="0.25">
      <c r="A39" s="49">
        <f>'A) Base RI'!A41</f>
        <v>5464</v>
      </c>
      <c r="B39" s="56" t="str">
        <f>'A) Base RI'!B41</f>
        <v>Vully-les-Lacs</v>
      </c>
      <c r="C39" s="31">
        <f>'B) D RI'!Y41</f>
        <v>761841.39999999991</v>
      </c>
      <c r="D39" s="14">
        <f>'B) D RI'!Z41</f>
        <v>0</v>
      </c>
      <c r="E39" s="10">
        <f t="shared" si="0"/>
        <v>761841.39999999991</v>
      </c>
      <c r="F39" s="14">
        <f>'B) D RI'!U41</f>
        <v>112741.2284079602</v>
      </c>
      <c r="G39" s="256">
        <f t="shared" si="1"/>
        <v>6.7574339108958066</v>
      </c>
      <c r="H39" s="57">
        <f t="shared" si="2"/>
        <v>380920.69999999995</v>
      </c>
    </row>
    <row r="40" spans="1:8" x14ac:dyDescent="0.25">
      <c r="A40" s="49">
        <f>'A) Base RI'!A42</f>
        <v>5471</v>
      </c>
      <c r="B40" s="56" t="str">
        <f>'A) Base RI'!B42</f>
        <v>Bettens</v>
      </c>
      <c r="C40" s="31">
        <f>'B) D RI'!Y42</f>
        <v>33915.450000000004</v>
      </c>
      <c r="D40" s="14">
        <f>'B) D RI'!Z42</f>
        <v>45443.55</v>
      </c>
      <c r="E40" s="10">
        <f t="shared" si="0"/>
        <v>79359</v>
      </c>
      <c r="F40" s="14">
        <f>'B) D RI'!U42</f>
        <v>21708.019984126982</v>
      </c>
      <c r="G40" s="256">
        <f t="shared" si="1"/>
        <v>3.6557456671786608</v>
      </c>
      <c r="H40" s="57">
        <f t="shared" si="2"/>
        <v>30590.79</v>
      </c>
    </row>
    <row r="41" spans="1:8" x14ac:dyDescent="0.25">
      <c r="A41" s="49">
        <f>'A) Base RI'!A43</f>
        <v>5472</v>
      </c>
      <c r="B41" s="56" t="str">
        <f>'A) Base RI'!B43</f>
        <v>Bournens</v>
      </c>
      <c r="C41" s="31">
        <f>'B) D RI'!Y43</f>
        <v>60247.3</v>
      </c>
      <c r="D41" s="14">
        <f>'B) D RI'!Z43</f>
        <v>0</v>
      </c>
      <c r="E41" s="10">
        <f t="shared" si="0"/>
        <v>60247.3</v>
      </c>
      <c r="F41" s="14">
        <f>'B) D RI'!U43</f>
        <v>15065.660131578947</v>
      </c>
      <c r="G41" s="256">
        <f t="shared" si="1"/>
        <v>3.9989817554503548</v>
      </c>
      <c r="H41" s="57">
        <f t="shared" si="2"/>
        <v>30123.65</v>
      </c>
    </row>
    <row r="42" spans="1:8" x14ac:dyDescent="0.25">
      <c r="A42" s="49">
        <f>'A) Base RI'!A44</f>
        <v>5473</v>
      </c>
      <c r="B42" s="56" t="str">
        <f>'A) Base RI'!B44</f>
        <v>Boussens</v>
      </c>
      <c r="C42" s="31">
        <f>'B) D RI'!Y44</f>
        <v>90577</v>
      </c>
      <c r="D42" s="14">
        <f>'B) D RI'!Z44</f>
        <v>329.95</v>
      </c>
      <c r="E42" s="10">
        <f t="shared" si="0"/>
        <v>90906.95</v>
      </c>
      <c r="F42" s="14">
        <f>'B) D RI'!U44</f>
        <v>34350.684492753629</v>
      </c>
      <c r="G42" s="256">
        <f t="shared" si="1"/>
        <v>2.6464378029840154</v>
      </c>
      <c r="H42" s="57">
        <f t="shared" si="2"/>
        <v>45387.485000000001</v>
      </c>
    </row>
    <row r="43" spans="1:8" x14ac:dyDescent="0.25">
      <c r="A43" s="49">
        <f>'A) Base RI'!A45</f>
        <v>5474</v>
      </c>
      <c r="B43" s="56" t="str">
        <f>'A) Base RI'!B45</f>
        <v>La Chaux (Cossonay)</v>
      </c>
      <c r="C43" s="31">
        <f>'B) D RI'!Y45</f>
        <v>101156.1</v>
      </c>
      <c r="D43" s="14">
        <f>'B) D RI'!Z45</f>
        <v>2824.35</v>
      </c>
      <c r="E43" s="10">
        <f t="shared" si="0"/>
        <v>103980.45000000001</v>
      </c>
      <c r="F43" s="14">
        <f>'B) D RI'!U45</f>
        <v>15323.423073593074</v>
      </c>
      <c r="G43" s="256">
        <f t="shared" si="1"/>
        <v>6.7857194505834668</v>
      </c>
      <c r="H43" s="57">
        <f t="shared" si="2"/>
        <v>51425.355000000003</v>
      </c>
    </row>
    <row r="44" spans="1:8" x14ac:dyDescent="0.25">
      <c r="A44" s="49">
        <f>'A) Base RI'!A46</f>
        <v>5475</v>
      </c>
      <c r="B44" s="56" t="str">
        <f>'A) Base RI'!B46</f>
        <v>Chavannes-le-Veyron</v>
      </c>
      <c r="C44" s="31">
        <f>'B) D RI'!Y46</f>
        <v>25640.9</v>
      </c>
      <c r="D44" s="14">
        <f>'B) D RI'!Z46</f>
        <v>0</v>
      </c>
      <c r="E44" s="10">
        <f t="shared" si="0"/>
        <v>25640.9</v>
      </c>
      <c r="F44" s="14">
        <f>'B) D RI'!U46</f>
        <v>3045.9346753246755</v>
      </c>
      <c r="G44" s="256">
        <f t="shared" si="1"/>
        <v>8.4180728522245349</v>
      </c>
      <c r="H44" s="57">
        <f t="shared" si="2"/>
        <v>12820.45</v>
      </c>
    </row>
    <row r="45" spans="1:8" x14ac:dyDescent="0.25">
      <c r="A45" s="49">
        <f>'A) Base RI'!A47</f>
        <v>5476</v>
      </c>
      <c r="B45" s="56" t="str">
        <f>'A) Base RI'!B47</f>
        <v>Chevilly</v>
      </c>
      <c r="C45" s="31">
        <f>'B) D RI'!Y47</f>
        <v>0</v>
      </c>
      <c r="D45" s="14">
        <f>'B) D RI'!Z47</f>
        <v>0</v>
      </c>
      <c r="E45" s="10">
        <f t="shared" si="0"/>
        <v>0</v>
      </c>
      <c r="F45" s="14">
        <f>'B) D RI'!U47</f>
        <v>12632.544999999996</v>
      </c>
      <c r="G45" s="256">
        <f t="shared" si="1"/>
        <v>0</v>
      </c>
      <c r="H45" s="57">
        <f t="shared" si="2"/>
        <v>0</v>
      </c>
    </row>
    <row r="46" spans="1:8" x14ac:dyDescent="0.25">
      <c r="A46" s="49">
        <f>'A) Base RI'!A48</f>
        <v>5477</v>
      </c>
      <c r="B46" s="56" t="str">
        <f>'A) Base RI'!B48</f>
        <v>Cossonay</v>
      </c>
      <c r="C46" s="31">
        <f>'B) D RI'!Y48</f>
        <v>466762.45</v>
      </c>
      <c r="D46" s="14">
        <f>'B) D RI'!Z48</f>
        <v>71916.55</v>
      </c>
      <c r="E46" s="10">
        <f t="shared" si="0"/>
        <v>538679</v>
      </c>
      <c r="F46" s="14">
        <f>'B) D RI'!U48</f>
        <v>144389.2549295775</v>
      </c>
      <c r="G46" s="256">
        <f t="shared" si="1"/>
        <v>3.7307416002854796</v>
      </c>
      <c r="H46" s="57">
        <f t="shared" si="2"/>
        <v>254956.19</v>
      </c>
    </row>
    <row r="47" spans="1:8" x14ac:dyDescent="0.25">
      <c r="A47" s="49">
        <f>'A) Base RI'!A49</f>
        <v>5478</v>
      </c>
      <c r="B47" s="56" t="str">
        <f>'A) Base RI'!B49</f>
        <v>Cottens</v>
      </c>
      <c r="C47" s="31">
        <f>'B) D RI'!Y49</f>
        <v>105084.1</v>
      </c>
      <c r="D47" s="14">
        <f>'B) D RI'!Z49</f>
        <v>0</v>
      </c>
      <c r="E47" s="10">
        <f t="shared" si="0"/>
        <v>105084.1</v>
      </c>
      <c r="F47" s="14">
        <f>'B) D RI'!U49</f>
        <v>17566.345945945945</v>
      </c>
      <c r="G47" s="256">
        <f t="shared" si="1"/>
        <v>5.9821262955516303</v>
      </c>
      <c r="H47" s="57">
        <f t="shared" si="2"/>
        <v>52542.05</v>
      </c>
    </row>
    <row r="48" spans="1:8" x14ac:dyDescent="0.25">
      <c r="A48" s="49">
        <f>'A) Base RI'!A50</f>
        <v>5479</v>
      </c>
      <c r="B48" s="56" t="str">
        <f>'A) Base RI'!B50</f>
        <v>Cuarnens</v>
      </c>
      <c r="C48" s="31">
        <f>'B) D RI'!Y50</f>
        <v>45910.3</v>
      </c>
      <c r="D48" s="14">
        <f>'B) D RI'!Z50</f>
        <v>6580.5</v>
      </c>
      <c r="E48" s="10">
        <f t="shared" si="0"/>
        <v>52490.8</v>
      </c>
      <c r="F48" s="14">
        <f>'B) D RI'!U50</f>
        <v>17277.023636363636</v>
      </c>
      <c r="G48" s="256">
        <f t="shared" si="1"/>
        <v>3.0381853440033812</v>
      </c>
      <c r="H48" s="57">
        <f t="shared" si="2"/>
        <v>24929.300000000003</v>
      </c>
    </row>
    <row r="49" spans="1:8" x14ac:dyDescent="0.25">
      <c r="A49" s="49">
        <f>'A) Base RI'!A51</f>
        <v>5480</v>
      </c>
      <c r="B49" s="56" t="str">
        <f>'A) Base RI'!B51</f>
        <v>Daillens</v>
      </c>
      <c r="C49" s="31">
        <f>'B) D RI'!Y51</f>
        <v>134792.54999999999</v>
      </c>
      <c r="D49" s="14">
        <f>'B) D RI'!Z51</f>
        <v>124620.8</v>
      </c>
      <c r="E49" s="10">
        <f t="shared" si="0"/>
        <v>259413.34999999998</v>
      </c>
      <c r="F49" s="14">
        <f>'B) D RI'!U51</f>
        <v>40568.804343434349</v>
      </c>
      <c r="G49" s="256">
        <f t="shared" si="1"/>
        <v>6.3944046219341786</v>
      </c>
      <c r="H49" s="57">
        <f t="shared" si="2"/>
        <v>104782.51499999998</v>
      </c>
    </row>
    <row r="50" spans="1:8" x14ac:dyDescent="0.25">
      <c r="A50" s="49">
        <f>'A) Base RI'!A52</f>
        <v>5481</v>
      </c>
      <c r="B50" s="56" t="str">
        <f>'A) Base RI'!B52</f>
        <v>Dizy</v>
      </c>
      <c r="C50" s="31">
        <f>'B) D RI'!Y52</f>
        <v>135.65</v>
      </c>
      <c r="D50" s="14">
        <f>'B) D RI'!Z52</f>
        <v>0</v>
      </c>
      <c r="E50" s="10">
        <f t="shared" si="0"/>
        <v>135.65</v>
      </c>
      <c r="F50" s="14">
        <f>'B) D RI'!U52</f>
        <v>9658.8267088607608</v>
      </c>
      <c r="G50" s="256">
        <f t="shared" si="1"/>
        <v>1.4044148848385297E-2</v>
      </c>
      <c r="H50" s="57">
        <f t="shared" si="2"/>
        <v>67.825000000000003</v>
      </c>
    </row>
    <row r="51" spans="1:8" x14ac:dyDescent="0.25">
      <c r="A51" s="49">
        <f>'A) Base RI'!A53</f>
        <v>5482</v>
      </c>
      <c r="B51" s="56" t="str">
        <f>'A) Base RI'!B53</f>
        <v>Eclépens</v>
      </c>
      <c r="C51" s="31">
        <f>'B) D RI'!Y53</f>
        <v>106032.29999999999</v>
      </c>
      <c r="D51" s="14">
        <f>'B) D RI'!Z53</f>
        <v>339856.8</v>
      </c>
      <c r="E51" s="10">
        <f t="shared" si="0"/>
        <v>445889.1</v>
      </c>
      <c r="F51" s="14">
        <f>'B) D RI'!U53</f>
        <v>60116.695217391316</v>
      </c>
      <c r="G51" s="256">
        <f t="shared" si="1"/>
        <v>7.4170594106611425</v>
      </c>
      <c r="H51" s="57">
        <f t="shared" si="2"/>
        <v>154973.19</v>
      </c>
    </row>
    <row r="52" spans="1:8" x14ac:dyDescent="0.25">
      <c r="A52" s="49">
        <f>'A) Base RI'!A54</f>
        <v>5483</v>
      </c>
      <c r="B52" s="56" t="str">
        <f>'A) Base RI'!B54</f>
        <v>Ferreyres</v>
      </c>
      <c r="C52" s="31">
        <f>'B) D RI'!Y54</f>
        <v>59847.299999999996</v>
      </c>
      <c r="D52" s="14">
        <f>'B) D RI'!Z54</f>
        <v>0</v>
      </c>
      <c r="E52" s="10">
        <f t="shared" si="0"/>
        <v>59847.299999999996</v>
      </c>
      <c r="F52" s="14">
        <f>'B) D RI'!U54</f>
        <v>11167.980394736842</v>
      </c>
      <c r="G52" s="256">
        <f t="shared" si="1"/>
        <v>5.3588292497544465</v>
      </c>
      <c r="H52" s="57">
        <f t="shared" si="2"/>
        <v>29923.649999999998</v>
      </c>
    </row>
    <row r="53" spans="1:8" x14ac:dyDescent="0.25">
      <c r="A53" s="49">
        <f>'A) Base RI'!A55</f>
        <v>5484</v>
      </c>
      <c r="B53" s="56" t="str">
        <f>'A) Base RI'!B55</f>
        <v>Gollion</v>
      </c>
      <c r="C53" s="31">
        <f>'B) D RI'!Y55</f>
        <v>271172.84999999998</v>
      </c>
      <c r="D53" s="14">
        <f>'B) D RI'!Z55</f>
        <v>16240.15</v>
      </c>
      <c r="E53" s="10">
        <f t="shared" si="0"/>
        <v>287413</v>
      </c>
      <c r="F53" s="14">
        <f>'B) D RI'!U55</f>
        <v>33995.543783783789</v>
      </c>
      <c r="G53" s="256">
        <f t="shared" si="1"/>
        <v>8.4544316110365862</v>
      </c>
      <c r="H53" s="57">
        <f t="shared" si="2"/>
        <v>140458.47</v>
      </c>
    </row>
    <row r="54" spans="1:8" x14ac:dyDescent="0.25">
      <c r="A54" s="49">
        <f>'A) Base RI'!A56</f>
        <v>5485</v>
      </c>
      <c r="B54" s="56" t="str">
        <f>'A) Base RI'!B56</f>
        <v>Grancy</v>
      </c>
      <c r="C54" s="31">
        <f>'B) D RI'!Y56</f>
        <v>85251.8</v>
      </c>
      <c r="D54" s="14">
        <f>'B) D RI'!Z56</f>
        <v>6450.2</v>
      </c>
      <c r="E54" s="10">
        <f t="shared" si="0"/>
        <v>91702</v>
      </c>
      <c r="F54" s="14">
        <f>'B) D RI'!U56</f>
        <v>16957.048857142858</v>
      </c>
      <c r="G54" s="256">
        <f t="shared" si="1"/>
        <v>5.4078985543154907</v>
      </c>
      <c r="H54" s="57">
        <f t="shared" si="2"/>
        <v>44560.959999999999</v>
      </c>
    </row>
    <row r="55" spans="1:8" x14ac:dyDescent="0.25">
      <c r="A55" s="49">
        <f>'A) Base RI'!A57</f>
        <v>5486</v>
      </c>
      <c r="B55" s="56" t="str">
        <f>'A) Base RI'!B57</f>
        <v>L'Isle</v>
      </c>
      <c r="C55" s="31">
        <f>'B) D RI'!Y57</f>
        <v>607593.80000000005</v>
      </c>
      <c r="D55" s="14">
        <f>'B) D RI'!Z57</f>
        <v>53112.2</v>
      </c>
      <c r="E55" s="10">
        <f t="shared" si="0"/>
        <v>660706</v>
      </c>
      <c r="F55" s="14">
        <f>'B) D RI'!U57</f>
        <v>35667.648026315794</v>
      </c>
      <c r="G55" s="256">
        <f t="shared" si="1"/>
        <v>18.523957607536314</v>
      </c>
      <c r="H55" s="57">
        <f t="shared" si="2"/>
        <v>319730.56</v>
      </c>
    </row>
    <row r="56" spans="1:8" x14ac:dyDescent="0.25">
      <c r="A56" s="49">
        <f>'A) Base RI'!A58</f>
        <v>5487</v>
      </c>
      <c r="B56" s="56" t="str">
        <f>'A) Base RI'!B58</f>
        <v>Lussery-Villars</v>
      </c>
      <c r="C56" s="31">
        <f>'B) D RI'!Y58</f>
        <v>70213.649999999994</v>
      </c>
      <c r="D56" s="14">
        <f>'B) D RI'!Z58</f>
        <v>0</v>
      </c>
      <c r="E56" s="10">
        <f t="shared" si="0"/>
        <v>70213.649999999994</v>
      </c>
      <c r="F56" s="14">
        <f>'B) D RI'!U58</f>
        <v>15504.095066666665</v>
      </c>
      <c r="G56" s="256">
        <f t="shared" si="1"/>
        <v>4.52871642608521</v>
      </c>
      <c r="H56" s="57">
        <f t="shared" si="2"/>
        <v>35106.824999999997</v>
      </c>
    </row>
    <row r="57" spans="1:8" x14ac:dyDescent="0.25">
      <c r="A57" s="49">
        <f>'A) Base RI'!A59</f>
        <v>5488</v>
      </c>
      <c r="B57" s="56" t="str">
        <f>'A) Base RI'!B59</f>
        <v>Mauraz</v>
      </c>
      <c r="C57" s="31">
        <f>'B) D RI'!Y59</f>
        <v>0</v>
      </c>
      <c r="D57" s="14">
        <f>'B) D RI'!Z59</f>
        <v>0</v>
      </c>
      <c r="E57" s="10">
        <f t="shared" si="0"/>
        <v>0</v>
      </c>
      <c r="F57" s="14">
        <f>'B) D RI'!U59</f>
        <v>1751.8621794871794</v>
      </c>
      <c r="G57" s="256">
        <f t="shared" si="1"/>
        <v>0</v>
      </c>
      <c r="H57" s="57">
        <f t="shared" si="2"/>
        <v>0</v>
      </c>
    </row>
    <row r="58" spans="1:8" x14ac:dyDescent="0.25">
      <c r="A58" s="49">
        <f>'A) Base RI'!A60</f>
        <v>5489</v>
      </c>
      <c r="B58" s="56" t="str">
        <f>'A) Base RI'!B60</f>
        <v>Mex</v>
      </c>
      <c r="C58" s="31">
        <f>'B) D RI'!Y60</f>
        <v>72039.05</v>
      </c>
      <c r="D58" s="14">
        <f>'B) D RI'!Z60</f>
        <v>144968</v>
      </c>
      <c r="E58" s="10">
        <f t="shared" si="0"/>
        <v>217007.05</v>
      </c>
      <c r="F58" s="14">
        <f>'B) D RI'!U60</f>
        <v>62953.268196721314</v>
      </c>
      <c r="G58" s="256">
        <f t="shared" si="1"/>
        <v>3.4471133305085817</v>
      </c>
      <c r="H58" s="57">
        <f t="shared" si="2"/>
        <v>79509.925000000003</v>
      </c>
    </row>
    <row r="59" spans="1:8" x14ac:dyDescent="0.25">
      <c r="A59" s="49">
        <f>'A) Base RI'!A61</f>
        <v>5490</v>
      </c>
      <c r="B59" s="56" t="str">
        <f>'A) Base RI'!B61</f>
        <v>Moiry</v>
      </c>
      <c r="C59" s="31">
        <f>'B) D RI'!Y61</f>
        <v>18522.349999999999</v>
      </c>
      <c r="D59" s="14">
        <f>'B) D RI'!Z61</f>
        <v>0</v>
      </c>
      <c r="E59" s="10">
        <f t="shared" si="0"/>
        <v>18522.349999999999</v>
      </c>
      <c r="F59" s="14">
        <f>'B) D RI'!U61</f>
        <v>8346.3239490445867</v>
      </c>
      <c r="G59" s="256">
        <f t="shared" si="1"/>
        <v>2.2192225119802922</v>
      </c>
      <c r="H59" s="57">
        <f t="shared" si="2"/>
        <v>9261.1749999999993</v>
      </c>
    </row>
    <row r="60" spans="1:8" x14ac:dyDescent="0.25">
      <c r="A60" s="49">
        <f>'A) Base RI'!A62</f>
        <v>5491</v>
      </c>
      <c r="B60" s="56" t="str">
        <f>'A) Base RI'!B62</f>
        <v>Mont-la-Ville</v>
      </c>
      <c r="C60" s="31">
        <f>'B) D RI'!Y62</f>
        <v>25453.5</v>
      </c>
      <c r="D60" s="14">
        <f>'B) D RI'!Z62</f>
        <v>1991.25</v>
      </c>
      <c r="E60" s="10">
        <f t="shared" si="0"/>
        <v>27444.75</v>
      </c>
      <c r="F60" s="14">
        <f>'B) D RI'!U62</f>
        <v>14105.600657894736</v>
      </c>
      <c r="G60" s="256">
        <f t="shared" si="1"/>
        <v>1.9456633337084799</v>
      </c>
      <c r="H60" s="57">
        <f t="shared" si="2"/>
        <v>13324.125</v>
      </c>
    </row>
    <row r="61" spans="1:8" x14ac:dyDescent="0.25">
      <c r="A61" s="49">
        <f>'A) Base RI'!A63</f>
        <v>5492</v>
      </c>
      <c r="B61" s="56" t="str">
        <f>'A) Base RI'!B63</f>
        <v>Montricher</v>
      </c>
      <c r="C61" s="31">
        <f>'B) D RI'!Y63</f>
        <v>133305.25</v>
      </c>
      <c r="D61" s="14">
        <f>'B) D RI'!Z63</f>
        <v>4397.25</v>
      </c>
      <c r="E61" s="10">
        <f t="shared" si="0"/>
        <v>137702.5</v>
      </c>
      <c r="F61" s="14">
        <f>'B) D RI'!U63</f>
        <v>190092.85661458335</v>
      </c>
      <c r="G61" s="256">
        <f t="shared" si="1"/>
        <v>0.72439597390655386</v>
      </c>
      <c r="H61" s="57">
        <f t="shared" si="2"/>
        <v>67971.8</v>
      </c>
    </row>
    <row r="62" spans="1:8" x14ac:dyDescent="0.25">
      <c r="A62" s="49">
        <f>'A) Base RI'!A64</f>
        <v>5493</v>
      </c>
      <c r="B62" s="56" t="str">
        <f>'A) Base RI'!B64</f>
        <v>Orny</v>
      </c>
      <c r="C62" s="31">
        <f>'B) D RI'!Y64</f>
        <v>134191.34999999998</v>
      </c>
      <c r="D62" s="14">
        <f>'B) D RI'!Z64</f>
        <v>60984.2</v>
      </c>
      <c r="E62" s="10">
        <f t="shared" si="0"/>
        <v>195175.55</v>
      </c>
      <c r="F62" s="14">
        <f>'B) D RI'!U64</f>
        <v>10669.457639620656</v>
      </c>
      <c r="G62" s="256">
        <f t="shared" si="1"/>
        <v>18.292921401667357</v>
      </c>
      <c r="H62" s="57">
        <f t="shared" si="2"/>
        <v>85390.934999999983</v>
      </c>
    </row>
    <row r="63" spans="1:8" x14ac:dyDescent="0.25">
      <c r="A63" s="49">
        <f>'A) Base RI'!A65</f>
        <v>5494</v>
      </c>
      <c r="B63" s="56" t="str">
        <f>'A) Base RI'!B65</f>
        <v>Pampigny</v>
      </c>
      <c r="C63" s="31">
        <f>'B) D RI'!Y65</f>
        <v>179439.8</v>
      </c>
      <c r="D63" s="14">
        <f>'B) D RI'!Z65</f>
        <v>30402.1</v>
      </c>
      <c r="E63" s="10">
        <f t="shared" si="0"/>
        <v>209841.9</v>
      </c>
      <c r="F63" s="14">
        <f>'B) D RI'!U65</f>
        <v>37008.943269841264</v>
      </c>
      <c r="G63" s="256">
        <f t="shared" si="1"/>
        <v>5.6700321992441483</v>
      </c>
      <c r="H63" s="57">
        <f t="shared" si="2"/>
        <v>98840.53</v>
      </c>
    </row>
    <row r="64" spans="1:8" x14ac:dyDescent="0.25">
      <c r="A64" s="49">
        <f>'A) Base RI'!A66</f>
        <v>5495</v>
      </c>
      <c r="B64" s="56" t="str">
        <f>'A) Base RI'!B66</f>
        <v>Penthalaz</v>
      </c>
      <c r="C64" s="31">
        <f>'B) D RI'!Y66</f>
        <v>319372.09999999998</v>
      </c>
      <c r="D64" s="14">
        <f>'B) D RI'!Z66</f>
        <v>195025.4</v>
      </c>
      <c r="E64" s="10">
        <f t="shared" si="0"/>
        <v>514397.5</v>
      </c>
      <c r="F64" s="14">
        <f>'B) D RI'!U66</f>
        <v>95334.294459459459</v>
      </c>
      <c r="G64" s="256">
        <f t="shared" si="1"/>
        <v>5.3957235737318596</v>
      </c>
      <c r="H64" s="57">
        <f t="shared" si="2"/>
        <v>218193.66999999998</v>
      </c>
    </row>
    <row r="65" spans="1:8" x14ac:dyDescent="0.25">
      <c r="A65" s="49">
        <f>'A) Base RI'!A67</f>
        <v>5496</v>
      </c>
      <c r="B65" s="56" t="str">
        <f>'A) Base RI'!B67</f>
        <v>Penthaz</v>
      </c>
      <c r="C65" s="31">
        <f>'B) D RI'!Y67</f>
        <v>386094.2</v>
      </c>
      <c r="D65" s="14">
        <f>'B) D RI'!Z67</f>
        <v>81094.8</v>
      </c>
      <c r="E65" s="10">
        <f t="shared" si="0"/>
        <v>467189</v>
      </c>
      <c r="F65" s="14">
        <f>'B) D RI'!U67</f>
        <v>59470.759859154932</v>
      </c>
      <c r="G65" s="256">
        <f t="shared" si="1"/>
        <v>7.8557765380238518</v>
      </c>
      <c r="H65" s="57">
        <f t="shared" si="2"/>
        <v>217375.54</v>
      </c>
    </row>
    <row r="66" spans="1:8" x14ac:dyDescent="0.25">
      <c r="A66" s="49">
        <f>'A) Base RI'!A68</f>
        <v>5497</v>
      </c>
      <c r="B66" s="56" t="str">
        <f>'A) Base RI'!B68</f>
        <v>Pompaples</v>
      </c>
      <c r="C66" s="31">
        <f>'B) D RI'!Y68</f>
        <v>122223.75</v>
      </c>
      <c r="D66" s="14">
        <f>'B) D RI'!Z68</f>
        <v>197354.2</v>
      </c>
      <c r="E66" s="10">
        <f t="shared" si="0"/>
        <v>319577.95</v>
      </c>
      <c r="F66" s="14">
        <f>'B) D RI'!U68</f>
        <v>22300.858484848486</v>
      </c>
      <c r="G66" s="256">
        <f t="shared" si="1"/>
        <v>14.330298101175151</v>
      </c>
      <c r="H66" s="57">
        <f t="shared" si="2"/>
        <v>120318.13500000001</v>
      </c>
    </row>
    <row r="67" spans="1:8" x14ac:dyDescent="0.25">
      <c r="A67" s="49">
        <f>'A) Base RI'!A69</f>
        <v>5498</v>
      </c>
      <c r="B67" s="56" t="str">
        <f>'A) Base RI'!B69</f>
        <v>La Sarraz</v>
      </c>
      <c r="C67" s="31">
        <f>'B) D RI'!Y69</f>
        <v>519077.95</v>
      </c>
      <c r="D67" s="14">
        <f>'B) D RI'!Z69</f>
        <v>75092.25</v>
      </c>
      <c r="E67" s="10">
        <f t="shared" si="0"/>
        <v>594170.19999999995</v>
      </c>
      <c r="F67" s="14">
        <f>'B) D RI'!U69</f>
        <v>77649.398333333345</v>
      </c>
      <c r="G67" s="256">
        <f t="shared" si="1"/>
        <v>7.6519614157130498</v>
      </c>
      <c r="H67" s="57">
        <f t="shared" si="2"/>
        <v>282066.65000000002</v>
      </c>
    </row>
    <row r="68" spans="1:8" x14ac:dyDescent="0.25">
      <c r="A68" s="49">
        <f>'A) Base RI'!A70</f>
        <v>5499</v>
      </c>
      <c r="B68" s="56" t="str">
        <f>'A) Base RI'!B70</f>
        <v>Senarclens</v>
      </c>
      <c r="C68" s="31">
        <f>'B) D RI'!Y70</f>
        <v>115448.65</v>
      </c>
      <c r="D68" s="14">
        <f>'B) D RI'!Z70</f>
        <v>8008.2</v>
      </c>
      <c r="E68" s="10">
        <f t="shared" si="0"/>
        <v>123456.84999999999</v>
      </c>
      <c r="F68" s="14">
        <f>'B) D RI'!U70</f>
        <v>19517.373430656935</v>
      </c>
      <c r="G68" s="256">
        <f t="shared" si="1"/>
        <v>6.3254848526943697</v>
      </c>
      <c r="H68" s="57">
        <f t="shared" si="2"/>
        <v>60126.784999999996</v>
      </c>
    </row>
    <row r="69" spans="1:8" x14ac:dyDescent="0.25">
      <c r="A69" s="49">
        <f>'A) Base RI'!A71</f>
        <v>5500</v>
      </c>
      <c r="B69" s="56" t="str">
        <f>'A) Base RI'!B71</f>
        <v>Sévery</v>
      </c>
      <c r="C69" s="31">
        <f>'B) D RI'!Y71</f>
        <v>31795.25</v>
      </c>
      <c r="D69" s="14">
        <f>'B) D RI'!Z71</f>
        <v>0</v>
      </c>
      <c r="E69" s="10">
        <f t="shared" si="0"/>
        <v>31795.25</v>
      </c>
      <c r="F69" s="14">
        <f>'B) D RI'!U71</f>
        <v>6999.0248888888891</v>
      </c>
      <c r="G69" s="256">
        <f t="shared" si="1"/>
        <v>4.5428113922663256</v>
      </c>
      <c r="H69" s="57">
        <f t="shared" si="2"/>
        <v>15897.625</v>
      </c>
    </row>
    <row r="70" spans="1:8" x14ac:dyDescent="0.25">
      <c r="A70" s="49">
        <f>'A) Base RI'!A72</f>
        <v>5501</v>
      </c>
      <c r="B70" s="56" t="str">
        <f>'A) Base RI'!B72</f>
        <v>Sullens</v>
      </c>
      <c r="C70" s="31">
        <f>'B) D RI'!Y72</f>
        <v>177349</v>
      </c>
      <c r="D70" s="14">
        <f>'B) D RI'!Z72</f>
        <v>5708.9</v>
      </c>
      <c r="E70" s="10">
        <f t="shared" ref="E70:E133" si="3">C70+D70</f>
        <v>183057.9</v>
      </c>
      <c r="F70" s="14">
        <f>'B) D RI'!U72</f>
        <v>40473.718571428566</v>
      </c>
      <c r="G70" s="256">
        <f t="shared" ref="G70:G133" si="4">E70/F70</f>
        <v>4.5228831563113463</v>
      </c>
      <c r="H70" s="57">
        <f t="shared" ref="H70:H133" si="5">(C70*$C$4)+(D70*$D$4)</f>
        <v>90387.17</v>
      </c>
    </row>
    <row r="71" spans="1:8" x14ac:dyDescent="0.25">
      <c r="A71" s="49">
        <f>'A) Base RI'!A73</f>
        <v>5503</v>
      </c>
      <c r="B71" s="56" t="str">
        <f>'A) Base RI'!B73</f>
        <v>Vufflens-la-Ville</v>
      </c>
      <c r="C71" s="31">
        <f>'B) D RI'!Y73</f>
        <v>361459.85</v>
      </c>
      <c r="D71" s="14">
        <f>'B) D RI'!Z73</f>
        <v>86713.7</v>
      </c>
      <c r="E71" s="10">
        <f t="shared" si="3"/>
        <v>448173.55</v>
      </c>
      <c r="F71" s="14">
        <f>'B) D RI'!U73</f>
        <v>87926.416417910455</v>
      </c>
      <c r="G71" s="256">
        <f t="shared" si="4"/>
        <v>5.0971433643997326</v>
      </c>
      <c r="H71" s="57">
        <f t="shared" si="5"/>
        <v>206744.03499999997</v>
      </c>
    </row>
    <row r="72" spans="1:8" x14ac:dyDescent="0.25">
      <c r="A72" s="49">
        <f>'A) Base RI'!A74</f>
        <v>5511</v>
      </c>
      <c r="B72" s="56" t="str">
        <f>'A) Base RI'!B74</f>
        <v>Assens</v>
      </c>
      <c r="C72" s="31">
        <f>'B) D RI'!Y74</f>
        <v>239523.35</v>
      </c>
      <c r="D72" s="14">
        <f>'B) D RI'!Z74</f>
        <v>11964.55</v>
      </c>
      <c r="E72" s="10">
        <f t="shared" si="3"/>
        <v>251487.9</v>
      </c>
      <c r="F72" s="14">
        <f>'B) D RI'!U74</f>
        <v>50067.904428571426</v>
      </c>
      <c r="G72" s="256">
        <f t="shared" si="4"/>
        <v>5.0229364074700023</v>
      </c>
      <c r="H72" s="57">
        <f t="shared" si="5"/>
        <v>123351.04000000001</v>
      </c>
    </row>
    <row r="73" spans="1:8" x14ac:dyDescent="0.25">
      <c r="A73" s="49">
        <f>'A) Base RI'!A75</f>
        <v>5512</v>
      </c>
      <c r="B73" s="56" t="str">
        <f>'A) Base RI'!B75</f>
        <v>Bercher</v>
      </c>
      <c r="C73" s="31">
        <f>'B) D RI'!Y75</f>
        <v>143192.20000000001</v>
      </c>
      <c r="D73" s="14">
        <f>'B) D RI'!Z75</f>
        <v>54197.25</v>
      </c>
      <c r="E73" s="10">
        <f t="shared" si="3"/>
        <v>197389.45</v>
      </c>
      <c r="F73" s="14">
        <f>'B) D RI'!U75</f>
        <v>40005.59860759494</v>
      </c>
      <c r="G73" s="256">
        <f t="shared" si="4"/>
        <v>4.9340456553630032</v>
      </c>
      <c r="H73" s="57">
        <f t="shared" si="5"/>
        <v>87855.275000000009</v>
      </c>
    </row>
    <row r="74" spans="1:8" x14ac:dyDescent="0.25">
      <c r="A74" s="49">
        <f>'A) Base RI'!A76</f>
        <v>5513</v>
      </c>
      <c r="B74" s="56" t="str">
        <f>'A) Base RI'!B76</f>
        <v>Bioley-Orjulaz</v>
      </c>
      <c r="C74" s="31">
        <f>'B) D RI'!Y76</f>
        <v>48186.05</v>
      </c>
      <c r="D74" s="14">
        <f>'B) D RI'!Z76</f>
        <v>131251.35</v>
      </c>
      <c r="E74" s="10">
        <f t="shared" si="3"/>
        <v>179437.40000000002</v>
      </c>
      <c r="F74" s="14">
        <f>'B) D RI'!U76</f>
        <v>22037.146176470589</v>
      </c>
      <c r="G74" s="256">
        <f t="shared" si="4"/>
        <v>8.1424971529021395</v>
      </c>
      <c r="H74" s="57">
        <f t="shared" si="5"/>
        <v>63468.43</v>
      </c>
    </row>
    <row r="75" spans="1:8" x14ac:dyDescent="0.25">
      <c r="A75" s="49">
        <f>'A) Base RI'!A77</f>
        <v>5514</v>
      </c>
      <c r="B75" s="56" t="str">
        <f>'A) Base RI'!B77</f>
        <v>Bottens</v>
      </c>
      <c r="C75" s="31">
        <f>'B) D RI'!Y77</f>
        <v>123247.25</v>
      </c>
      <c r="D75" s="14">
        <f>'B) D RI'!Z77</f>
        <v>5546.8</v>
      </c>
      <c r="E75" s="10">
        <f t="shared" si="3"/>
        <v>128794.05</v>
      </c>
      <c r="F75" s="14">
        <f>'B) D RI'!U77</f>
        <v>40784.156621621616</v>
      </c>
      <c r="G75" s="256">
        <f t="shared" si="4"/>
        <v>3.1579431982594968</v>
      </c>
      <c r="H75" s="57">
        <f t="shared" si="5"/>
        <v>63287.665000000001</v>
      </c>
    </row>
    <row r="76" spans="1:8" x14ac:dyDescent="0.25">
      <c r="A76" s="49">
        <f>'A) Base RI'!A78</f>
        <v>5515</v>
      </c>
      <c r="B76" s="56" t="str">
        <f>'A) Base RI'!B78</f>
        <v>Bretigny-sur-Morrens</v>
      </c>
      <c r="C76" s="31">
        <f>'B) D RI'!Y78</f>
        <v>187384.1</v>
      </c>
      <c r="D76" s="14">
        <f>'B) D RI'!Z78</f>
        <v>8303</v>
      </c>
      <c r="E76" s="10">
        <f t="shared" si="3"/>
        <v>195687.1</v>
      </c>
      <c r="F76" s="14">
        <f>'B) D RI'!U78</f>
        <v>28825.846790123462</v>
      </c>
      <c r="G76" s="256">
        <f t="shared" si="4"/>
        <v>6.7885984902635315</v>
      </c>
      <c r="H76" s="57">
        <f t="shared" si="5"/>
        <v>96182.95</v>
      </c>
    </row>
    <row r="77" spans="1:8" x14ac:dyDescent="0.25">
      <c r="A77" s="49">
        <f>'A) Base RI'!A79</f>
        <v>5516</v>
      </c>
      <c r="B77" s="56" t="str">
        <f>'A) Base RI'!B79</f>
        <v>Cugy</v>
      </c>
      <c r="C77" s="31">
        <f>'B) D RI'!Y79</f>
        <v>246324.75</v>
      </c>
      <c r="D77" s="14">
        <f>'B) D RI'!Z79</f>
        <v>81623.75</v>
      </c>
      <c r="E77" s="10">
        <f t="shared" si="3"/>
        <v>327948.5</v>
      </c>
      <c r="F77" s="14">
        <f>'B) D RI'!U79</f>
        <v>111163.080491453</v>
      </c>
      <c r="G77" s="256">
        <f t="shared" si="4"/>
        <v>2.950156639687715</v>
      </c>
      <c r="H77" s="57">
        <f t="shared" si="5"/>
        <v>147649.5</v>
      </c>
    </row>
    <row r="78" spans="1:8" x14ac:dyDescent="0.25">
      <c r="A78" s="49">
        <f>'A) Base RI'!A80</f>
        <v>5518</v>
      </c>
      <c r="B78" s="56" t="str">
        <f>'A) Base RI'!B80</f>
        <v>Echallens</v>
      </c>
      <c r="C78" s="31">
        <f>'B) D RI'!Y80</f>
        <v>1435821.35</v>
      </c>
      <c r="D78" s="14">
        <f>'B) D RI'!Z80</f>
        <v>155319.45000000001</v>
      </c>
      <c r="E78" s="10">
        <f t="shared" si="3"/>
        <v>1591140.8</v>
      </c>
      <c r="F78" s="14">
        <f>'B) D RI'!U80</f>
        <v>187816.41499999998</v>
      </c>
      <c r="G78" s="256">
        <f t="shared" si="4"/>
        <v>8.4717877295230046</v>
      </c>
      <c r="H78" s="57">
        <f t="shared" si="5"/>
        <v>764506.51</v>
      </c>
    </row>
    <row r="79" spans="1:8" x14ac:dyDescent="0.25">
      <c r="A79" s="49">
        <f>'A) Base RI'!A81</f>
        <v>5520</v>
      </c>
      <c r="B79" s="56" t="str">
        <f>'A) Base RI'!B81</f>
        <v>Essertines-sur-Yverdon</v>
      </c>
      <c r="C79" s="31">
        <f>'B) D RI'!Y81</f>
        <v>125983.59999999999</v>
      </c>
      <c r="D79" s="14">
        <f>'B) D RI'!Z81</f>
        <v>0</v>
      </c>
      <c r="E79" s="10">
        <f t="shared" si="3"/>
        <v>125983.59999999999</v>
      </c>
      <c r="F79" s="14">
        <f>'B) D RI'!U81</f>
        <v>29858.34041095891</v>
      </c>
      <c r="G79" s="256">
        <f t="shared" si="4"/>
        <v>4.2193771745518784</v>
      </c>
      <c r="H79" s="57">
        <f t="shared" si="5"/>
        <v>62991.799999999996</v>
      </c>
    </row>
    <row r="80" spans="1:8" x14ac:dyDescent="0.25">
      <c r="A80" s="49">
        <f>'A) Base RI'!A82</f>
        <v>5521</v>
      </c>
      <c r="B80" s="56" t="str">
        <f>'A) Base RI'!B82</f>
        <v>Etagnières</v>
      </c>
      <c r="C80" s="31">
        <f>'B) D RI'!Y82</f>
        <v>235901.45</v>
      </c>
      <c r="D80" s="14">
        <f>'B) D RI'!Z82</f>
        <v>46383.55</v>
      </c>
      <c r="E80" s="10">
        <f t="shared" si="3"/>
        <v>282285</v>
      </c>
      <c r="F80" s="14">
        <f>'B) D RI'!U82</f>
        <v>48278.723150684935</v>
      </c>
      <c r="G80" s="256">
        <f t="shared" si="4"/>
        <v>5.8469856197096881</v>
      </c>
      <c r="H80" s="57">
        <f t="shared" si="5"/>
        <v>131865.79</v>
      </c>
    </row>
    <row r="81" spans="1:8" x14ac:dyDescent="0.25">
      <c r="A81" s="49">
        <f>'A) Base RI'!A83</f>
        <v>5522</v>
      </c>
      <c r="B81" s="56" t="str">
        <f>'A) Base RI'!B83</f>
        <v>Fey</v>
      </c>
      <c r="C81" s="31">
        <f>'B) D RI'!Y83</f>
        <v>96596.65</v>
      </c>
      <c r="D81" s="14">
        <f>'B) D RI'!Z83</f>
        <v>12806.3</v>
      </c>
      <c r="E81" s="10">
        <f t="shared" si="3"/>
        <v>109402.95</v>
      </c>
      <c r="F81" s="14">
        <f>'B) D RI'!U83</f>
        <v>22727.539066666664</v>
      </c>
      <c r="G81" s="256">
        <f t="shared" si="4"/>
        <v>4.8136733888824672</v>
      </c>
      <c r="H81" s="57">
        <f t="shared" si="5"/>
        <v>52140.214999999997</v>
      </c>
    </row>
    <row r="82" spans="1:8" x14ac:dyDescent="0.25">
      <c r="A82" s="49">
        <f>'A) Base RI'!A84</f>
        <v>5523</v>
      </c>
      <c r="B82" s="56" t="str">
        <f>'A) Base RI'!B84</f>
        <v>Froideville</v>
      </c>
      <c r="C82" s="31">
        <f>'B) D RI'!Y84</f>
        <v>241205.55000000002</v>
      </c>
      <c r="D82" s="14">
        <f>'B) D RI'!Z84</f>
        <v>14220.2</v>
      </c>
      <c r="E82" s="10">
        <f t="shared" si="3"/>
        <v>255425.75000000003</v>
      </c>
      <c r="F82" s="14">
        <f>'B) D RI'!U84</f>
        <v>89231.727236842082</v>
      </c>
      <c r="G82" s="256">
        <f t="shared" si="4"/>
        <v>2.8624992243178231</v>
      </c>
      <c r="H82" s="57">
        <f t="shared" si="5"/>
        <v>124868.83500000001</v>
      </c>
    </row>
    <row r="83" spans="1:8" x14ac:dyDescent="0.25">
      <c r="A83" s="49">
        <f>'A) Base RI'!A85</f>
        <v>5527</v>
      </c>
      <c r="B83" s="56" t="str">
        <f>'A) Base RI'!B85</f>
        <v>Morrens</v>
      </c>
      <c r="C83" s="31">
        <f>'B) D RI'!Y85</f>
        <v>231879.3</v>
      </c>
      <c r="D83" s="14">
        <f>'B) D RI'!Z85</f>
        <v>9237.4500000000007</v>
      </c>
      <c r="E83" s="10">
        <f t="shared" si="3"/>
        <v>241116.75</v>
      </c>
      <c r="F83" s="14">
        <f>'B) D RI'!U85</f>
        <v>40137.160945945958</v>
      </c>
      <c r="G83" s="256">
        <f t="shared" si="4"/>
        <v>6.0073195093374911</v>
      </c>
      <c r="H83" s="57">
        <f t="shared" si="5"/>
        <v>118710.88499999999</v>
      </c>
    </row>
    <row r="84" spans="1:8" x14ac:dyDescent="0.25">
      <c r="A84" s="49">
        <f>'A) Base RI'!A86</f>
        <v>5529</v>
      </c>
      <c r="B84" s="56" t="str">
        <f>'A) Base RI'!B86</f>
        <v>Oulens-sous-Echallens</v>
      </c>
      <c r="C84" s="31">
        <f>'B) D RI'!Y86</f>
        <v>78023.55</v>
      </c>
      <c r="D84" s="14">
        <f>'B) D RI'!Z86</f>
        <v>1348.8</v>
      </c>
      <c r="E84" s="10">
        <f t="shared" si="3"/>
        <v>79372.350000000006</v>
      </c>
      <c r="F84" s="14">
        <f>'B) D RI'!U86</f>
        <v>21602.609436619721</v>
      </c>
      <c r="G84" s="256">
        <f t="shared" si="4"/>
        <v>3.6742019630948728</v>
      </c>
      <c r="H84" s="57">
        <f t="shared" si="5"/>
        <v>39416.415000000001</v>
      </c>
    </row>
    <row r="85" spans="1:8" x14ac:dyDescent="0.25">
      <c r="A85" s="49">
        <f>'A) Base RI'!A87</f>
        <v>5530</v>
      </c>
      <c r="B85" s="56" t="str">
        <f>'A) Base RI'!B87</f>
        <v>Pailly</v>
      </c>
      <c r="C85" s="31">
        <f>'B) D RI'!Y87</f>
        <v>95481.75</v>
      </c>
      <c r="D85" s="14">
        <f>'B) D RI'!Z87</f>
        <v>17160.75</v>
      </c>
      <c r="E85" s="10">
        <f t="shared" si="3"/>
        <v>112642.5</v>
      </c>
      <c r="F85" s="14">
        <f>'B) D RI'!U87</f>
        <v>17625.052150537631</v>
      </c>
      <c r="G85" s="256">
        <f t="shared" si="4"/>
        <v>6.3910449193515708</v>
      </c>
      <c r="H85" s="57">
        <f t="shared" si="5"/>
        <v>52889.1</v>
      </c>
    </row>
    <row r="86" spans="1:8" x14ac:dyDescent="0.25">
      <c r="A86" s="49">
        <f>'A) Base RI'!A88</f>
        <v>5531</v>
      </c>
      <c r="B86" s="56" t="str">
        <f>'A) Base RI'!B88</f>
        <v>Penthéréaz</v>
      </c>
      <c r="C86" s="31">
        <f>'B) D RI'!Y88</f>
        <v>10300.700000000001</v>
      </c>
      <c r="D86" s="14">
        <f>'B) D RI'!Z88</f>
        <v>6576.7</v>
      </c>
      <c r="E86" s="10">
        <f t="shared" si="3"/>
        <v>16877.400000000001</v>
      </c>
      <c r="F86" s="14">
        <f>'B) D RI'!U88</f>
        <v>14653.782435897439</v>
      </c>
      <c r="G86" s="256">
        <f t="shared" si="4"/>
        <v>1.1517435906961029</v>
      </c>
      <c r="H86" s="57">
        <f t="shared" si="5"/>
        <v>7123.3600000000006</v>
      </c>
    </row>
    <row r="87" spans="1:8" x14ac:dyDescent="0.25">
      <c r="A87" s="49">
        <f>'A) Base RI'!A89</f>
        <v>5533</v>
      </c>
      <c r="B87" s="56" t="str">
        <f>'A) Base RI'!B89</f>
        <v>Poliez-Pittet</v>
      </c>
      <c r="C87" s="31">
        <f>'B) D RI'!Y89</f>
        <v>140331.04999999999</v>
      </c>
      <c r="D87" s="14">
        <f>'B) D RI'!Z89</f>
        <v>4124.7</v>
      </c>
      <c r="E87" s="10">
        <f t="shared" si="3"/>
        <v>144455.75</v>
      </c>
      <c r="F87" s="14">
        <f>'B) D RI'!U89</f>
        <v>22836.129452054793</v>
      </c>
      <c r="G87" s="256">
        <f t="shared" si="4"/>
        <v>6.3257545593831743</v>
      </c>
      <c r="H87" s="57">
        <f t="shared" si="5"/>
        <v>71402.934999999998</v>
      </c>
    </row>
    <row r="88" spans="1:8" x14ac:dyDescent="0.25">
      <c r="A88" s="49">
        <f>'A) Base RI'!A90</f>
        <v>5534</v>
      </c>
      <c r="B88" s="56" t="str">
        <f>'A) Base RI'!B90</f>
        <v>Rueyres</v>
      </c>
      <c r="C88" s="31">
        <f>'B) D RI'!Y90</f>
        <v>30990.25</v>
      </c>
      <c r="D88" s="14">
        <f>'B) D RI'!Z90</f>
        <v>32174.75</v>
      </c>
      <c r="E88" s="10">
        <f t="shared" si="3"/>
        <v>63165</v>
      </c>
      <c r="F88" s="14">
        <f>'B) D RI'!U90</f>
        <v>10463.952465753426</v>
      </c>
      <c r="G88" s="256">
        <f t="shared" si="4"/>
        <v>6.0364379718588479</v>
      </c>
      <c r="H88" s="57">
        <f t="shared" si="5"/>
        <v>25147.55</v>
      </c>
    </row>
    <row r="89" spans="1:8" x14ac:dyDescent="0.25">
      <c r="A89" s="49">
        <f>'A) Base RI'!A91</f>
        <v>5535</v>
      </c>
      <c r="B89" s="56" t="str">
        <f>'A) Base RI'!B91</f>
        <v>Saint-Barthélemy</v>
      </c>
      <c r="C89" s="31">
        <f>'B) D RI'!Y91</f>
        <v>71441.3</v>
      </c>
      <c r="D89" s="14">
        <f>'B) D RI'!Z91</f>
        <v>42181.4</v>
      </c>
      <c r="E89" s="10">
        <f t="shared" si="3"/>
        <v>113622.70000000001</v>
      </c>
      <c r="F89" s="14">
        <f>'B) D RI'!U91</f>
        <v>22478.945584415589</v>
      </c>
      <c r="G89" s="256">
        <f t="shared" si="4"/>
        <v>5.054627654722978</v>
      </c>
      <c r="H89" s="57">
        <f t="shared" si="5"/>
        <v>48375.07</v>
      </c>
    </row>
    <row r="90" spans="1:8" x14ac:dyDescent="0.25">
      <c r="A90" s="49">
        <f>'A) Base RI'!A92</f>
        <v>5537</v>
      </c>
      <c r="B90" s="56" t="str">
        <f>'A) Base RI'!B92</f>
        <v>Villars-le-Terroir</v>
      </c>
      <c r="C90" s="31">
        <f>'B) D RI'!Y92</f>
        <v>94178.450000000012</v>
      </c>
      <c r="D90" s="14">
        <f>'B) D RI'!Z92</f>
        <v>0</v>
      </c>
      <c r="E90" s="10">
        <f t="shared" si="3"/>
        <v>94178.450000000012</v>
      </c>
      <c r="F90" s="14">
        <f>'B) D RI'!U92</f>
        <v>36268.70386986302</v>
      </c>
      <c r="G90" s="256">
        <f t="shared" si="4"/>
        <v>2.5966863976701493</v>
      </c>
      <c r="H90" s="57">
        <f t="shared" si="5"/>
        <v>47089.225000000006</v>
      </c>
    </row>
    <row r="91" spans="1:8" x14ac:dyDescent="0.25">
      <c r="A91" s="49">
        <f>'A) Base RI'!A93</f>
        <v>5539</v>
      </c>
      <c r="B91" s="56" t="str">
        <f>'A) Base RI'!B93</f>
        <v>Vuarrens</v>
      </c>
      <c r="C91" s="31">
        <f>'B) D RI'!Y93</f>
        <v>193657.75</v>
      </c>
      <c r="D91" s="14">
        <f>'B) D RI'!Z93</f>
        <v>21711.65</v>
      </c>
      <c r="E91" s="10">
        <f t="shared" si="3"/>
        <v>215369.4</v>
      </c>
      <c r="F91" s="14">
        <f>'B) D RI'!U93</f>
        <v>30000.607399999997</v>
      </c>
      <c r="G91" s="256">
        <f t="shared" si="4"/>
        <v>7.178834652527736</v>
      </c>
      <c r="H91" s="57">
        <f t="shared" si="5"/>
        <v>103342.37</v>
      </c>
    </row>
    <row r="92" spans="1:8" x14ac:dyDescent="0.25">
      <c r="A92" s="49">
        <f>'A) Base RI'!A94</f>
        <v>5540</v>
      </c>
      <c r="B92" s="56" t="str">
        <f>'A) Base RI'!B94</f>
        <v>Montilliez</v>
      </c>
      <c r="C92" s="31">
        <f>'B) D RI'!Y94</f>
        <v>156264.70000000001</v>
      </c>
      <c r="D92" s="14">
        <f>'B) D RI'!Z94</f>
        <v>2612.8000000000002</v>
      </c>
      <c r="E92" s="10">
        <f t="shared" si="3"/>
        <v>158877.5</v>
      </c>
      <c r="F92" s="14">
        <f>'B) D RI'!U94</f>
        <v>64761.783243243241</v>
      </c>
      <c r="G92" s="256">
        <f t="shared" si="4"/>
        <v>2.4532601179813263</v>
      </c>
      <c r="H92" s="57">
        <f t="shared" si="5"/>
        <v>78916.19</v>
      </c>
    </row>
    <row r="93" spans="1:8" x14ac:dyDescent="0.25">
      <c r="A93" s="49">
        <f>'A) Base RI'!A95</f>
        <v>5541</v>
      </c>
      <c r="B93" s="56" t="str">
        <f>'A) Base RI'!B95</f>
        <v>Goumoëns</v>
      </c>
      <c r="C93" s="31">
        <f>'B) D RI'!Y95</f>
        <v>215008.2</v>
      </c>
      <c r="D93" s="14">
        <f>'B) D RI'!Z95</f>
        <v>3564.9</v>
      </c>
      <c r="E93" s="10">
        <f t="shared" si="3"/>
        <v>218573.1</v>
      </c>
      <c r="F93" s="14">
        <f>'B) D RI'!U95</f>
        <v>37389.402987012982</v>
      </c>
      <c r="G93" s="256">
        <f t="shared" si="4"/>
        <v>5.8458569150173449</v>
      </c>
      <c r="H93" s="57">
        <f t="shared" si="5"/>
        <v>108573.57</v>
      </c>
    </row>
    <row r="94" spans="1:8" x14ac:dyDescent="0.25">
      <c r="A94" s="49">
        <f>'A) Base RI'!A96</f>
        <v>5551</v>
      </c>
      <c r="B94" s="56" t="str">
        <f>'A) Base RI'!B96</f>
        <v>Bonvillars</v>
      </c>
      <c r="C94" s="31">
        <f>'B) D RI'!Y96</f>
        <v>24509.5</v>
      </c>
      <c r="D94" s="14">
        <f>'B) D RI'!Z96</f>
        <v>0</v>
      </c>
      <c r="E94" s="10">
        <f t="shared" si="3"/>
        <v>24509.5</v>
      </c>
      <c r="F94" s="14">
        <f>'B) D RI'!U96</f>
        <v>18282.205818181821</v>
      </c>
      <c r="G94" s="256">
        <f t="shared" si="4"/>
        <v>1.3406205051922715</v>
      </c>
      <c r="H94" s="57">
        <f t="shared" si="5"/>
        <v>12254.75</v>
      </c>
    </row>
    <row r="95" spans="1:8" x14ac:dyDescent="0.25">
      <c r="A95" s="49">
        <f>'A) Base RI'!A97</f>
        <v>5552</v>
      </c>
      <c r="B95" s="56" t="str">
        <f>'A) Base RI'!B97</f>
        <v>Bullet</v>
      </c>
      <c r="C95" s="31">
        <f>'B) D RI'!Y97</f>
        <v>100952.95</v>
      </c>
      <c r="D95" s="14">
        <f>'B) D RI'!Z97</f>
        <v>53648</v>
      </c>
      <c r="E95" s="10">
        <f t="shared" si="3"/>
        <v>154600.95000000001</v>
      </c>
      <c r="F95" s="14">
        <f>'B) D RI'!U97</f>
        <v>18372.474931506851</v>
      </c>
      <c r="G95" s="256">
        <f t="shared" si="4"/>
        <v>8.4148134955337852</v>
      </c>
      <c r="H95" s="57">
        <f t="shared" si="5"/>
        <v>66570.875</v>
      </c>
    </row>
    <row r="96" spans="1:8" x14ac:dyDescent="0.25">
      <c r="A96" s="49">
        <f>'A) Base RI'!A98</f>
        <v>5553</v>
      </c>
      <c r="B96" s="56" t="str">
        <f>'A) Base RI'!B98</f>
        <v>Champagne</v>
      </c>
      <c r="C96" s="31">
        <f>'B) D RI'!Y98</f>
        <v>137631.95000000001</v>
      </c>
      <c r="D96" s="14">
        <f>'B) D RI'!Z98</f>
        <v>135489</v>
      </c>
      <c r="E96" s="10">
        <f t="shared" si="3"/>
        <v>273120.95</v>
      </c>
      <c r="F96" s="14">
        <f>'B) D RI'!U98</f>
        <v>37695.100615384617</v>
      </c>
      <c r="G96" s="256">
        <f t="shared" si="4"/>
        <v>7.2455291414855729</v>
      </c>
      <c r="H96" s="57">
        <f t="shared" si="5"/>
        <v>109462.675</v>
      </c>
    </row>
    <row r="97" spans="1:8" x14ac:dyDescent="0.25">
      <c r="A97" s="49">
        <f>'A) Base RI'!A99</f>
        <v>5554</v>
      </c>
      <c r="B97" s="56" t="str">
        <f>'A) Base RI'!B99</f>
        <v>Concise</v>
      </c>
      <c r="C97" s="31">
        <f>'B) D RI'!Y99</f>
        <v>368921.64999999997</v>
      </c>
      <c r="D97" s="14">
        <f>'B) D RI'!Z99</f>
        <v>2698.3</v>
      </c>
      <c r="E97" s="10">
        <f t="shared" si="3"/>
        <v>371619.94999999995</v>
      </c>
      <c r="F97" s="14">
        <f>'B) D RI'!U99</f>
        <v>33287.826000000008</v>
      </c>
      <c r="G97" s="256">
        <f t="shared" si="4"/>
        <v>11.163839597094741</v>
      </c>
      <c r="H97" s="57">
        <f t="shared" si="5"/>
        <v>185270.31499999997</v>
      </c>
    </row>
    <row r="98" spans="1:8" x14ac:dyDescent="0.25">
      <c r="A98" s="49">
        <f>'A) Base RI'!A100</f>
        <v>5555</v>
      </c>
      <c r="B98" s="56" t="str">
        <f>'A) Base RI'!B100</f>
        <v>Corcelles-près-Concise</v>
      </c>
      <c r="C98" s="31">
        <f>'B) D RI'!Y100</f>
        <v>87260.25</v>
      </c>
      <c r="D98" s="14">
        <f>'B) D RI'!Z100</f>
        <v>8245.2000000000007</v>
      </c>
      <c r="E98" s="10">
        <f t="shared" si="3"/>
        <v>95505.45</v>
      </c>
      <c r="F98" s="14">
        <f>'B) D RI'!U100</f>
        <v>13538.992394366198</v>
      </c>
      <c r="G98" s="256">
        <f t="shared" si="4"/>
        <v>7.0541032314739622</v>
      </c>
      <c r="H98" s="57">
        <f t="shared" si="5"/>
        <v>46103.684999999998</v>
      </c>
    </row>
    <row r="99" spans="1:8" x14ac:dyDescent="0.25">
      <c r="A99" s="49">
        <f>'A) Base RI'!A101</f>
        <v>5556</v>
      </c>
      <c r="B99" s="56" t="str">
        <f>'A) Base RI'!B101</f>
        <v>Fiez</v>
      </c>
      <c r="C99" s="31">
        <f>'B) D RI'!Y101</f>
        <v>29149.1</v>
      </c>
      <c r="D99" s="14">
        <f>'B) D RI'!Z101</f>
        <v>0</v>
      </c>
      <c r="E99" s="10">
        <f t="shared" si="3"/>
        <v>29149.1</v>
      </c>
      <c r="F99" s="14">
        <f>'B) D RI'!U101</f>
        <v>13049.601497584543</v>
      </c>
      <c r="G99" s="256">
        <f t="shared" si="4"/>
        <v>2.2337157196252653</v>
      </c>
      <c r="H99" s="57">
        <f t="shared" si="5"/>
        <v>14574.55</v>
      </c>
    </row>
    <row r="100" spans="1:8" x14ac:dyDescent="0.25">
      <c r="A100" s="49">
        <f>'A) Base RI'!A102</f>
        <v>5557</v>
      </c>
      <c r="B100" s="56" t="str">
        <f>'A) Base RI'!B102</f>
        <v>Fontaines-sur-Grandson</v>
      </c>
      <c r="C100" s="31">
        <f>'B) D RI'!Y102</f>
        <v>4367.6000000000004</v>
      </c>
      <c r="D100" s="14">
        <f>'B) D RI'!Z102</f>
        <v>0</v>
      </c>
      <c r="E100" s="10">
        <f t="shared" si="3"/>
        <v>4367.6000000000004</v>
      </c>
      <c r="F100" s="14">
        <f>'B) D RI'!U102</f>
        <v>6546.22</v>
      </c>
      <c r="G100" s="256">
        <f t="shared" si="4"/>
        <v>0.66719419756745113</v>
      </c>
      <c r="H100" s="57">
        <f t="shared" si="5"/>
        <v>2183.8000000000002</v>
      </c>
    </row>
    <row r="101" spans="1:8" x14ac:dyDescent="0.25">
      <c r="A101" s="49">
        <f>'A) Base RI'!A103</f>
        <v>5559</v>
      </c>
      <c r="B101" s="56" t="str">
        <f>'A) Base RI'!B103</f>
        <v>Giez</v>
      </c>
      <c r="C101" s="31">
        <f>'B) D RI'!Y103</f>
        <v>71459.45</v>
      </c>
      <c r="D101" s="14">
        <f>'B) D RI'!Z103</f>
        <v>17765.05</v>
      </c>
      <c r="E101" s="10">
        <f t="shared" si="3"/>
        <v>89224.5</v>
      </c>
      <c r="F101" s="14">
        <f>'B) D RI'!U103</f>
        <v>20822.479090909092</v>
      </c>
      <c r="G101" s="256">
        <f t="shared" si="4"/>
        <v>4.2850085050129607</v>
      </c>
      <c r="H101" s="57">
        <f t="shared" si="5"/>
        <v>41059.24</v>
      </c>
    </row>
    <row r="102" spans="1:8" x14ac:dyDescent="0.25">
      <c r="A102" s="49">
        <f>'A) Base RI'!A104</f>
        <v>5560</v>
      </c>
      <c r="B102" s="56" t="str">
        <f>'A) Base RI'!B104</f>
        <v>Grandevent</v>
      </c>
      <c r="C102" s="31">
        <f>'B) D RI'!Y104</f>
        <v>28344.45</v>
      </c>
      <c r="D102" s="14">
        <f>'B) D RI'!Z104</f>
        <v>0</v>
      </c>
      <c r="E102" s="10">
        <f t="shared" si="3"/>
        <v>28344.45</v>
      </c>
      <c r="F102" s="14">
        <f>'B) D RI'!U104</f>
        <v>7406.141029411765</v>
      </c>
      <c r="G102" s="256">
        <f t="shared" si="4"/>
        <v>3.8271550443661031</v>
      </c>
      <c r="H102" s="57">
        <f t="shared" si="5"/>
        <v>14172.225</v>
      </c>
    </row>
    <row r="103" spans="1:8" x14ac:dyDescent="0.25">
      <c r="A103" s="49">
        <f>'A) Base RI'!A105</f>
        <v>5561</v>
      </c>
      <c r="B103" s="56" t="str">
        <f>'A) Base RI'!B105</f>
        <v>Grandson</v>
      </c>
      <c r="C103" s="31">
        <f>'B) D RI'!Y105</f>
        <v>2457706.65</v>
      </c>
      <c r="D103" s="14">
        <f>'B) D RI'!Z105</f>
        <v>297970.95</v>
      </c>
      <c r="E103" s="10">
        <f t="shared" si="3"/>
        <v>2755677.6</v>
      </c>
      <c r="F103" s="14">
        <f>'B) D RI'!U105</f>
        <v>113542.57695652173</v>
      </c>
      <c r="G103" s="256">
        <f t="shared" si="4"/>
        <v>24.269993458535094</v>
      </c>
      <c r="H103" s="57">
        <f t="shared" si="5"/>
        <v>1318244.6099999999</v>
      </c>
    </row>
    <row r="104" spans="1:8" x14ac:dyDescent="0.25">
      <c r="A104" s="49">
        <f>'A) Base RI'!A106</f>
        <v>5562</v>
      </c>
      <c r="B104" s="56" t="str">
        <f>'A) Base RI'!B106</f>
        <v>Mauborget</v>
      </c>
      <c r="C104" s="31">
        <f>'B) D RI'!Y106</f>
        <v>83214.45</v>
      </c>
      <c r="D104" s="14">
        <f>'B) D RI'!Z106</f>
        <v>0</v>
      </c>
      <c r="E104" s="10">
        <f t="shared" si="3"/>
        <v>83214.45</v>
      </c>
      <c r="F104" s="14">
        <f>'B) D RI'!U106</f>
        <v>5487.2855</v>
      </c>
      <c r="G104" s="256">
        <f t="shared" si="4"/>
        <v>15.164957245253595</v>
      </c>
      <c r="H104" s="57">
        <f t="shared" si="5"/>
        <v>41607.224999999999</v>
      </c>
    </row>
    <row r="105" spans="1:8" x14ac:dyDescent="0.25">
      <c r="A105" s="49">
        <f>'A) Base RI'!A107</f>
        <v>5563</v>
      </c>
      <c r="B105" s="56" t="str">
        <f>'A) Base RI'!B107</f>
        <v>Mutrux</v>
      </c>
      <c r="C105" s="31">
        <f>'B) D RI'!Y107</f>
        <v>4745.95</v>
      </c>
      <c r="D105" s="14">
        <f>'B) D RI'!Z107</f>
        <v>0</v>
      </c>
      <c r="E105" s="10">
        <f t="shared" si="3"/>
        <v>4745.95</v>
      </c>
      <c r="F105" s="14">
        <f>'B) D RI'!U107</f>
        <v>4022.9622499999991</v>
      </c>
      <c r="G105" s="256">
        <f t="shared" si="4"/>
        <v>1.1797152707560208</v>
      </c>
      <c r="H105" s="57">
        <f t="shared" si="5"/>
        <v>2372.9749999999999</v>
      </c>
    </row>
    <row r="106" spans="1:8" x14ac:dyDescent="0.25">
      <c r="A106" s="49">
        <f>'A) Base RI'!A108</f>
        <v>5564</v>
      </c>
      <c r="B106" s="56" t="str">
        <f>'A) Base RI'!B108</f>
        <v>Novalles</v>
      </c>
      <c r="C106" s="31">
        <f>'B) D RI'!Y108</f>
        <v>19.8</v>
      </c>
      <c r="D106" s="14">
        <f>'B) D RI'!Z108</f>
        <v>0</v>
      </c>
      <c r="E106" s="10">
        <f t="shared" si="3"/>
        <v>19.8</v>
      </c>
      <c r="F106" s="14">
        <f>'B) D RI'!U108</f>
        <v>2263.2775657894736</v>
      </c>
      <c r="G106" s="256">
        <f t="shared" si="4"/>
        <v>8.7483746135633127E-3</v>
      </c>
      <c r="H106" s="57">
        <f t="shared" si="5"/>
        <v>9.9</v>
      </c>
    </row>
    <row r="107" spans="1:8" x14ac:dyDescent="0.25">
      <c r="A107" s="49">
        <f>'A) Base RI'!A109</f>
        <v>5565</v>
      </c>
      <c r="B107" s="56" t="str">
        <f>'A) Base RI'!B109</f>
        <v>Onnens</v>
      </c>
      <c r="C107" s="31">
        <f>'B) D RI'!Y109</f>
        <v>160775.35</v>
      </c>
      <c r="D107" s="14">
        <f>'B) D RI'!Z109</f>
        <v>31769.45</v>
      </c>
      <c r="E107" s="10">
        <f t="shared" si="3"/>
        <v>192544.80000000002</v>
      </c>
      <c r="F107" s="14">
        <f>'B) D RI'!U109</f>
        <v>18486.800307692305</v>
      </c>
      <c r="G107" s="256">
        <f t="shared" si="4"/>
        <v>10.415258281330743</v>
      </c>
      <c r="H107" s="57">
        <f t="shared" si="5"/>
        <v>89918.510000000009</v>
      </c>
    </row>
    <row r="108" spans="1:8" x14ac:dyDescent="0.25">
      <c r="A108" s="49">
        <f>'A) Base RI'!A110</f>
        <v>5566</v>
      </c>
      <c r="B108" s="56" t="str">
        <f>'A) Base RI'!B110</f>
        <v>Provence</v>
      </c>
      <c r="C108" s="31">
        <f>'B) D RI'!Y110</f>
        <v>67771.299999999988</v>
      </c>
      <c r="D108" s="14">
        <f>'B) D RI'!Z110</f>
        <v>33043.65</v>
      </c>
      <c r="E108" s="10">
        <f t="shared" si="3"/>
        <v>100814.94999999998</v>
      </c>
      <c r="F108" s="14">
        <f>'B) D RI'!U110</f>
        <v>8488.3012345678999</v>
      </c>
      <c r="G108" s="256">
        <f t="shared" si="4"/>
        <v>11.876928871166765</v>
      </c>
      <c r="H108" s="57">
        <f t="shared" si="5"/>
        <v>43798.744999999995</v>
      </c>
    </row>
    <row r="109" spans="1:8" x14ac:dyDescent="0.25">
      <c r="A109" s="49">
        <f>'A) Base RI'!A111</f>
        <v>5568</v>
      </c>
      <c r="B109" s="56" t="str">
        <f>'A) Base RI'!B111</f>
        <v>Sainte-Croix</v>
      </c>
      <c r="C109" s="31">
        <f>'B) D RI'!Y111</f>
        <v>1115336.3999999999</v>
      </c>
      <c r="D109" s="14">
        <f>'B) D RI'!Z111</f>
        <v>1673786.35</v>
      </c>
      <c r="E109" s="10">
        <f t="shared" si="3"/>
        <v>2789122.75</v>
      </c>
      <c r="F109" s="14">
        <f>'B) D RI'!U111</f>
        <v>109300.43271428571</v>
      </c>
      <c r="G109" s="256">
        <f t="shared" si="4"/>
        <v>25.517947923324719</v>
      </c>
      <c r="H109" s="57">
        <f t="shared" si="5"/>
        <v>1059804.105</v>
      </c>
    </row>
    <row r="110" spans="1:8" x14ac:dyDescent="0.25">
      <c r="A110" s="49">
        <f>'A) Base RI'!A112</f>
        <v>5571</v>
      </c>
      <c r="B110" s="56" t="str">
        <f>'A) Base RI'!B112</f>
        <v>Tévenon</v>
      </c>
      <c r="C110" s="31">
        <f>'B) D RI'!Y112</f>
        <v>111402.55</v>
      </c>
      <c r="D110" s="14">
        <f>'B) D RI'!Z112</f>
        <v>46447.8</v>
      </c>
      <c r="E110" s="10">
        <f t="shared" si="3"/>
        <v>157850.35</v>
      </c>
      <c r="F110" s="14">
        <f>'B) D RI'!U112</f>
        <v>24815.960251141551</v>
      </c>
      <c r="G110" s="256">
        <f t="shared" si="4"/>
        <v>6.3608398950727194</v>
      </c>
      <c r="H110" s="57">
        <f t="shared" si="5"/>
        <v>69635.615000000005</v>
      </c>
    </row>
    <row r="111" spans="1:8" x14ac:dyDescent="0.25">
      <c r="A111" s="49">
        <f>'A) Base RI'!A113</f>
        <v>5581</v>
      </c>
      <c r="B111" s="56" t="str">
        <f>'A) Base RI'!B113</f>
        <v>Belmont-sur-Lausanne</v>
      </c>
      <c r="C111" s="31">
        <f>'B) D RI'!Y113</f>
        <v>738696.10000000009</v>
      </c>
      <c r="D111" s="14">
        <f>'B) D RI'!Z113</f>
        <v>2747.25</v>
      </c>
      <c r="E111" s="10">
        <f t="shared" si="3"/>
        <v>741443.35000000009</v>
      </c>
      <c r="F111" s="14">
        <f>'B) D RI'!U113</f>
        <v>187774.68592592591</v>
      </c>
      <c r="G111" s="256">
        <f t="shared" si="4"/>
        <v>3.9485798969328996</v>
      </c>
      <c r="H111" s="57">
        <f t="shared" si="5"/>
        <v>370172.22500000003</v>
      </c>
    </row>
    <row r="112" spans="1:8" x14ac:dyDescent="0.25">
      <c r="A112" s="49">
        <f>'A) Base RI'!A114</f>
        <v>5582</v>
      </c>
      <c r="B112" s="56" t="str">
        <f>'A) Base RI'!B114</f>
        <v>Cheseaux-sur-Lausanne</v>
      </c>
      <c r="C112" s="31">
        <f>'B) D RI'!Y114</f>
        <v>939557.35000000009</v>
      </c>
      <c r="D112" s="14">
        <f>'B) D RI'!Z114</f>
        <v>456234.5</v>
      </c>
      <c r="E112" s="10">
        <f t="shared" si="3"/>
        <v>1395791.85</v>
      </c>
      <c r="F112" s="14">
        <f>'B) D RI'!U114</f>
        <v>167195.61731543625</v>
      </c>
      <c r="G112" s="256">
        <f t="shared" si="4"/>
        <v>8.3482562067799755</v>
      </c>
      <c r="H112" s="57">
        <f t="shared" si="5"/>
        <v>606649.02500000002</v>
      </c>
    </row>
    <row r="113" spans="1:8" x14ac:dyDescent="0.25">
      <c r="A113" s="49">
        <f>'A) Base RI'!A115</f>
        <v>5583</v>
      </c>
      <c r="B113" s="56" t="str">
        <f>'A) Base RI'!B115</f>
        <v>Crissier</v>
      </c>
      <c r="C113" s="31">
        <f>'B) D RI'!Y115</f>
        <v>1784205.6500000001</v>
      </c>
      <c r="D113" s="14">
        <f>'B) D RI'!Z115</f>
        <v>1828974.65</v>
      </c>
      <c r="E113" s="10">
        <f t="shared" si="3"/>
        <v>3613180.3</v>
      </c>
      <c r="F113" s="14">
        <f>'B) D RI'!U115</f>
        <v>313349.85476923082</v>
      </c>
      <c r="G113" s="256">
        <f t="shared" si="4"/>
        <v>11.530818492515202</v>
      </c>
      <c r="H113" s="57">
        <f t="shared" si="5"/>
        <v>1440795.22</v>
      </c>
    </row>
    <row r="114" spans="1:8" x14ac:dyDescent="0.25">
      <c r="A114" s="49">
        <f>'A) Base RI'!A116</f>
        <v>5584</v>
      </c>
      <c r="B114" s="56" t="str">
        <f>'A) Base RI'!B116</f>
        <v>Epalinges</v>
      </c>
      <c r="C114" s="31">
        <f>'B) D RI'!Y116</f>
        <v>2278499.8199999998</v>
      </c>
      <c r="D114" s="14">
        <f>'B) D RI'!Z116</f>
        <v>263683.25</v>
      </c>
      <c r="E114" s="10">
        <f t="shared" si="3"/>
        <v>2542183.0699999998</v>
      </c>
      <c r="F114" s="14">
        <f>'B) D RI'!U116</f>
        <v>475091.38424242428</v>
      </c>
      <c r="G114" s="256">
        <f t="shared" si="4"/>
        <v>5.3509349028792395</v>
      </c>
      <c r="H114" s="57">
        <f t="shared" si="5"/>
        <v>1218354.885</v>
      </c>
    </row>
    <row r="115" spans="1:8" x14ac:dyDescent="0.25">
      <c r="A115" s="49">
        <f>'A) Base RI'!A117</f>
        <v>5585</v>
      </c>
      <c r="B115" s="56" t="str">
        <f>'A) Base RI'!B117</f>
        <v>Jouxtens-Mézery</v>
      </c>
      <c r="C115" s="31">
        <f>'B) D RI'!Y117</f>
        <v>438350.3</v>
      </c>
      <c r="D115" s="14">
        <f>'B) D RI'!Z117</f>
        <v>1587.1</v>
      </c>
      <c r="E115" s="10">
        <f t="shared" si="3"/>
        <v>439937.39999999997</v>
      </c>
      <c r="F115" s="14">
        <f>'B) D RI'!U117</f>
        <v>229695.06966101698</v>
      </c>
      <c r="G115" s="256">
        <f t="shared" si="4"/>
        <v>1.9153105926446645</v>
      </c>
      <c r="H115" s="57">
        <f t="shared" si="5"/>
        <v>219651.28</v>
      </c>
    </row>
    <row r="116" spans="1:8" x14ac:dyDescent="0.25">
      <c r="A116" s="49">
        <f>'A) Base RI'!A118</f>
        <v>5586</v>
      </c>
      <c r="B116" s="56" t="str">
        <f>'A) Base RI'!B118</f>
        <v>Lausanne</v>
      </c>
      <c r="C116" s="31">
        <f>'B) D RI'!Y118</f>
        <v>33438163.050000001</v>
      </c>
      <c r="D116" s="14">
        <f>'B) D RI'!Z118</f>
        <v>11639074.1</v>
      </c>
      <c r="E116" s="10">
        <f t="shared" si="3"/>
        <v>45077237.149999999</v>
      </c>
      <c r="F116" s="14">
        <f>'B) D RI'!U118</f>
        <v>6038274.9810970454</v>
      </c>
      <c r="G116" s="256">
        <f t="shared" si="4"/>
        <v>7.4652508027731921</v>
      </c>
      <c r="H116" s="57">
        <f t="shared" si="5"/>
        <v>20210803.754999999</v>
      </c>
    </row>
    <row r="117" spans="1:8" x14ac:dyDescent="0.25">
      <c r="A117" s="49">
        <f>'A) Base RI'!A119</f>
        <v>5587</v>
      </c>
      <c r="B117" s="56" t="str">
        <f>'A) Base RI'!B119</f>
        <v>Le Mont-sur-Lausanne</v>
      </c>
      <c r="C117" s="31">
        <f>'B) D RI'!Y119</f>
        <v>1568943.5</v>
      </c>
      <c r="D117" s="14">
        <f>'B) D RI'!Z119</f>
        <v>464277.7</v>
      </c>
      <c r="E117" s="10">
        <f t="shared" si="3"/>
        <v>2033221.2</v>
      </c>
      <c r="F117" s="14">
        <f>'B) D RI'!U119</f>
        <v>437426.32075555553</v>
      </c>
      <c r="G117" s="256">
        <f t="shared" si="4"/>
        <v>4.6481455356597374</v>
      </c>
      <c r="H117" s="57">
        <f t="shared" si="5"/>
        <v>923755.06</v>
      </c>
    </row>
    <row r="118" spans="1:8" x14ac:dyDescent="0.25">
      <c r="A118" s="49">
        <f>'A) Base RI'!A120</f>
        <v>5588</v>
      </c>
      <c r="B118" s="56" t="str">
        <f>'A) Base RI'!B120</f>
        <v>Paudex</v>
      </c>
      <c r="C118" s="31">
        <f>'B) D RI'!Y120</f>
        <v>165007.35</v>
      </c>
      <c r="D118" s="14">
        <f>'B) D RI'!Z120</f>
        <v>6796.8</v>
      </c>
      <c r="E118" s="10">
        <f t="shared" si="3"/>
        <v>171804.15</v>
      </c>
      <c r="F118" s="14">
        <f>'B) D RI'!U120</f>
        <v>134588.09264705883</v>
      </c>
      <c r="G118" s="256">
        <f t="shared" si="4"/>
        <v>1.2765182017293002</v>
      </c>
      <c r="H118" s="57">
        <f t="shared" si="5"/>
        <v>84542.714999999997</v>
      </c>
    </row>
    <row r="119" spans="1:8" x14ac:dyDescent="0.25">
      <c r="A119" s="49">
        <f>'A) Base RI'!A121</f>
        <v>5589</v>
      </c>
      <c r="B119" s="56" t="str">
        <f>'A) Base RI'!B121</f>
        <v>Prilly</v>
      </c>
      <c r="C119" s="31">
        <f>'B) D RI'!Y121</f>
        <v>1516116.6</v>
      </c>
      <c r="D119" s="14">
        <f>'B) D RI'!Z121</f>
        <v>1109829.25</v>
      </c>
      <c r="E119" s="10">
        <f t="shared" si="3"/>
        <v>2625945.85</v>
      </c>
      <c r="F119" s="14">
        <f>'B) D RI'!U121</f>
        <v>418113.86360020924</v>
      </c>
      <c r="G119" s="256">
        <f t="shared" si="4"/>
        <v>6.280456302953084</v>
      </c>
      <c r="H119" s="57">
        <f t="shared" si="5"/>
        <v>1091007.075</v>
      </c>
    </row>
    <row r="120" spans="1:8" x14ac:dyDescent="0.25">
      <c r="A120" s="49">
        <f>'A) Base RI'!A122</f>
        <v>5590</v>
      </c>
      <c r="B120" s="56" t="str">
        <f>'A) Base RI'!B122</f>
        <v>Pully</v>
      </c>
      <c r="C120" s="31">
        <f>'B) D RI'!Y122</f>
        <v>9909031.1500000004</v>
      </c>
      <c r="D120" s="14">
        <f>'B) D RI'!Z122</f>
        <v>164601.25</v>
      </c>
      <c r="E120" s="10">
        <f t="shared" si="3"/>
        <v>10073632.4</v>
      </c>
      <c r="F120" s="14">
        <f>'B) D RI'!U122</f>
        <v>1533094.7704683845</v>
      </c>
      <c r="G120" s="256">
        <f t="shared" si="4"/>
        <v>6.5707825726405336</v>
      </c>
      <c r="H120" s="57">
        <f t="shared" si="5"/>
        <v>5003895.95</v>
      </c>
    </row>
    <row r="121" spans="1:8" x14ac:dyDescent="0.25">
      <c r="A121" s="49">
        <f>'A) Base RI'!A123</f>
        <v>5591</v>
      </c>
      <c r="B121" s="56" t="str">
        <f>'A) Base RI'!B123</f>
        <v>Renens</v>
      </c>
      <c r="C121" s="31">
        <f>'B) D RI'!Y123</f>
        <v>2790361.2</v>
      </c>
      <c r="D121" s="14">
        <f>'B) D RI'!Z123</f>
        <v>1922457.75</v>
      </c>
      <c r="E121" s="10">
        <f t="shared" si="3"/>
        <v>4712818.95</v>
      </c>
      <c r="F121" s="14">
        <f>'B) D RI'!U123</f>
        <v>563128.30316651508</v>
      </c>
      <c r="G121" s="256">
        <f t="shared" si="4"/>
        <v>8.3689967694741068</v>
      </c>
      <c r="H121" s="57">
        <f t="shared" si="5"/>
        <v>1971917.925</v>
      </c>
    </row>
    <row r="122" spans="1:8" x14ac:dyDescent="0.25">
      <c r="A122" s="49">
        <f>'A) Base RI'!A124</f>
        <v>5592</v>
      </c>
      <c r="B122" s="56" t="str">
        <f>'A) Base RI'!B124</f>
        <v>Romanel-sur-Lausanne</v>
      </c>
      <c r="C122" s="31">
        <f>'B) D RI'!Y124</f>
        <v>596609.1</v>
      </c>
      <c r="D122" s="14">
        <f>'B) D RI'!Z124</f>
        <v>201383</v>
      </c>
      <c r="E122" s="10">
        <f t="shared" si="3"/>
        <v>797992.1</v>
      </c>
      <c r="F122" s="14">
        <f>'B) D RI'!U124</f>
        <v>113674.73902777777</v>
      </c>
      <c r="G122" s="256">
        <f t="shared" si="4"/>
        <v>7.0199598153904814</v>
      </c>
      <c r="H122" s="57">
        <f t="shared" si="5"/>
        <v>358719.44999999995</v>
      </c>
    </row>
    <row r="123" spans="1:8" x14ac:dyDescent="0.25">
      <c r="A123" s="49">
        <f>'A) Base RI'!A125</f>
        <v>5601</v>
      </c>
      <c r="B123" s="56" t="str">
        <f>'A) Base RI'!B125</f>
        <v>Chexbres</v>
      </c>
      <c r="C123" s="31">
        <f>'B) D RI'!Y125</f>
        <v>815985.92</v>
      </c>
      <c r="D123" s="14">
        <f>'B) D RI'!Z125</f>
        <v>57507.3</v>
      </c>
      <c r="E123" s="10">
        <f t="shared" si="3"/>
        <v>873493.22000000009</v>
      </c>
      <c r="F123" s="14">
        <f>'B) D RI'!U125</f>
        <v>103470.98536231882</v>
      </c>
      <c r="G123" s="256">
        <f t="shared" si="4"/>
        <v>8.4419145806076514</v>
      </c>
      <c r="H123" s="57">
        <f t="shared" si="5"/>
        <v>425245.15</v>
      </c>
    </row>
    <row r="124" spans="1:8" x14ac:dyDescent="0.25">
      <c r="A124" s="49">
        <f>'A) Base RI'!A126</f>
        <v>5604</v>
      </c>
      <c r="B124" s="56" t="str">
        <f>'A) Base RI'!B126</f>
        <v>Forel (Lavaux)</v>
      </c>
      <c r="C124" s="31">
        <f>'B) D RI'!Y126</f>
        <v>344450.1</v>
      </c>
      <c r="D124" s="14">
        <f>'B) D RI'!Z126</f>
        <v>86564.800000000003</v>
      </c>
      <c r="E124" s="10">
        <f t="shared" si="3"/>
        <v>431014.89999999997</v>
      </c>
      <c r="F124" s="14">
        <f>'B) D RI'!U126</f>
        <v>73971.129714285707</v>
      </c>
      <c r="G124" s="256">
        <f t="shared" si="4"/>
        <v>5.8267989371637245</v>
      </c>
      <c r="H124" s="57">
        <f t="shared" si="5"/>
        <v>198194.49</v>
      </c>
    </row>
    <row r="125" spans="1:8" x14ac:dyDescent="0.25">
      <c r="A125" s="49">
        <f>'A) Base RI'!A127</f>
        <v>5606</v>
      </c>
      <c r="B125" s="56" t="str">
        <f>'A) Base RI'!B127</f>
        <v>Lutry</v>
      </c>
      <c r="C125" s="31">
        <f>'B) D RI'!Y127</f>
        <v>7300230.1000000006</v>
      </c>
      <c r="D125" s="14">
        <f>'B) D RI'!Z127</f>
        <v>105724.85</v>
      </c>
      <c r="E125" s="10">
        <f t="shared" si="3"/>
        <v>7405954.9500000002</v>
      </c>
      <c r="F125" s="14">
        <f>'B) D RI'!U127</f>
        <v>806998.35454311455</v>
      </c>
      <c r="G125" s="256">
        <f t="shared" si="4"/>
        <v>9.1771623923482615</v>
      </c>
      <c r="H125" s="57">
        <f t="shared" si="5"/>
        <v>3681832.5050000004</v>
      </c>
    </row>
    <row r="126" spans="1:8" x14ac:dyDescent="0.25">
      <c r="A126" s="49">
        <f>'A) Base RI'!A128</f>
        <v>5607</v>
      </c>
      <c r="B126" s="56" t="str">
        <f>'A) Base RI'!B128</f>
        <v>Puidoux</v>
      </c>
      <c r="C126" s="31">
        <f>'B) D RI'!Y128</f>
        <v>243871.35</v>
      </c>
      <c r="D126" s="14">
        <f>'B) D RI'!Z128</f>
        <v>204335.45</v>
      </c>
      <c r="E126" s="10">
        <f t="shared" si="3"/>
        <v>448206.80000000005</v>
      </c>
      <c r="F126" s="14">
        <f>'B) D RI'!U128</f>
        <v>100918.13995031056</v>
      </c>
      <c r="G126" s="256">
        <f t="shared" si="4"/>
        <v>4.4412907354484066</v>
      </c>
      <c r="H126" s="57">
        <f t="shared" si="5"/>
        <v>183236.31</v>
      </c>
    </row>
    <row r="127" spans="1:8" x14ac:dyDescent="0.25">
      <c r="A127" s="49">
        <f>'A) Base RI'!A129</f>
        <v>5609</v>
      </c>
      <c r="B127" s="56" t="str">
        <f>'A) Base RI'!B129</f>
        <v>Rivaz</v>
      </c>
      <c r="C127" s="31">
        <f>'B) D RI'!Y129</f>
        <v>37235</v>
      </c>
      <c r="D127" s="14">
        <f>'B) D RI'!Z129</f>
        <v>0</v>
      </c>
      <c r="E127" s="10">
        <f t="shared" si="3"/>
        <v>37235</v>
      </c>
      <c r="F127" s="14">
        <f>'B) D RI'!U129</f>
        <v>13641.583779527558</v>
      </c>
      <c r="G127" s="256">
        <f t="shared" si="4"/>
        <v>2.7295217770740061</v>
      </c>
      <c r="H127" s="57">
        <f t="shared" si="5"/>
        <v>18617.5</v>
      </c>
    </row>
    <row r="128" spans="1:8" x14ac:dyDescent="0.25">
      <c r="A128" s="49">
        <f>'A) Base RI'!A130</f>
        <v>5610</v>
      </c>
      <c r="B128" s="56" t="str">
        <f>'A) Base RI'!B130</f>
        <v>St-Saphorin (Lavaux)</v>
      </c>
      <c r="C128" s="31">
        <f>'B) D RI'!Y130</f>
        <v>33802.35</v>
      </c>
      <c r="D128" s="14">
        <f>'B) D RI'!Z130</f>
        <v>0</v>
      </c>
      <c r="E128" s="10">
        <f t="shared" si="3"/>
        <v>33802.35</v>
      </c>
      <c r="F128" s="14">
        <f>'B) D RI'!U130</f>
        <v>22278.713000000003</v>
      </c>
      <c r="G128" s="256">
        <f t="shared" si="4"/>
        <v>1.5172487746486969</v>
      </c>
      <c r="H128" s="57">
        <f t="shared" si="5"/>
        <v>16901.174999999999</v>
      </c>
    </row>
    <row r="129" spans="1:8" x14ac:dyDescent="0.25">
      <c r="A129" s="49">
        <f>'A) Base RI'!A131</f>
        <v>5611</v>
      </c>
      <c r="B129" s="56" t="str">
        <f>'A) Base RI'!B131</f>
        <v>Savigny</v>
      </c>
      <c r="C129" s="31">
        <f>'B) D RI'!Y131</f>
        <v>1242585.7000000002</v>
      </c>
      <c r="D129" s="14">
        <f>'B) D RI'!Z131</f>
        <v>112933.35</v>
      </c>
      <c r="E129" s="10">
        <f t="shared" si="3"/>
        <v>1355519.0500000003</v>
      </c>
      <c r="F129" s="14">
        <f>'B) D RI'!U131</f>
        <v>134929.74355072467</v>
      </c>
      <c r="G129" s="256">
        <f t="shared" si="4"/>
        <v>10.046110029775715</v>
      </c>
      <c r="H129" s="57">
        <f t="shared" si="5"/>
        <v>655172.8550000001</v>
      </c>
    </row>
    <row r="130" spans="1:8" x14ac:dyDescent="0.25">
      <c r="A130" s="49">
        <f>'A) Base RI'!A132</f>
        <v>5613</v>
      </c>
      <c r="B130" s="56" t="str">
        <f>'A) Base RI'!B132</f>
        <v>Bourg-en-Lavaux</v>
      </c>
      <c r="C130" s="31">
        <f>'B) D RI'!Y132</f>
        <v>1963191.9</v>
      </c>
      <c r="D130" s="14">
        <f>'B) D RI'!Z132</f>
        <v>39562.800000000003</v>
      </c>
      <c r="E130" s="10">
        <f t="shared" si="3"/>
        <v>2002754.7</v>
      </c>
      <c r="F130" s="14">
        <f>'B) D RI'!U132</f>
        <v>333126.87406250008</v>
      </c>
      <c r="G130" s="256">
        <f t="shared" si="4"/>
        <v>6.0119877918472895</v>
      </c>
      <c r="H130" s="57">
        <f t="shared" si="5"/>
        <v>993464.78999999992</v>
      </c>
    </row>
    <row r="131" spans="1:8" x14ac:dyDescent="0.25">
      <c r="A131" s="49">
        <f>'A) Base RI'!A133</f>
        <v>5621</v>
      </c>
      <c r="B131" s="56" t="str">
        <f>'A) Base RI'!B133</f>
        <v>Aclens</v>
      </c>
      <c r="C131" s="31">
        <f>'B) D RI'!Y133</f>
        <v>186757.4</v>
      </c>
      <c r="D131" s="14">
        <f>'B) D RI'!Z133</f>
        <v>163883.20000000001</v>
      </c>
      <c r="E131" s="10">
        <f t="shared" si="3"/>
        <v>350640.6</v>
      </c>
      <c r="F131" s="14">
        <f>'B) D RI'!U133</f>
        <v>27514.906070381232</v>
      </c>
      <c r="G131" s="256">
        <f t="shared" si="4"/>
        <v>12.74365971314187</v>
      </c>
      <c r="H131" s="57">
        <f t="shared" si="5"/>
        <v>142543.66</v>
      </c>
    </row>
    <row r="132" spans="1:8" x14ac:dyDescent="0.25">
      <c r="A132" s="49">
        <f>'A) Base RI'!A134</f>
        <v>5622</v>
      </c>
      <c r="B132" s="56" t="str">
        <f>'A) Base RI'!B134</f>
        <v>Bremblens</v>
      </c>
      <c r="C132" s="31">
        <f>'B) D RI'!Y134</f>
        <v>227182.35</v>
      </c>
      <c r="D132" s="14">
        <f>'B) D RI'!Z134</f>
        <v>25229.55</v>
      </c>
      <c r="E132" s="10">
        <f t="shared" si="3"/>
        <v>252411.9</v>
      </c>
      <c r="F132" s="14">
        <f>'B) D RI'!U134</f>
        <v>27505.151666666668</v>
      </c>
      <c r="G132" s="256">
        <f t="shared" si="4"/>
        <v>9.1768954070482902</v>
      </c>
      <c r="H132" s="57">
        <f t="shared" si="5"/>
        <v>121160.04000000001</v>
      </c>
    </row>
    <row r="133" spans="1:8" x14ac:dyDescent="0.25">
      <c r="A133" s="49">
        <f>'A) Base RI'!A135</f>
        <v>5623</v>
      </c>
      <c r="B133" s="56" t="str">
        <f>'A) Base RI'!B135</f>
        <v>Buchillon</v>
      </c>
      <c r="C133" s="31">
        <f>'B) D RI'!Y135</f>
        <v>465814.1</v>
      </c>
      <c r="D133" s="14">
        <f>'B) D RI'!Z135</f>
        <v>1708.45</v>
      </c>
      <c r="E133" s="10">
        <f t="shared" si="3"/>
        <v>467522.55</v>
      </c>
      <c r="F133" s="14">
        <f>'B) D RI'!U135</f>
        <v>89779.897358490547</v>
      </c>
      <c r="G133" s="256">
        <f t="shared" si="4"/>
        <v>5.2074302127255221</v>
      </c>
      <c r="H133" s="57">
        <f t="shared" si="5"/>
        <v>233419.58499999999</v>
      </c>
    </row>
    <row r="134" spans="1:8" x14ac:dyDescent="0.25">
      <c r="A134" s="49">
        <f>'A) Base RI'!A136</f>
        <v>5624</v>
      </c>
      <c r="B134" s="56" t="str">
        <f>'A) Base RI'!B136</f>
        <v>Bussigny</v>
      </c>
      <c r="C134" s="31">
        <f>'B) D RI'!Y136</f>
        <v>3182607.0999999996</v>
      </c>
      <c r="D134" s="14">
        <f>'B) D RI'!Z136</f>
        <v>1135079.8999999999</v>
      </c>
      <c r="E134" s="10">
        <f t="shared" ref="E134:E197" si="6">C134+D134</f>
        <v>4317687</v>
      </c>
      <c r="F134" s="14">
        <f>'B) D RI'!U136</f>
        <v>397950.93625000003</v>
      </c>
      <c r="G134" s="256">
        <f t="shared" ref="G134:G197" si="7">E134/F134</f>
        <v>10.849797315937336</v>
      </c>
      <c r="H134" s="57">
        <f t="shared" ref="H134:H197" si="8">(C134*$C$4)+(D134*$D$4)</f>
        <v>1931827.5199999998</v>
      </c>
    </row>
    <row r="135" spans="1:8" x14ac:dyDescent="0.25">
      <c r="A135" s="49">
        <f>'A) Base RI'!A137</f>
        <v>5625</v>
      </c>
      <c r="B135" s="56" t="str">
        <f>'A) Base RI'!B137</f>
        <v>Bussy-Chardonney</v>
      </c>
      <c r="C135" s="31">
        <f>'B) D RI'!Y137</f>
        <v>87121.85</v>
      </c>
      <c r="D135" s="14">
        <f>'B) D RI'!Z137</f>
        <v>0</v>
      </c>
      <c r="E135" s="10">
        <f t="shared" si="6"/>
        <v>87121.85</v>
      </c>
      <c r="F135" s="14">
        <f>'B) D RI'!U137</f>
        <v>16807.989913419911</v>
      </c>
      <c r="G135" s="256">
        <f t="shared" si="7"/>
        <v>5.1833592504978707</v>
      </c>
      <c r="H135" s="57">
        <f t="shared" si="8"/>
        <v>43560.925000000003</v>
      </c>
    </row>
    <row r="136" spans="1:8" x14ac:dyDescent="0.25">
      <c r="A136" s="49">
        <f>'A) Base RI'!A138</f>
        <v>5627</v>
      </c>
      <c r="B136" s="56" t="str">
        <f>'A) Base RI'!B138</f>
        <v>Chavannes-près-Renens</v>
      </c>
      <c r="C136" s="31">
        <f>'B) D RI'!Y138</f>
        <v>2650331.9</v>
      </c>
      <c r="D136" s="14">
        <f>'B) D RI'!Z138</f>
        <v>311973.45</v>
      </c>
      <c r="E136" s="10">
        <f t="shared" si="6"/>
        <v>2962305.35</v>
      </c>
      <c r="F136" s="14">
        <f>'B) D RI'!U138</f>
        <v>211976.34008438818</v>
      </c>
      <c r="G136" s="256">
        <f t="shared" si="7"/>
        <v>13.974698066872467</v>
      </c>
      <c r="H136" s="57">
        <f t="shared" si="8"/>
        <v>1418757.9849999999</v>
      </c>
    </row>
    <row r="137" spans="1:8" x14ac:dyDescent="0.25">
      <c r="A137" s="49">
        <f>'A) Base RI'!A139</f>
        <v>5628</v>
      </c>
      <c r="B137" s="56" t="str">
        <f>'A) Base RI'!B139</f>
        <v>Chigny</v>
      </c>
      <c r="C137" s="31">
        <f>'B) D RI'!Y139</f>
        <v>152416.44999999998</v>
      </c>
      <c r="D137" s="14">
        <f>'B) D RI'!Z139</f>
        <v>11124.5</v>
      </c>
      <c r="E137" s="10">
        <f t="shared" si="6"/>
        <v>163540.94999999998</v>
      </c>
      <c r="F137" s="14">
        <f>'B) D RI'!U139</f>
        <v>22390.960806451614</v>
      </c>
      <c r="G137" s="256">
        <f t="shared" si="7"/>
        <v>7.3038826432529929</v>
      </c>
      <c r="H137" s="57">
        <f t="shared" si="8"/>
        <v>79545.574999999997</v>
      </c>
    </row>
    <row r="138" spans="1:8" x14ac:dyDescent="0.25">
      <c r="A138" s="49">
        <f>'A) Base RI'!A140</f>
        <v>5629</v>
      </c>
      <c r="B138" s="56" t="str">
        <f>'A) Base RI'!B140</f>
        <v>Clarmont</v>
      </c>
      <c r="C138" s="31">
        <f>'B) D RI'!Y140</f>
        <v>102692.95</v>
      </c>
      <c r="D138" s="14">
        <f>'B) D RI'!Z140</f>
        <v>0</v>
      </c>
      <c r="E138" s="10">
        <f t="shared" si="6"/>
        <v>102692.95</v>
      </c>
      <c r="F138" s="14">
        <f>'B) D RI'!U140</f>
        <v>6767.1243999999997</v>
      </c>
      <c r="G138" s="256">
        <f t="shared" si="7"/>
        <v>15.175271493457398</v>
      </c>
      <c r="H138" s="57">
        <f t="shared" si="8"/>
        <v>51346.474999999999</v>
      </c>
    </row>
    <row r="139" spans="1:8" x14ac:dyDescent="0.25">
      <c r="A139" s="49">
        <f>'A) Base RI'!A141</f>
        <v>5631</v>
      </c>
      <c r="B139" s="56" t="str">
        <f>'A) Base RI'!B141</f>
        <v>Denens</v>
      </c>
      <c r="C139" s="31">
        <f>'B) D RI'!Y141</f>
        <v>104019.6</v>
      </c>
      <c r="D139" s="14">
        <f>'B) D RI'!Z141</f>
        <v>0</v>
      </c>
      <c r="E139" s="10">
        <f t="shared" si="6"/>
        <v>104019.6</v>
      </c>
      <c r="F139" s="14">
        <f>'B) D RI'!U141</f>
        <v>51475.873428571431</v>
      </c>
      <c r="G139" s="256">
        <f t="shared" si="7"/>
        <v>2.0207447309143558</v>
      </c>
      <c r="H139" s="57">
        <f t="shared" si="8"/>
        <v>52009.8</v>
      </c>
    </row>
    <row r="140" spans="1:8" x14ac:dyDescent="0.25">
      <c r="A140" s="49">
        <f>'A) Base RI'!A142</f>
        <v>5632</v>
      </c>
      <c r="B140" s="56" t="str">
        <f>'A) Base RI'!B142</f>
        <v>Denges</v>
      </c>
      <c r="C140" s="31">
        <f>'B) D RI'!Y142</f>
        <v>316040.25</v>
      </c>
      <c r="D140" s="14">
        <f>'B) D RI'!Z142</f>
        <v>46752.800000000003</v>
      </c>
      <c r="E140" s="10">
        <f t="shared" si="6"/>
        <v>362793.05</v>
      </c>
      <c r="F140" s="14">
        <f>'B) D RI'!U142</f>
        <v>72992.009193548365</v>
      </c>
      <c r="G140" s="256">
        <f t="shared" si="7"/>
        <v>4.9703118739751941</v>
      </c>
      <c r="H140" s="57">
        <f t="shared" si="8"/>
        <v>172045.965</v>
      </c>
    </row>
    <row r="141" spans="1:8" x14ac:dyDescent="0.25">
      <c r="A141" s="49">
        <f>'A) Base RI'!A143</f>
        <v>5633</v>
      </c>
      <c r="B141" s="56" t="str">
        <f>'A) Base RI'!B143</f>
        <v>Echandens</v>
      </c>
      <c r="C141" s="31">
        <f>'B) D RI'!Y143</f>
        <v>475323.88</v>
      </c>
      <c r="D141" s="14">
        <f>'B) D RI'!Z143</f>
        <v>224162.65</v>
      </c>
      <c r="E141" s="10">
        <f t="shared" si="6"/>
        <v>699486.53</v>
      </c>
      <c r="F141" s="14">
        <f>'B) D RI'!U143</f>
        <v>160902.30048387093</v>
      </c>
      <c r="G141" s="256">
        <f t="shared" si="7"/>
        <v>4.3472748860425243</v>
      </c>
      <c r="H141" s="57">
        <f t="shared" si="8"/>
        <v>304910.73499999999</v>
      </c>
    </row>
    <row r="142" spans="1:8" x14ac:dyDescent="0.25">
      <c r="A142" s="49">
        <f>'A) Base RI'!A144</f>
        <v>5634</v>
      </c>
      <c r="B142" s="56" t="str">
        <f>'A) Base RI'!B144</f>
        <v>Echichens</v>
      </c>
      <c r="C142" s="31">
        <f>'B) D RI'!Y144</f>
        <v>1291678.9000000001</v>
      </c>
      <c r="D142" s="14">
        <f>'B) D RI'!Z144</f>
        <v>32250.05</v>
      </c>
      <c r="E142" s="10">
        <f t="shared" si="6"/>
        <v>1323928.9500000002</v>
      </c>
      <c r="F142" s="14">
        <f>'B) D RI'!U144</f>
        <v>173253.00779411764</v>
      </c>
      <c r="G142" s="256">
        <f t="shared" si="7"/>
        <v>7.6415928753933633</v>
      </c>
      <c r="H142" s="57">
        <f t="shared" si="8"/>
        <v>655514.46500000008</v>
      </c>
    </row>
    <row r="143" spans="1:8" x14ac:dyDescent="0.25">
      <c r="A143" s="49">
        <f>'A) Base RI'!A145</f>
        <v>5635</v>
      </c>
      <c r="B143" s="56" t="str">
        <f>'A) Base RI'!B145</f>
        <v>Ecublens</v>
      </c>
      <c r="C143" s="31">
        <f>'B) D RI'!Y145</f>
        <v>2274357.5</v>
      </c>
      <c r="D143" s="14">
        <f>'B) D RI'!Z145</f>
        <v>2637319.7000000002</v>
      </c>
      <c r="E143" s="10">
        <f t="shared" si="6"/>
        <v>4911677.2</v>
      </c>
      <c r="F143" s="14">
        <f>'B) D RI'!U145</f>
        <v>489428.14554687496</v>
      </c>
      <c r="G143" s="256">
        <f t="shared" si="7"/>
        <v>10.035542999906172</v>
      </c>
      <c r="H143" s="57">
        <f t="shared" si="8"/>
        <v>1928374.6600000001</v>
      </c>
    </row>
    <row r="144" spans="1:8" x14ac:dyDescent="0.25">
      <c r="A144" s="49">
        <f>'A) Base RI'!A146</f>
        <v>5636</v>
      </c>
      <c r="B144" s="56" t="str">
        <f>'A) Base RI'!B146</f>
        <v>Etoy</v>
      </c>
      <c r="C144" s="31">
        <f>'B) D RI'!Y146</f>
        <v>1045687.25</v>
      </c>
      <c r="D144" s="14">
        <f>'B) D RI'!Z146</f>
        <v>399939.55</v>
      </c>
      <c r="E144" s="10">
        <f t="shared" si="6"/>
        <v>1445626.8</v>
      </c>
      <c r="F144" s="14">
        <f>'B) D RI'!U146</f>
        <v>176252.1018032787</v>
      </c>
      <c r="G144" s="256">
        <f t="shared" si="7"/>
        <v>8.2020400619875513</v>
      </c>
      <c r="H144" s="57">
        <f t="shared" si="8"/>
        <v>642825.49</v>
      </c>
    </row>
    <row r="145" spans="1:8" x14ac:dyDescent="0.25">
      <c r="A145" s="49">
        <f>'A) Base RI'!A147</f>
        <v>5637</v>
      </c>
      <c r="B145" s="56" t="str">
        <f>'A) Base RI'!B147</f>
        <v>Lavigny</v>
      </c>
      <c r="C145" s="31">
        <f>'B) D RI'!Y147</f>
        <v>115473</v>
      </c>
      <c r="D145" s="14">
        <f>'B) D RI'!Z147</f>
        <v>207758.15</v>
      </c>
      <c r="E145" s="10">
        <f t="shared" si="6"/>
        <v>323231.15000000002</v>
      </c>
      <c r="F145" s="14">
        <f>'B) D RI'!U147</f>
        <v>37192.899776286358</v>
      </c>
      <c r="G145" s="256">
        <f t="shared" si="7"/>
        <v>8.6906681636608347</v>
      </c>
      <c r="H145" s="57">
        <f t="shared" si="8"/>
        <v>120063.94499999999</v>
      </c>
    </row>
    <row r="146" spans="1:8" x14ac:dyDescent="0.25">
      <c r="A146" s="49">
        <f>'A) Base RI'!A148</f>
        <v>5638</v>
      </c>
      <c r="B146" s="56" t="str">
        <f>'A) Base RI'!B148</f>
        <v>Lonay</v>
      </c>
      <c r="C146" s="31">
        <f>'B) D RI'!Y148</f>
        <v>3147228.9</v>
      </c>
      <c r="D146" s="14">
        <f>'B) D RI'!Z148</f>
        <v>214877.05</v>
      </c>
      <c r="E146" s="10">
        <f t="shared" si="6"/>
        <v>3362105.9499999997</v>
      </c>
      <c r="F146" s="14">
        <f>'B) D RI'!U148</f>
        <v>157137.98454545456</v>
      </c>
      <c r="G146" s="256">
        <f t="shared" si="7"/>
        <v>21.395883113337625</v>
      </c>
      <c r="H146" s="57">
        <f t="shared" si="8"/>
        <v>1638077.5649999999</v>
      </c>
    </row>
    <row r="147" spans="1:8" x14ac:dyDescent="0.25">
      <c r="A147" s="49">
        <f>'A) Base RI'!A149</f>
        <v>5639</v>
      </c>
      <c r="B147" s="56" t="str">
        <f>'A) Base RI'!B149</f>
        <v>Lully</v>
      </c>
      <c r="C147" s="31">
        <f>'B) D RI'!Y149</f>
        <v>118581.40000000001</v>
      </c>
      <c r="D147" s="14">
        <f>'B) D RI'!Z149</f>
        <v>19523.8</v>
      </c>
      <c r="E147" s="10">
        <f t="shared" si="6"/>
        <v>138105.20000000001</v>
      </c>
      <c r="F147" s="14">
        <f>'B) D RI'!U149</f>
        <v>47176.43180327869</v>
      </c>
      <c r="G147" s="256">
        <f t="shared" si="7"/>
        <v>2.927419364310675</v>
      </c>
      <c r="H147" s="57">
        <f t="shared" si="8"/>
        <v>65147.840000000004</v>
      </c>
    </row>
    <row r="148" spans="1:8" x14ac:dyDescent="0.25">
      <c r="A148" s="49">
        <f>'A) Base RI'!A150</f>
        <v>5640</v>
      </c>
      <c r="B148" s="56" t="str">
        <f>'A) Base RI'!B150</f>
        <v>Lussy-sur-Morges</v>
      </c>
      <c r="C148" s="31">
        <f>'B) D RI'!Y150</f>
        <v>452699.75</v>
      </c>
      <c r="D148" s="14">
        <f>'B) D RI'!Z150</f>
        <v>15620.7</v>
      </c>
      <c r="E148" s="10">
        <f t="shared" si="6"/>
        <v>468320.45</v>
      </c>
      <c r="F148" s="14">
        <f>'B) D RI'!U150</f>
        <v>61400.456666666665</v>
      </c>
      <c r="G148" s="256">
        <f t="shared" si="7"/>
        <v>7.6273121638563275</v>
      </c>
      <c r="H148" s="57">
        <f t="shared" si="8"/>
        <v>231036.08499999999</v>
      </c>
    </row>
    <row r="149" spans="1:8" x14ac:dyDescent="0.25">
      <c r="A149" s="49">
        <f>'A) Base RI'!A151</f>
        <v>5642</v>
      </c>
      <c r="B149" s="56" t="str">
        <f>'A) Base RI'!B151</f>
        <v>Morges</v>
      </c>
      <c r="C149" s="31">
        <f>'B) D RI'!Y151</f>
        <v>5978284.0499999998</v>
      </c>
      <c r="D149" s="14">
        <f>'B) D RI'!Z151</f>
        <v>1302438.1000000001</v>
      </c>
      <c r="E149" s="10">
        <f t="shared" si="6"/>
        <v>7280722.1500000004</v>
      </c>
      <c r="F149" s="14">
        <f>'B) D RI'!U151</f>
        <v>842114.79489051085</v>
      </c>
      <c r="G149" s="256">
        <f t="shared" si="7"/>
        <v>8.6457596923547904</v>
      </c>
      <c r="H149" s="57">
        <f t="shared" si="8"/>
        <v>3379873.4550000001</v>
      </c>
    </row>
    <row r="150" spans="1:8" x14ac:dyDescent="0.25">
      <c r="A150" s="49">
        <f>'A) Base RI'!A152</f>
        <v>5643</v>
      </c>
      <c r="B150" s="56" t="str">
        <f>'A) Base RI'!B152</f>
        <v>Préverenges</v>
      </c>
      <c r="C150" s="31">
        <f>'B) D RI'!Y152</f>
        <v>1779413.5</v>
      </c>
      <c r="D150" s="14">
        <f>'B) D RI'!Z152</f>
        <v>126106.3</v>
      </c>
      <c r="E150" s="10">
        <f t="shared" si="6"/>
        <v>1905519.8</v>
      </c>
      <c r="F150" s="14">
        <f>'B) D RI'!U152</f>
        <v>259364.760625</v>
      </c>
      <c r="G150" s="256">
        <f t="shared" si="7"/>
        <v>7.3468723947239587</v>
      </c>
      <c r="H150" s="57">
        <f t="shared" si="8"/>
        <v>927538.64</v>
      </c>
    </row>
    <row r="151" spans="1:8" x14ac:dyDescent="0.25">
      <c r="A151" s="49">
        <f>'A) Base RI'!A153</f>
        <v>5644</v>
      </c>
      <c r="B151" s="56" t="str">
        <f>'A) Base RI'!B153</f>
        <v>Reverolle</v>
      </c>
      <c r="C151" s="31">
        <f>'B) D RI'!Y153</f>
        <v>78349.150000000009</v>
      </c>
      <c r="D151" s="14">
        <f>'B) D RI'!Z153</f>
        <v>5384.9</v>
      </c>
      <c r="E151" s="10">
        <f t="shared" si="6"/>
        <v>83734.05</v>
      </c>
      <c r="F151" s="14">
        <f>'B) D RI'!U153</f>
        <v>16859.730657894735</v>
      </c>
      <c r="G151" s="256">
        <f t="shared" si="7"/>
        <v>4.9665117254284672</v>
      </c>
      <c r="H151" s="57">
        <f t="shared" si="8"/>
        <v>40790.045000000006</v>
      </c>
    </row>
    <row r="152" spans="1:8" x14ac:dyDescent="0.25">
      <c r="A152" s="49">
        <f>'A) Base RI'!A154</f>
        <v>5645</v>
      </c>
      <c r="B152" s="56" t="str">
        <f>'A) Base RI'!B154</f>
        <v>Romanel-sur-Morges</v>
      </c>
      <c r="C152" s="31">
        <f>'B) D RI'!Y154</f>
        <v>137831.75</v>
      </c>
      <c r="D152" s="14">
        <f>'B) D RI'!Z154</f>
        <v>70369.600000000006</v>
      </c>
      <c r="E152" s="10">
        <f t="shared" si="6"/>
        <v>208201.35</v>
      </c>
      <c r="F152" s="14">
        <f>'B) D RI'!U154</f>
        <v>29743.552142857145</v>
      </c>
      <c r="G152" s="256">
        <f t="shared" si="7"/>
        <v>6.9998818231264668</v>
      </c>
      <c r="H152" s="57">
        <f t="shared" si="8"/>
        <v>90026.755000000005</v>
      </c>
    </row>
    <row r="153" spans="1:8" x14ac:dyDescent="0.25">
      <c r="A153" s="49">
        <f>'A) Base RI'!A155</f>
        <v>5646</v>
      </c>
      <c r="B153" s="56" t="str">
        <f>'A) Base RI'!B155</f>
        <v>Saint-Prex</v>
      </c>
      <c r="C153" s="31">
        <f>'B) D RI'!Y155</f>
        <v>1766550</v>
      </c>
      <c r="D153" s="14">
        <f>'B) D RI'!Z155</f>
        <v>176250.1</v>
      </c>
      <c r="E153" s="10">
        <f t="shared" si="6"/>
        <v>1942800.1</v>
      </c>
      <c r="F153" s="14">
        <f>'B) D RI'!U155</f>
        <v>419083.43709090899</v>
      </c>
      <c r="G153" s="256">
        <f t="shared" si="7"/>
        <v>4.6358312642610144</v>
      </c>
      <c r="H153" s="57">
        <f t="shared" si="8"/>
        <v>936150.03</v>
      </c>
    </row>
    <row r="154" spans="1:8" x14ac:dyDescent="0.25">
      <c r="A154" s="49">
        <f>'A) Base RI'!A156</f>
        <v>5648</v>
      </c>
      <c r="B154" s="56" t="str">
        <f>'A) Base RI'!B156</f>
        <v>Saint-Sulpice</v>
      </c>
      <c r="C154" s="31">
        <f>'B) D RI'!Y156</f>
        <v>2329876.2999999998</v>
      </c>
      <c r="D154" s="14">
        <f>'B) D RI'!Z156</f>
        <v>78291.899999999994</v>
      </c>
      <c r="E154" s="10">
        <f t="shared" si="6"/>
        <v>2408168.1999999997</v>
      </c>
      <c r="F154" s="14">
        <f>'B) D RI'!U156</f>
        <v>383471.67436363641</v>
      </c>
      <c r="G154" s="256">
        <f t="shared" si="7"/>
        <v>6.2799115579952725</v>
      </c>
      <c r="H154" s="57">
        <f t="shared" si="8"/>
        <v>1188425.72</v>
      </c>
    </row>
    <row r="155" spans="1:8" x14ac:dyDescent="0.25">
      <c r="A155" s="49">
        <f>'A) Base RI'!A157</f>
        <v>5649</v>
      </c>
      <c r="B155" s="56" t="str">
        <f>'A) Base RI'!B157</f>
        <v>Tolochenaz</v>
      </c>
      <c r="C155" s="31">
        <f>'B) D RI'!Y157</f>
        <v>152973.85</v>
      </c>
      <c r="D155" s="14">
        <f>'B) D RI'!Z157</f>
        <v>359125.2</v>
      </c>
      <c r="E155" s="10">
        <f t="shared" si="6"/>
        <v>512099.05000000005</v>
      </c>
      <c r="F155" s="14">
        <f>'B) D RI'!U157</f>
        <v>109794.23076923077</v>
      </c>
      <c r="G155" s="256">
        <f t="shared" si="7"/>
        <v>4.6641708440614442</v>
      </c>
      <c r="H155" s="57">
        <f t="shared" si="8"/>
        <v>184224.48499999999</v>
      </c>
    </row>
    <row r="156" spans="1:8" x14ac:dyDescent="0.25">
      <c r="A156" s="49">
        <f>'A) Base RI'!A158</f>
        <v>5650</v>
      </c>
      <c r="B156" s="56" t="str">
        <f>'A) Base RI'!B158</f>
        <v>Vaux-sur-Morges</v>
      </c>
      <c r="C156" s="31">
        <f>'B) D RI'!Y158</f>
        <v>13849</v>
      </c>
      <c r="D156" s="14">
        <f>'B) D RI'!Z158</f>
        <v>0</v>
      </c>
      <c r="E156" s="10">
        <f t="shared" si="6"/>
        <v>13849</v>
      </c>
      <c r="F156" s="14">
        <f>'B) D RI'!U158</f>
        <v>162834.69392857142</v>
      </c>
      <c r="G156" s="256">
        <f t="shared" si="7"/>
        <v>8.5049442879015461E-2</v>
      </c>
      <c r="H156" s="57">
        <f t="shared" si="8"/>
        <v>6924.5</v>
      </c>
    </row>
    <row r="157" spans="1:8" x14ac:dyDescent="0.25">
      <c r="A157" s="49">
        <f>'A) Base RI'!A159</f>
        <v>5651</v>
      </c>
      <c r="B157" s="56" t="str">
        <f>'A) Base RI'!B159</f>
        <v>Villars-Sainte-Croix</v>
      </c>
      <c r="C157" s="31">
        <f>'B) D RI'!Y159</f>
        <v>186043.65</v>
      </c>
      <c r="D157" s="14">
        <f>'B) D RI'!Z159</f>
        <v>159294.39999999999</v>
      </c>
      <c r="E157" s="10">
        <f t="shared" si="6"/>
        <v>345338.05</v>
      </c>
      <c r="F157" s="14">
        <f>'B) D RI'!U159</f>
        <v>58682.807419354831</v>
      </c>
      <c r="G157" s="256">
        <f t="shared" si="7"/>
        <v>5.8848249629941902</v>
      </c>
      <c r="H157" s="57">
        <f t="shared" si="8"/>
        <v>140810.14499999999</v>
      </c>
    </row>
    <row r="158" spans="1:8" x14ac:dyDescent="0.25">
      <c r="A158" s="49">
        <f>'A) Base RI'!A160</f>
        <v>5652</v>
      </c>
      <c r="B158" s="56" t="str">
        <f>'A) Base RI'!B160</f>
        <v>Villars-sous-Yens</v>
      </c>
      <c r="C158" s="31">
        <f>'B) D RI'!Y160</f>
        <v>65318.75</v>
      </c>
      <c r="D158" s="14">
        <f>'B) D RI'!Z160</f>
        <v>3541.45</v>
      </c>
      <c r="E158" s="10">
        <f t="shared" si="6"/>
        <v>68860.2</v>
      </c>
      <c r="F158" s="14">
        <f>'B) D RI'!U160</f>
        <v>32935.200285087711</v>
      </c>
      <c r="G158" s="256">
        <f t="shared" si="7"/>
        <v>2.0907782373856789</v>
      </c>
      <c r="H158" s="57">
        <f t="shared" si="8"/>
        <v>33721.81</v>
      </c>
    </row>
    <row r="159" spans="1:8" x14ac:dyDescent="0.25">
      <c r="A159" s="49">
        <f>'A) Base RI'!A161</f>
        <v>5653</v>
      </c>
      <c r="B159" s="56" t="str">
        <f>'A) Base RI'!B161</f>
        <v>Vufflens-le-Château</v>
      </c>
      <c r="C159" s="31">
        <f>'B) D RI'!Y161</f>
        <v>1825982.5</v>
      </c>
      <c r="D159" s="14">
        <f>'B) D RI'!Z161</f>
        <v>1599.2</v>
      </c>
      <c r="E159" s="10">
        <f t="shared" si="6"/>
        <v>1827581.7</v>
      </c>
      <c r="F159" s="14">
        <f>'B) D RI'!U161</f>
        <v>71866.827999999994</v>
      </c>
      <c r="G159" s="256">
        <f t="shared" si="7"/>
        <v>25.430114989908837</v>
      </c>
      <c r="H159" s="57">
        <f t="shared" si="8"/>
        <v>913471.01</v>
      </c>
    </row>
    <row r="160" spans="1:8" x14ac:dyDescent="0.25">
      <c r="A160" s="49">
        <f>'A) Base RI'!A162</f>
        <v>5654</v>
      </c>
      <c r="B160" s="56" t="str">
        <f>'A) Base RI'!B162</f>
        <v>Vullierens</v>
      </c>
      <c r="C160" s="31">
        <f>'B) D RI'!Y162</f>
        <v>49940.7</v>
      </c>
      <c r="D160" s="14">
        <f>'B) D RI'!Z162</f>
        <v>6198.3</v>
      </c>
      <c r="E160" s="10">
        <f t="shared" si="6"/>
        <v>56139</v>
      </c>
      <c r="F160" s="14">
        <f>'B) D RI'!U162</f>
        <v>18067.402499999997</v>
      </c>
      <c r="G160" s="256">
        <f t="shared" si="7"/>
        <v>3.1071981708494074</v>
      </c>
      <c r="H160" s="57">
        <f t="shared" si="8"/>
        <v>26829.84</v>
      </c>
    </row>
    <row r="161" spans="1:8" x14ac:dyDescent="0.25">
      <c r="A161" s="49">
        <f>'A) Base RI'!A163</f>
        <v>5655</v>
      </c>
      <c r="B161" s="56" t="str">
        <f>'A) Base RI'!B163</f>
        <v>Yens</v>
      </c>
      <c r="C161" s="31">
        <f>'B) D RI'!Y163</f>
        <v>491924.44999999995</v>
      </c>
      <c r="D161" s="14">
        <f>'B) D RI'!Z163</f>
        <v>61074.9</v>
      </c>
      <c r="E161" s="10">
        <f t="shared" si="6"/>
        <v>552999.35</v>
      </c>
      <c r="F161" s="14">
        <f>'B) D RI'!U163</f>
        <v>77231.578767123297</v>
      </c>
      <c r="G161" s="256">
        <f t="shared" si="7"/>
        <v>7.1602750950807472</v>
      </c>
      <c r="H161" s="57">
        <f t="shared" si="8"/>
        <v>264284.69499999995</v>
      </c>
    </row>
    <row r="162" spans="1:8" x14ac:dyDescent="0.25">
      <c r="A162" s="49">
        <f>'A) Base RI'!A164</f>
        <v>5661</v>
      </c>
      <c r="B162" s="56" t="str">
        <f>'A) Base RI'!B164</f>
        <v>Boulens</v>
      </c>
      <c r="C162" s="31">
        <f>'B) D RI'!Y164</f>
        <v>2482.6999999999998</v>
      </c>
      <c r="D162" s="14">
        <f>'B) D RI'!Z164</f>
        <v>16467.349999999999</v>
      </c>
      <c r="E162" s="10">
        <f t="shared" si="6"/>
        <v>18950.05</v>
      </c>
      <c r="F162" s="14">
        <f>'B) D RI'!U164</f>
        <v>10067.366438356165</v>
      </c>
      <c r="G162" s="256">
        <f t="shared" si="7"/>
        <v>1.8823244505932806</v>
      </c>
      <c r="H162" s="57">
        <f t="shared" si="8"/>
        <v>6181.5549999999985</v>
      </c>
    </row>
    <row r="163" spans="1:8" x14ac:dyDescent="0.25">
      <c r="A163" s="49">
        <f>'A) Base RI'!A165</f>
        <v>5663</v>
      </c>
      <c r="B163" s="56" t="str">
        <f>'A) Base RI'!B165</f>
        <v>Bussy-sur-Moudon</v>
      </c>
      <c r="C163" s="31">
        <f>'B) D RI'!Y165</f>
        <v>45394.15</v>
      </c>
      <c r="D163" s="14">
        <f>'B) D RI'!Z165</f>
        <v>0</v>
      </c>
      <c r="E163" s="10">
        <f t="shared" si="6"/>
        <v>45394.15</v>
      </c>
      <c r="F163" s="14">
        <f>'B) D RI'!U165</f>
        <v>6357.5273750000006</v>
      </c>
      <c r="G163" s="256">
        <f t="shared" si="7"/>
        <v>7.140220925906748</v>
      </c>
      <c r="H163" s="57">
        <f t="shared" si="8"/>
        <v>22697.075000000001</v>
      </c>
    </row>
    <row r="164" spans="1:8" x14ac:dyDescent="0.25">
      <c r="A164" s="49">
        <f>'A) Base RI'!A166</f>
        <v>5665</v>
      </c>
      <c r="B164" s="56" t="str">
        <f>'A) Base RI'!B166</f>
        <v>Chavannes-sur-Moudon</v>
      </c>
      <c r="C164" s="31">
        <f>'B) D RI'!Y166</f>
        <v>29501.35</v>
      </c>
      <c r="D164" s="14">
        <f>'B) D RI'!Z166</f>
        <v>0</v>
      </c>
      <c r="E164" s="10">
        <f t="shared" si="6"/>
        <v>29501.35</v>
      </c>
      <c r="F164" s="14">
        <f>'B) D RI'!U166</f>
        <v>4734.8986301369869</v>
      </c>
      <c r="G164" s="256">
        <f t="shared" si="7"/>
        <v>6.2306191334758285</v>
      </c>
      <c r="H164" s="57">
        <f t="shared" si="8"/>
        <v>14750.674999999999</v>
      </c>
    </row>
    <row r="165" spans="1:8" x14ac:dyDescent="0.25">
      <c r="A165" s="49">
        <f>'A) Base RI'!A167</f>
        <v>5669</v>
      </c>
      <c r="B165" s="56" t="str">
        <f>'A) Base RI'!B167</f>
        <v>Curtilles</v>
      </c>
      <c r="C165" s="31">
        <f>'B) D RI'!Y167</f>
        <v>15233.1</v>
      </c>
      <c r="D165" s="14">
        <f>'B) D RI'!Z167</f>
        <v>0</v>
      </c>
      <c r="E165" s="10">
        <f t="shared" si="6"/>
        <v>15233.1</v>
      </c>
      <c r="F165" s="14">
        <f>'B) D RI'!U167</f>
        <v>10002.199066666666</v>
      </c>
      <c r="G165" s="256">
        <f t="shared" si="7"/>
        <v>1.5229750876250641</v>
      </c>
      <c r="H165" s="57">
        <f t="shared" si="8"/>
        <v>7616.55</v>
      </c>
    </row>
    <row r="166" spans="1:8" x14ac:dyDescent="0.25">
      <c r="A166" s="49">
        <f>'A) Base RI'!A168</f>
        <v>5671</v>
      </c>
      <c r="B166" s="56" t="str">
        <f>'A) Base RI'!B168</f>
        <v>Dompierre</v>
      </c>
      <c r="C166" s="31">
        <f>'B) D RI'!Y168</f>
        <v>48014.05</v>
      </c>
      <c r="D166" s="14">
        <f>'B) D RI'!Z168</f>
        <v>0</v>
      </c>
      <c r="E166" s="10">
        <f t="shared" si="6"/>
        <v>48014.05</v>
      </c>
      <c r="F166" s="14">
        <f>'B) D RI'!U168</f>
        <v>6571.3844999999983</v>
      </c>
      <c r="G166" s="256">
        <f t="shared" si="7"/>
        <v>7.3065348710001699</v>
      </c>
      <c r="H166" s="57">
        <f t="shared" si="8"/>
        <v>24007.025000000001</v>
      </c>
    </row>
    <row r="167" spans="1:8" x14ac:dyDescent="0.25">
      <c r="A167" s="49">
        <f>'A) Base RI'!A169</f>
        <v>5673</v>
      </c>
      <c r="B167" s="56" t="str">
        <f>'A) Base RI'!B169</f>
        <v>Hermenches</v>
      </c>
      <c r="C167" s="31">
        <f>'B) D RI'!Y169</f>
        <v>36228.449999999997</v>
      </c>
      <c r="D167" s="14">
        <f>'B) D RI'!Z169</f>
        <v>17325.349999999999</v>
      </c>
      <c r="E167" s="10">
        <f t="shared" si="6"/>
        <v>53553.799999999996</v>
      </c>
      <c r="F167" s="14">
        <f>'B) D RI'!U169</f>
        <v>9909.6989333333331</v>
      </c>
      <c r="G167" s="256">
        <f t="shared" si="7"/>
        <v>5.4041803247786522</v>
      </c>
      <c r="H167" s="57">
        <f t="shared" si="8"/>
        <v>23311.829999999998</v>
      </c>
    </row>
    <row r="168" spans="1:8" x14ac:dyDescent="0.25">
      <c r="A168" s="49">
        <f>'A) Base RI'!A170</f>
        <v>5674</v>
      </c>
      <c r="B168" s="56" t="str">
        <f>'A) Base RI'!B170</f>
        <v>Lovatens</v>
      </c>
      <c r="C168" s="31">
        <f>'B) D RI'!Y170</f>
        <v>189.35</v>
      </c>
      <c r="D168" s="14">
        <f>'B) D RI'!Z170</f>
        <v>0</v>
      </c>
      <c r="E168" s="10">
        <f t="shared" si="6"/>
        <v>189.35</v>
      </c>
      <c r="F168" s="14">
        <f>'B) D RI'!U170</f>
        <v>3215.0507999999995</v>
      </c>
      <c r="G168" s="256">
        <f t="shared" si="7"/>
        <v>5.8894870339218287E-2</v>
      </c>
      <c r="H168" s="57">
        <f t="shared" si="8"/>
        <v>94.674999999999997</v>
      </c>
    </row>
    <row r="169" spans="1:8" x14ac:dyDescent="0.25">
      <c r="A169" s="49">
        <f>'A) Base RI'!A171</f>
        <v>5675</v>
      </c>
      <c r="B169" s="56" t="str">
        <f>'A) Base RI'!B171</f>
        <v>Lucens</v>
      </c>
      <c r="C169" s="31">
        <f>'B) D RI'!Y171</f>
        <v>900659.05</v>
      </c>
      <c r="D169" s="14">
        <f>'B) D RI'!Z171</f>
        <v>30334.9</v>
      </c>
      <c r="E169" s="10">
        <f t="shared" si="6"/>
        <v>930993.95000000007</v>
      </c>
      <c r="F169" s="14">
        <f>'B) D RI'!U171</f>
        <v>97758.400909090895</v>
      </c>
      <c r="G169" s="256">
        <f t="shared" si="7"/>
        <v>9.5234163135070649</v>
      </c>
      <c r="H169" s="57">
        <f t="shared" si="8"/>
        <v>459429.995</v>
      </c>
    </row>
    <row r="170" spans="1:8" x14ac:dyDescent="0.25">
      <c r="A170" s="49">
        <f>'A) Base RI'!A172</f>
        <v>5678</v>
      </c>
      <c r="B170" s="56" t="str">
        <f>'A) Base RI'!B172</f>
        <v>Moudon</v>
      </c>
      <c r="C170" s="31">
        <f>'B) D RI'!Y172</f>
        <v>1380751.95</v>
      </c>
      <c r="D170" s="14">
        <f>'B) D RI'!Z172</f>
        <v>212403.65</v>
      </c>
      <c r="E170" s="10">
        <f t="shared" si="6"/>
        <v>1593155.5999999999</v>
      </c>
      <c r="F170" s="14">
        <f>'B) D RI'!U172</f>
        <v>126080.27293333331</v>
      </c>
      <c r="G170" s="256">
        <f t="shared" si="7"/>
        <v>12.636041808399343</v>
      </c>
      <c r="H170" s="57">
        <f t="shared" si="8"/>
        <v>754097.07</v>
      </c>
    </row>
    <row r="171" spans="1:8" x14ac:dyDescent="0.25">
      <c r="A171" s="49">
        <f>'A) Base RI'!A173</f>
        <v>5680</v>
      </c>
      <c r="B171" s="56" t="str">
        <f>'A) Base RI'!B173</f>
        <v>Ogens</v>
      </c>
      <c r="C171" s="31">
        <f>'B) D RI'!Y173</f>
        <v>73350.05</v>
      </c>
      <c r="D171" s="14">
        <f>'B) D RI'!Z173</f>
        <v>0</v>
      </c>
      <c r="E171" s="10">
        <f t="shared" si="6"/>
        <v>73350.05</v>
      </c>
      <c r="F171" s="14">
        <f>'B) D RI'!U173</f>
        <v>6313.5037606837595</v>
      </c>
      <c r="G171" s="256">
        <f t="shared" si="7"/>
        <v>11.617962510258504</v>
      </c>
      <c r="H171" s="57">
        <f t="shared" si="8"/>
        <v>36675.025000000001</v>
      </c>
    </row>
    <row r="172" spans="1:8" x14ac:dyDescent="0.25">
      <c r="A172" s="49">
        <f>'A) Base RI'!A174</f>
        <v>5683</v>
      </c>
      <c r="B172" s="56" t="str">
        <f>'A) Base RI'!B174</f>
        <v>Prévonloup</v>
      </c>
      <c r="C172" s="31">
        <f>'B) D RI'!Y174</f>
        <v>8253.2999999999993</v>
      </c>
      <c r="D172" s="14">
        <f>'B) D RI'!Z174</f>
        <v>0</v>
      </c>
      <c r="E172" s="10">
        <f t="shared" si="6"/>
        <v>8253.2999999999993</v>
      </c>
      <c r="F172" s="14">
        <f>'B) D RI'!U174</f>
        <v>4589.3872972972958</v>
      </c>
      <c r="G172" s="256">
        <f t="shared" si="7"/>
        <v>1.7983446297636272</v>
      </c>
      <c r="H172" s="57">
        <f t="shared" si="8"/>
        <v>4126.6499999999996</v>
      </c>
    </row>
    <row r="173" spans="1:8" x14ac:dyDescent="0.25">
      <c r="A173" s="49">
        <f>'A) Base RI'!A175</f>
        <v>5684</v>
      </c>
      <c r="B173" s="56" t="str">
        <f>'A) Base RI'!B175</f>
        <v>Rossenges</v>
      </c>
      <c r="C173" s="31">
        <f>'B) D RI'!Y175</f>
        <v>0</v>
      </c>
      <c r="D173" s="14">
        <f>'B) D RI'!Z175</f>
        <v>0</v>
      </c>
      <c r="E173" s="10">
        <f t="shared" si="6"/>
        <v>0</v>
      </c>
      <c r="F173" s="14">
        <f>'B) D RI'!U175</f>
        <v>3098.721</v>
      </c>
      <c r="G173" s="256">
        <f t="shared" si="7"/>
        <v>0</v>
      </c>
      <c r="H173" s="57">
        <f t="shared" si="8"/>
        <v>0</v>
      </c>
    </row>
    <row r="174" spans="1:8" x14ac:dyDescent="0.25">
      <c r="A174" s="49">
        <f>'A) Base RI'!A176</f>
        <v>5688</v>
      </c>
      <c r="B174" s="56" t="str">
        <f>'A) Base RI'!B176</f>
        <v>Syens</v>
      </c>
      <c r="C174" s="31">
        <f>'B) D RI'!Y176</f>
        <v>4.1500000000000004</v>
      </c>
      <c r="D174" s="14">
        <f>'B) D RI'!Z176</f>
        <v>398.4</v>
      </c>
      <c r="E174" s="10">
        <f t="shared" si="6"/>
        <v>402.54999999999995</v>
      </c>
      <c r="F174" s="14">
        <f>'B) D RI'!U176</f>
        <v>2742.3284391534398</v>
      </c>
      <c r="G174" s="256">
        <f t="shared" si="7"/>
        <v>0.14679131582220969</v>
      </c>
      <c r="H174" s="57">
        <f t="shared" si="8"/>
        <v>121.59499999999998</v>
      </c>
    </row>
    <row r="175" spans="1:8" x14ac:dyDescent="0.25">
      <c r="A175" s="49">
        <f>'A) Base RI'!A177</f>
        <v>5690</v>
      </c>
      <c r="B175" s="56" t="str">
        <f>'A) Base RI'!B177</f>
        <v>Villars-le-Comte</v>
      </c>
      <c r="C175" s="31">
        <f>'B) D RI'!Y177</f>
        <v>157732</v>
      </c>
      <c r="D175" s="14">
        <f>'B) D RI'!Z177</f>
        <v>0</v>
      </c>
      <c r="E175" s="10">
        <f t="shared" si="6"/>
        <v>157732</v>
      </c>
      <c r="F175" s="14">
        <f>'B) D RI'!U177</f>
        <v>3018.1645000000003</v>
      </c>
      <c r="G175" s="256">
        <f t="shared" si="7"/>
        <v>52.260902280177234</v>
      </c>
      <c r="H175" s="57">
        <f t="shared" si="8"/>
        <v>78866</v>
      </c>
    </row>
    <row r="176" spans="1:8" x14ac:dyDescent="0.25">
      <c r="A176" s="49">
        <f>'A) Base RI'!A178</f>
        <v>5692</v>
      </c>
      <c r="B176" s="56" t="str">
        <f>'A) Base RI'!B178</f>
        <v>Vucherens</v>
      </c>
      <c r="C176" s="31">
        <f>'B) D RI'!Y178</f>
        <v>95859.45</v>
      </c>
      <c r="D176" s="14">
        <f>'B) D RI'!Z178</f>
        <v>8874.2999999999993</v>
      </c>
      <c r="E176" s="10">
        <f t="shared" si="6"/>
        <v>104733.75</v>
      </c>
      <c r="F176" s="14">
        <f>'B) D RI'!U178</f>
        <v>16002.190506329114</v>
      </c>
      <c r="G176" s="256">
        <f t="shared" si="7"/>
        <v>6.5449633260256572</v>
      </c>
      <c r="H176" s="57">
        <f t="shared" si="8"/>
        <v>50592.014999999999</v>
      </c>
    </row>
    <row r="177" spans="1:8" x14ac:dyDescent="0.25">
      <c r="A177" s="49">
        <f>'A) Base RI'!A179</f>
        <v>5693</v>
      </c>
      <c r="B177" s="56" t="str">
        <f>'A) Base RI'!B179</f>
        <v>Montanaire</v>
      </c>
      <c r="C177" s="31">
        <f>'B) D RI'!Y179</f>
        <v>323742.19999999995</v>
      </c>
      <c r="D177" s="14">
        <f>'B) D RI'!Z179</f>
        <v>22355.5</v>
      </c>
      <c r="E177" s="10">
        <f t="shared" si="6"/>
        <v>346097.69999999995</v>
      </c>
      <c r="F177" s="14">
        <f>'B) D RI'!U179</f>
        <v>70807.212499999965</v>
      </c>
      <c r="G177" s="256">
        <f t="shared" si="7"/>
        <v>4.8878876569247822</v>
      </c>
      <c r="H177" s="57">
        <f t="shared" si="8"/>
        <v>168577.74999999997</v>
      </c>
    </row>
    <row r="178" spans="1:8" x14ac:dyDescent="0.25">
      <c r="A178" s="49">
        <f>'A) Base RI'!A180</f>
        <v>5701</v>
      </c>
      <c r="B178" s="56" t="str">
        <f>'A) Base RI'!B180</f>
        <v>Arnex-sur-Nyon</v>
      </c>
      <c r="C178" s="31">
        <f>'B) D RI'!Y180</f>
        <v>42113.8</v>
      </c>
      <c r="D178" s="14">
        <f>'B) D RI'!Z180</f>
        <v>0</v>
      </c>
      <c r="E178" s="10">
        <f t="shared" si="6"/>
        <v>42113.8</v>
      </c>
      <c r="F178" s="14">
        <f>'B) D RI'!U180</f>
        <v>12068.134285714286</v>
      </c>
      <c r="G178" s="256">
        <f t="shared" si="7"/>
        <v>3.4896694885018325</v>
      </c>
      <c r="H178" s="57">
        <f t="shared" si="8"/>
        <v>21056.9</v>
      </c>
    </row>
    <row r="179" spans="1:8" x14ac:dyDescent="0.25">
      <c r="A179" s="49">
        <f>'A) Base RI'!A181</f>
        <v>5702</v>
      </c>
      <c r="B179" s="56" t="str">
        <f>'A) Base RI'!B181</f>
        <v>Arzier-Le Muids</v>
      </c>
      <c r="C179" s="31">
        <f>'B) D RI'!Y181</f>
        <v>1310532.1499999999</v>
      </c>
      <c r="D179" s="14">
        <f>'B) D RI'!Z181</f>
        <v>56289.4</v>
      </c>
      <c r="E179" s="10">
        <f t="shared" si="6"/>
        <v>1366821.5499999998</v>
      </c>
      <c r="F179" s="14">
        <f>'B) D RI'!U181</f>
        <v>173952.76901041667</v>
      </c>
      <c r="G179" s="256">
        <f t="shared" si="7"/>
        <v>7.8574291043228612</v>
      </c>
      <c r="H179" s="57">
        <f t="shared" si="8"/>
        <v>672152.8949999999</v>
      </c>
    </row>
    <row r="180" spans="1:8" x14ac:dyDescent="0.25">
      <c r="A180" s="49">
        <f>'A) Base RI'!A182</f>
        <v>5703</v>
      </c>
      <c r="B180" s="56" t="str">
        <f>'A) Base RI'!B182</f>
        <v>Bassins</v>
      </c>
      <c r="C180" s="31">
        <f>'B) D RI'!Y182</f>
        <v>336569.85</v>
      </c>
      <c r="D180" s="14">
        <f>'B) D RI'!Z182</f>
        <v>23240.400000000001</v>
      </c>
      <c r="E180" s="10">
        <f t="shared" si="6"/>
        <v>359810.25</v>
      </c>
      <c r="F180" s="14">
        <f>'B) D RI'!U182</f>
        <v>58992.28158301158</v>
      </c>
      <c r="G180" s="256">
        <f t="shared" si="7"/>
        <v>6.0992767247642288</v>
      </c>
      <c r="H180" s="57">
        <f t="shared" si="8"/>
        <v>175257.04499999998</v>
      </c>
    </row>
    <row r="181" spans="1:8" x14ac:dyDescent="0.25">
      <c r="A181" s="49">
        <f>'A) Base RI'!A183</f>
        <v>5704</v>
      </c>
      <c r="B181" s="56" t="str">
        <f>'A) Base RI'!B183</f>
        <v>Begnins</v>
      </c>
      <c r="C181" s="31">
        <f>'B) D RI'!Y183</f>
        <v>601065.85000000009</v>
      </c>
      <c r="D181" s="14">
        <f>'B) D RI'!Z183</f>
        <v>49246.95</v>
      </c>
      <c r="E181" s="10">
        <f t="shared" si="6"/>
        <v>650312.80000000005</v>
      </c>
      <c r="F181" s="14">
        <f>'B) D RI'!U183</f>
        <v>129564.85270833333</v>
      </c>
      <c r="G181" s="256">
        <f t="shared" si="7"/>
        <v>5.0192068790749556</v>
      </c>
      <c r="H181" s="57">
        <f t="shared" si="8"/>
        <v>315307.01000000007</v>
      </c>
    </row>
    <row r="182" spans="1:8" x14ac:dyDescent="0.25">
      <c r="A182" s="49">
        <f>'A) Base RI'!A184</f>
        <v>5705</v>
      </c>
      <c r="B182" s="56" t="str">
        <f>'A) Base RI'!B184</f>
        <v>Bogis-Bossey</v>
      </c>
      <c r="C182" s="31">
        <f>'B) D RI'!Y184</f>
        <v>308447.45</v>
      </c>
      <c r="D182" s="14">
        <f>'B) D RI'!Z184</f>
        <v>26663.15</v>
      </c>
      <c r="E182" s="10">
        <f t="shared" si="6"/>
        <v>335110.60000000003</v>
      </c>
      <c r="F182" s="14">
        <f>'B) D RI'!U184</f>
        <v>47436.61605263158</v>
      </c>
      <c r="G182" s="256">
        <f t="shared" si="7"/>
        <v>7.0643867097979793</v>
      </c>
      <c r="H182" s="57">
        <f t="shared" si="8"/>
        <v>162222.67000000001</v>
      </c>
    </row>
    <row r="183" spans="1:8" x14ac:dyDescent="0.25">
      <c r="A183" s="49">
        <f>'A) Base RI'!A185</f>
        <v>5706</v>
      </c>
      <c r="B183" s="56" t="str">
        <f>'A) Base RI'!B185</f>
        <v>Borex</v>
      </c>
      <c r="C183" s="31">
        <f>'B) D RI'!Y185</f>
        <v>235544.1</v>
      </c>
      <c r="D183" s="14">
        <f>'B) D RI'!Z185</f>
        <v>9244.4</v>
      </c>
      <c r="E183" s="10">
        <f t="shared" si="6"/>
        <v>244788.5</v>
      </c>
      <c r="F183" s="14">
        <f>'B) D RI'!U185</f>
        <v>76683.378793103446</v>
      </c>
      <c r="G183" s="256">
        <f t="shared" si="7"/>
        <v>3.1921976294296406</v>
      </c>
      <c r="H183" s="57">
        <f t="shared" si="8"/>
        <v>120545.37</v>
      </c>
    </row>
    <row r="184" spans="1:8" x14ac:dyDescent="0.25">
      <c r="A184" s="49">
        <f>'A) Base RI'!A186</f>
        <v>5707</v>
      </c>
      <c r="B184" s="56" t="str">
        <f>'A) Base RI'!B186</f>
        <v>Chavannes-de-Bogis</v>
      </c>
      <c r="C184" s="31">
        <f>'B) D RI'!Y186</f>
        <v>351125.8</v>
      </c>
      <c r="D184" s="14">
        <f>'B) D RI'!Z186</f>
        <v>690372.3</v>
      </c>
      <c r="E184" s="10">
        <f t="shared" si="6"/>
        <v>1041498.1000000001</v>
      </c>
      <c r="F184" s="14">
        <f>'B) D RI'!U186</f>
        <v>81307.638983050841</v>
      </c>
      <c r="G184" s="256">
        <f t="shared" si="7"/>
        <v>12.809351163389554</v>
      </c>
      <c r="H184" s="57">
        <f t="shared" si="8"/>
        <v>382674.58999999997</v>
      </c>
    </row>
    <row r="185" spans="1:8" x14ac:dyDescent="0.25">
      <c r="A185" s="49">
        <f>'A) Base RI'!A187</f>
        <v>5708</v>
      </c>
      <c r="B185" s="56" t="str">
        <f>'A) Base RI'!B187</f>
        <v>Chavannes-des-Bois</v>
      </c>
      <c r="C185" s="31">
        <f>'B) D RI'!Y187</f>
        <v>476916.94999999995</v>
      </c>
      <c r="D185" s="14">
        <f>'B) D RI'!Z187</f>
        <v>2082.3000000000002</v>
      </c>
      <c r="E185" s="10">
        <f t="shared" si="6"/>
        <v>478999.24999999994</v>
      </c>
      <c r="F185" s="14">
        <f>'B) D RI'!U187</f>
        <v>64704.48911764707</v>
      </c>
      <c r="G185" s="256">
        <f t="shared" si="7"/>
        <v>7.4028750791784068</v>
      </c>
      <c r="H185" s="57">
        <f t="shared" si="8"/>
        <v>239083.16499999998</v>
      </c>
    </row>
    <row r="186" spans="1:8" x14ac:dyDescent="0.25">
      <c r="A186" s="49">
        <f>'A) Base RI'!A188</f>
        <v>5709</v>
      </c>
      <c r="B186" s="56" t="str">
        <f>'A) Base RI'!B188</f>
        <v>Chéserex</v>
      </c>
      <c r="C186" s="31">
        <f>'B) D RI'!Y188</f>
        <v>606577.80000000005</v>
      </c>
      <c r="D186" s="14">
        <f>'B) D RI'!Z188</f>
        <v>40088.300000000003</v>
      </c>
      <c r="E186" s="10">
        <f t="shared" si="6"/>
        <v>646666.10000000009</v>
      </c>
      <c r="F186" s="14">
        <f>'B) D RI'!U188</f>
        <v>99426.699824561394</v>
      </c>
      <c r="G186" s="256">
        <f t="shared" si="7"/>
        <v>6.5039481461322133</v>
      </c>
      <c r="H186" s="57">
        <f t="shared" si="8"/>
        <v>315315.39</v>
      </c>
    </row>
    <row r="187" spans="1:8" x14ac:dyDescent="0.25">
      <c r="A187" s="49">
        <f>'A) Base RI'!A189</f>
        <v>5710</v>
      </c>
      <c r="B187" s="56" t="str">
        <f>'A) Base RI'!B189</f>
        <v>Coinsins</v>
      </c>
      <c r="C187" s="31">
        <f>'B) D RI'!Y189</f>
        <v>116236.4</v>
      </c>
      <c r="D187" s="14">
        <f>'B) D RI'!Z189</f>
        <v>58083.9</v>
      </c>
      <c r="E187" s="10">
        <f t="shared" si="6"/>
        <v>174320.3</v>
      </c>
      <c r="F187" s="14">
        <f>'B) D RI'!U189</f>
        <v>112110.92803921571</v>
      </c>
      <c r="G187" s="256">
        <f t="shared" si="7"/>
        <v>1.5548912407452717</v>
      </c>
      <c r="H187" s="57">
        <f t="shared" si="8"/>
        <v>75543.37</v>
      </c>
    </row>
    <row r="188" spans="1:8" x14ac:dyDescent="0.25">
      <c r="A188" s="49">
        <f>'A) Base RI'!A190</f>
        <v>5711</v>
      </c>
      <c r="B188" s="56" t="str">
        <f>'A) Base RI'!B190</f>
        <v>Commugny</v>
      </c>
      <c r="C188" s="31">
        <f>'B) D RI'!Y190</f>
        <v>1374279.35</v>
      </c>
      <c r="D188" s="14">
        <f>'B) D RI'!Z190</f>
        <v>21638.05</v>
      </c>
      <c r="E188" s="10">
        <f t="shared" si="6"/>
        <v>1395917.4000000001</v>
      </c>
      <c r="F188" s="14">
        <f>'B) D RI'!U190</f>
        <v>257487.27623481784</v>
      </c>
      <c r="G188" s="256">
        <f t="shared" si="7"/>
        <v>5.4213063278784333</v>
      </c>
      <c r="H188" s="57">
        <f t="shared" si="8"/>
        <v>693631.09000000008</v>
      </c>
    </row>
    <row r="189" spans="1:8" x14ac:dyDescent="0.25">
      <c r="A189" s="49">
        <f>'A) Base RI'!A191</f>
        <v>5712</v>
      </c>
      <c r="B189" s="56" t="str">
        <f>'A) Base RI'!B191</f>
        <v>Coppet</v>
      </c>
      <c r="C189" s="31">
        <f>'B) D RI'!Y191</f>
        <v>2203531.9500000002</v>
      </c>
      <c r="D189" s="14">
        <f>'B) D RI'!Z191</f>
        <v>154539.25</v>
      </c>
      <c r="E189" s="10">
        <f t="shared" si="6"/>
        <v>2358071.2000000002</v>
      </c>
      <c r="F189" s="14">
        <f>'B) D RI'!U191</f>
        <v>389043.84018867929</v>
      </c>
      <c r="G189" s="256">
        <f t="shared" si="7"/>
        <v>6.0611965963948382</v>
      </c>
      <c r="H189" s="57">
        <f t="shared" si="8"/>
        <v>1148127.75</v>
      </c>
    </row>
    <row r="190" spans="1:8" x14ac:dyDescent="0.25">
      <c r="A190" s="49">
        <f>'A) Base RI'!A192</f>
        <v>5713</v>
      </c>
      <c r="B190" s="56" t="str">
        <f>'A) Base RI'!B192</f>
        <v>Crans-près-Céligny</v>
      </c>
      <c r="C190" s="31">
        <f>'B) D RI'!Y192</f>
        <v>1061544.6499999999</v>
      </c>
      <c r="D190" s="14">
        <f>'B) D RI'!Z192</f>
        <v>21843.1</v>
      </c>
      <c r="E190" s="10">
        <f t="shared" si="6"/>
        <v>1083387.75</v>
      </c>
      <c r="F190" s="14">
        <f>'B) D RI'!U192</f>
        <v>285689.07035714283</v>
      </c>
      <c r="G190" s="256">
        <f t="shared" si="7"/>
        <v>3.7921918001470827</v>
      </c>
      <c r="H190" s="57">
        <f t="shared" si="8"/>
        <v>537325.255</v>
      </c>
    </row>
    <row r="191" spans="1:8" x14ac:dyDescent="0.25">
      <c r="A191" s="49">
        <f>'A) Base RI'!A193</f>
        <v>5714</v>
      </c>
      <c r="B191" s="56" t="str">
        <f>'A) Base RI'!B193</f>
        <v>Crassier</v>
      </c>
      <c r="C191" s="31">
        <f>'B) D RI'!Y193</f>
        <v>306357.80000000005</v>
      </c>
      <c r="D191" s="14">
        <f>'B) D RI'!Z193</f>
        <v>78593.5</v>
      </c>
      <c r="E191" s="10">
        <f t="shared" si="6"/>
        <v>384951.30000000005</v>
      </c>
      <c r="F191" s="14">
        <f>'B) D RI'!U193</f>
        <v>69757.357205882377</v>
      </c>
      <c r="G191" s="256">
        <f t="shared" si="7"/>
        <v>5.5184329713617437</v>
      </c>
      <c r="H191" s="57">
        <f t="shared" si="8"/>
        <v>176756.95</v>
      </c>
    </row>
    <row r="192" spans="1:8" x14ac:dyDescent="0.25">
      <c r="A192" s="49">
        <f>'A) Base RI'!A194</f>
        <v>5715</v>
      </c>
      <c r="B192" s="56" t="str">
        <f>'A) Base RI'!B194</f>
        <v>Duillier</v>
      </c>
      <c r="C192" s="31">
        <f>'B) D RI'!Y194</f>
        <v>298520</v>
      </c>
      <c r="D192" s="14">
        <f>'B) D RI'!Z194</f>
        <v>59422.95</v>
      </c>
      <c r="E192" s="10">
        <f t="shared" si="6"/>
        <v>357942.95</v>
      </c>
      <c r="F192" s="14">
        <f>'B) D RI'!U194</f>
        <v>70129.929393939397</v>
      </c>
      <c r="G192" s="256">
        <f t="shared" si="7"/>
        <v>5.103997010881538</v>
      </c>
      <c r="H192" s="57">
        <f t="shared" si="8"/>
        <v>167086.88500000001</v>
      </c>
    </row>
    <row r="193" spans="1:8" x14ac:dyDescent="0.25">
      <c r="A193" s="49">
        <f>'A) Base RI'!A195</f>
        <v>5716</v>
      </c>
      <c r="B193" s="56" t="str">
        <f>'A) Base RI'!B195</f>
        <v>Eysins</v>
      </c>
      <c r="C193" s="31">
        <f>'B) D RI'!Y195</f>
        <v>522671.94999999995</v>
      </c>
      <c r="D193" s="14">
        <f>'B) D RI'!Z195</f>
        <v>485768.2</v>
      </c>
      <c r="E193" s="10">
        <f t="shared" si="6"/>
        <v>1008440.1499999999</v>
      </c>
      <c r="F193" s="14">
        <f>'B) D RI'!U195</f>
        <v>206146.61786885248</v>
      </c>
      <c r="G193" s="256">
        <f t="shared" si="7"/>
        <v>4.8918588159498935</v>
      </c>
      <c r="H193" s="57">
        <f t="shared" si="8"/>
        <v>407066.43499999994</v>
      </c>
    </row>
    <row r="194" spans="1:8" x14ac:dyDescent="0.25">
      <c r="A194" s="49">
        <f>'A) Base RI'!A196</f>
        <v>5717</v>
      </c>
      <c r="B194" s="56" t="str">
        <f>'A) Base RI'!B196</f>
        <v>Founex</v>
      </c>
      <c r="C194" s="31">
        <f>'B) D RI'!Y196</f>
        <v>2357226.4500000002</v>
      </c>
      <c r="D194" s="14">
        <f>'B) D RI'!Z196</f>
        <v>216727.3</v>
      </c>
      <c r="E194" s="10">
        <f t="shared" si="6"/>
        <v>2573953.75</v>
      </c>
      <c r="F194" s="14">
        <f>'B) D RI'!U196</f>
        <v>344775.19280701759</v>
      </c>
      <c r="G194" s="256">
        <f t="shared" si="7"/>
        <v>7.4656002047128993</v>
      </c>
      <c r="H194" s="57">
        <f t="shared" si="8"/>
        <v>1243631.415</v>
      </c>
    </row>
    <row r="195" spans="1:8" x14ac:dyDescent="0.25">
      <c r="A195" s="49">
        <f>'A) Base RI'!A197</f>
        <v>5718</v>
      </c>
      <c r="B195" s="56" t="str">
        <f>'A) Base RI'!B197</f>
        <v>Genolier</v>
      </c>
      <c r="C195" s="31">
        <f>'B) D RI'!Y197</f>
        <v>1428668.4</v>
      </c>
      <c r="D195" s="14">
        <f>'B) D RI'!Z197</f>
        <v>281010.59999999998</v>
      </c>
      <c r="E195" s="10">
        <f t="shared" si="6"/>
        <v>1709679</v>
      </c>
      <c r="F195" s="14">
        <f>'B) D RI'!U197</f>
        <v>171473.77890909091</v>
      </c>
      <c r="G195" s="256">
        <f t="shared" si="7"/>
        <v>9.970498176904405</v>
      </c>
      <c r="H195" s="57">
        <f t="shared" si="8"/>
        <v>798637.37999999989</v>
      </c>
    </row>
    <row r="196" spans="1:8" x14ac:dyDescent="0.25">
      <c r="A196" s="49">
        <f>'A) Base RI'!A198</f>
        <v>5719</v>
      </c>
      <c r="B196" s="56" t="str">
        <f>'A) Base RI'!B198</f>
        <v>Gingins</v>
      </c>
      <c r="C196" s="31">
        <f>'B) D RI'!Y198</f>
        <v>354559.35</v>
      </c>
      <c r="D196" s="14">
        <f>'B) D RI'!Z198</f>
        <v>55232.15</v>
      </c>
      <c r="E196" s="10">
        <f t="shared" si="6"/>
        <v>409791.5</v>
      </c>
      <c r="F196" s="14">
        <f>'B) D RI'!U198</f>
        <v>142317.67801169588</v>
      </c>
      <c r="G196" s="256">
        <f t="shared" si="7"/>
        <v>2.8794138980142909</v>
      </c>
      <c r="H196" s="57">
        <f t="shared" si="8"/>
        <v>193849.31999999998</v>
      </c>
    </row>
    <row r="197" spans="1:8" x14ac:dyDescent="0.25">
      <c r="A197" s="49">
        <f>'A) Base RI'!A199</f>
        <v>5720</v>
      </c>
      <c r="B197" s="56" t="str">
        <f>'A) Base RI'!B199</f>
        <v>Givrins</v>
      </c>
      <c r="C197" s="31">
        <f>'B) D RI'!Y199</f>
        <v>579337.30000000005</v>
      </c>
      <c r="D197" s="14">
        <f>'B) D RI'!Z199</f>
        <v>12988.35</v>
      </c>
      <c r="E197" s="10">
        <f t="shared" si="6"/>
        <v>592325.65</v>
      </c>
      <c r="F197" s="14">
        <f>'B) D RI'!U199</f>
        <v>82564.367429519058</v>
      </c>
      <c r="G197" s="256">
        <f t="shared" si="7"/>
        <v>7.1741075289608185</v>
      </c>
      <c r="H197" s="57">
        <f t="shared" si="8"/>
        <v>293565.15500000003</v>
      </c>
    </row>
    <row r="198" spans="1:8" x14ac:dyDescent="0.25">
      <c r="A198" s="49">
        <f>'A) Base RI'!A200</f>
        <v>5721</v>
      </c>
      <c r="B198" s="56" t="str">
        <f>'A) Base RI'!B200</f>
        <v>Gland</v>
      </c>
      <c r="C198" s="31">
        <f>'B) D RI'!Y200</f>
        <v>14037321.049999999</v>
      </c>
      <c r="D198" s="14">
        <f>'B) D RI'!Z200</f>
        <v>1685223</v>
      </c>
      <c r="E198" s="10">
        <f t="shared" ref="E198:E261" si="9">C198+D198</f>
        <v>15722544.049999999</v>
      </c>
      <c r="F198" s="14">
        <f>'B) D RI'!U200</f>
        <v>655037.95408000017</v>
      </c>
      <c r="G198" s="256">
        <f t="shared" ref="G198:G261" si="10">E198/F198</f>
        <v>24.002493217484304</v>
      </c>
      <c r="H198" s="57">
        <f t="shared" ref="H198:H261" si="11">(C198*$C$4)+(D198*$D$4)</f>
        <v>7524227.4249999998</v>
      </c>
    </row>
    <row r="199" spans="1:8" x14ac:dyDescent="0.25">
      <c r="A199" s="49">
        <f>'A) Base RI'!A201</f>
        <v>5722</v>
      </c>
      <c r="B199" s="56" t="str">
        <f>'A) Base RI'!B201</f>
        <v>Grens</v>
      </c>
      <c r="C199" s="31">
        <f>'B) D RI'!Y201</f>
        <v>128942.05</v>
      </c>
      <c r="D199" s="14">
        <f>'B) D RI'!Z201</f>
        <v>14870.05</v>
      </c>
      <c r="E199" s="10">
        <f t="shared" si="9"/>
        <v>143812.1</v>
      </c>
      <c r="F199" s="14">
        <f>'B) D RI'!U201</f>
        <v>20306.92935483871</v>
      </c>
      <c r="G199" s="256">
        <f t="shared" si="10"/>
        <v>7.0819225047302696</v>
      </c>
      <c r="H199" s="57">
        <f t="shared" si="11"/>
        <v>68932.040000000008</v>
      </c>
    </row>
    <row r="200" spans="1:8" x14ac:dyDescent="0.25">
      <c r="A200" s="49">
        <f>'A) Base RI'!A202</f>
        <v>5723</v>
      </c>
      <c r="B200" s="56" t="str">
        <f>'A) Base RI'!B202</f>
        <v>Mies</v>
      </c>
      <c r="C200" s="31">
        <f>'B) D RI'!Y202</f>
        <v>1045594.8</v>
      </c>
      <c r="D200" s="14">
        <f>'B) D RI'!Z202</f>
        <v>100227.75</v>
      </c>
      <c r="E200" s="10">
        <f t="shared" si="9"/>
        <v>1145822.55</v>
      </c>
      <c r="F200" s="14">
        <f>'B) D RI'!U202</f>
        <v>571754.57660377375</v>
      </c>
      <c r="G200" s="256">
        <f t="shared" si="10"/>
        <v>2.004046136029543</v>
      </c>
      <c r="H200" s="57">
        <f t="shared" si="11"/>
        <v>552865.72499999998</v>
      </c>
    </row>
    <row r="201" spans="1:8" x14ac:dyDescent="0.25">
      <c r="A201" s="49">
        <f>'A) Base RI'!A203</f>
        <v>5724</v>
      </c>
      <c r="B201" s="56" t="str">
        <f>'A) Base RI'!B203</f>
        <v>Nyon</v>
      </c>
      <c r="C201" s="31">
        <f>'B) D RI'!Y203</f>
        <v>8236001.1500000004</v>
      </c>
      <c r="D201" s="14">
        <f>'B) D RI'!Z203</f>
        <v>4882546.7</v>
      </c>
      <c r="E201" s="10">
        <f t="shared" si="9"/>
        <v>13118547.850000001</v>
      </c>
      <c r="F201" s="14">
        <f>'B) D RI'!U203</f>
        <v>1403046.442824716</v>
      </c>
      <c r="G201" s="256">
        <f t="shared" si="10"/>
        <v>9.350045336766458</v>
      </c>
      <c r="H201" s="57">
        <f t="shared" si="11"/>
        <v>5582764.585</v>
      </c>
    </row>
    <row r="202" spans="1:8" x14ac:dyDescent="0.25">
      <c r="A202" s="49">
        <f>'A) Base RI'!A204</f>
        <v>5725</v>
      </c>
      <c r="B202" s="56" t="str">
        <f>'A) Base RI'!B204</f>
        <v>Prangins</v>
      </c>
      <c r="C202" s="31">
        <f>'B) D RI'!Y204</f>
        <v>2615214.9500000002</v>
      </c>
      <c r="D202" s="14">
        <f>'B) D RI'!Z204</f>
        <v>1121038.45</v>
      </c>
      <c r="E202" s="10">
        <f t="shared" si="9"/>
        <v>3736253.4000000004</v>
      </c>
      <c r="F202" s="14">
        <f>'B) D RI'!U204</f>
        <v>339116.20058673463</v>
      </c>
      <c r="G202" s="256">
        <f t="shared" si="10"/>
        <v>11.017619900009439</v>
      </c>
      <c r="H202" s="57">
        <f t="shared" si="11"/>
        <v>1643919.01</v>
      </c>
    </row>
    <row r="203" spans="1:8" x14ac:dyDescent="0.25">
      <c r="A203" s="49">
        <f>'A) Base RI'!A205</f>
        <v>5726</v>
      </c>
      <c r="B203" s="56" t="str">
        <f>'A) Base RI'!B205</f>
        <v>La Rippe</v>
      </c>
      <c r="C203" s="31">
        <f>'B) D RI'!Y205</f>
        <v>240323</v>
      </c>
      <c r="D203" s="14">
        <f>'B) D RI'!Z205</f>
        <v>43623.199999999997</v>
      </c>
      <c r="E203" s="10">
        <f t="shared" si="9"/>
        <v>283946.2</v>
      </c>
      <c r="F203" s="14">
        <f>'B) D RI'!U205</f>
        <v>61326.535692307698</v>
      </c>
      <c r="G203" s="256">
        <f t="shared" si="10"/>
        <v>4.6300707645485986</v>
      </c>
      <c r="H203" s="57">
        <f t="shared" si="11"/>
        <v>133248.46</v>
      </c>
    </row>
    <row r="204" spans="1:8" x14ac:dyDescent="0.25">
      <c r="A204" s="49">
        <f>'A) Base RI'!A206</f>
        <v>5727</v>
      </c>
      <c r="B204" s="56" t="str">
        <f>'A) Base RI'!B206</f>
        <v>Saint-Cergue</v>
      </c>
      <c r="C204" s="31">
        <f>'B) D RI'!Y206</f>
        <v>648391.94999999995</v>
      </c>
      <c r="D204" s="14">
        <f>'B) D RI'!Z206</f>
        <v>158797.79999999999</v>
      </c>
      <c r="E204" s="10">
        <f t="shared" si="9"/>
        <v>807189.75</v>
      </c>
      <c r="F204" s="14">
        <f>'B) D RI'!U206</f>
        <v>96125.190858585862</v>
      </c>
      <c r="G204" s="256">
        <f t="shared" si="10"/>
        <v>8.3972759147754878</v>
      </c>
      <c r="H204" s="57">
        <f t="shared" si="11"/>
        <v>371835.31499999994</v>
      </c>
    </row>
    <row r="205" spans="1:8" x14ac:dyDescent="0.25">
      <c r="A205" s="49">
        <f>'A) Base RI'!A207</f>
        <v>5728</v>
      </c>
      <c r="B205" s="56" t="str">
        <f>'A) Base RI'!B207</f>
        <v>Signy-Avenex</v>
      </c>
      <c r="C205" s="31">
        <f>'B) D RI'!Y207</f>
        <v>90188.5</v>
      </c>
      <c r="D205" s="14">
        <f>'B) D RI'!Z207</f>
        <v>207284.05</v>
      </c>
      <c r="E205" s="10">
        <f t="shared" si="9"/>
        <v>297472.55</v>
      </c>
      <c r="F205" s="14">
        <f>'B) D RI'!U207</f>
        <v>43125.38</v>
      </c>
      <c r="G205" s="256">
        <f t="shared" si="10"/>
        <v>6.8978534218133269</v>
      </c>
      <c r="H205" s="57">
        <f t="shared" si="11"/>
        <v>107279.465</v>
      </c>
    </row>
    <row r="206" spans="1:8" x14ac:dyDescent="0.25">
      <c r="A206" s="49">
        <f>'A) Base RI'!A208</f>
        <v>5729</v>
      </c>
      <c r="B206" s="56" t="str">
        <f>'A) Base RI'!B208</f>
        <v>Tannay</v>
      </c>
      <c r="C206" s="31">
        <f>'B) D RI'!Y208</f>
        <v>950352.8</v>
      </c>
      <c r="D206" s="14">
        <f>'B) D RI'!Z208</f>
        <v>8148.6</v>
      </c>
      <c r="E206" s="10">
        <f t="shared" si="9"/>
        <v>958501.4</v>
      </c>
      <c r="F206" s="14">
        <f>'B) D RI'!U208</f>
        <v>176892.2019125683</v>
      </c>
      <c r="G206" s="256">
        <f t="shared" si="10"/>
        <v>5.4185622070200363</v>
      </c>
      <c r="H206" s="57">
        <f t="shared" si="11"/>
        <v>477620.98000000004</v>
      </c>
    </row>
    <row r="207" spans="1:8" x14ac:dyDescent="0.25">
      <c r="A207" s="49">
        <f>'A) Base RI'!A209</f>
        <v>5730</v>
      </c>
      <c r="B207" s="56" t="str">
        <f>'A) Base RI'!B209</f>
        <v>Trélex</v>
      </c>
      <c r="C207" s="31">
        <f>'B) D RI'!Y209</f>
        <v>520253.4</v>
      </c>
      <c r="D207" s="14">
        <f>'B) D RI'!Z209</f>
        <v>9246.0499999999993</v>
      </c>
      <c r="E207" s="10">
        <f t="shared" si="9"/>
        <v>529499.45000000007</v>
      </c>
      <c r="F207" s="14">
        <f>'B) D RI'!U209</f>
        <v>134482.25955165693</v>
      </c>
      <c r="G207" s="256">
        <f t="shared" si="10"/>
        <v>3.9373182140549199</v>
      </c>
      <c r="H207" s="57">
        <f t="shared" si="11"/>
        <v>262900.51500000001</v>
      </c>
    </row>
    <row r="208" spans="1:8" x14ac:dyDescent="0.25">
      <c r="A208" s="49">
        <f>'A) Base RI'!A210</f>
        <v>5731</v>
      </c>
      <c r="B208" s="56" t="str">
        <f>'A) Base RI'!B210</f>
        <v>Le Vaud</v>
      </c>
      <c r="C208" s="31">
        <f>'B) D RI'!Y210</f>
        <v>720073.8</v>
      </c>
      <c r="D208" s="14">
        <f>'B) D RI'!Z210</f>
        <v>36501.300000000003</v>
      </c>
      <c r="E208" s="10">
        <f t="shared" si="9"/>
        <v>756575.10000000009</v>
      </c>
      <c r="F208" s="14">
        <f>'B) D RI'!U210</f>
        <v>61944.089333333322</v>
      </c>
      <c r="G208" s="256">
        <f t="shared" si="10"/>
        <v>12.213838449197642</v>
      </c>
      <c r="H208" s="57">
        <f t="shared" si="11"/>
        <v>370987.29000000004</v>
      </c>
    </row>
    <row r="209" spans="1:8" x14ac:dyDescent="0.25">
      <c r="A209" s="49">
        <f>'A) Base RI'!A211</f>
        <v>5732</v>
      </c>
      <c r="B209" s="56" t="str">
        <f>'A) Base RI'!B211</f>
        <v>Vich</v>
      </c>
      <c r="C209" s="31">
        <f>'B) D RI'!Y211</f>
        <v>364872.75</v>
      </c>
      <c r="D209" s="14">
        <f>'B) D RI'!Z211</f>
        <v>81769.7</v>
      </c>
      <c r="E209" s="10">
        <f t="shared" si="9"/>
        <v>446642.45</v>
      </c>
      <c r="F209" s="14">
        <f>'B) D RI'!U211</f>
        <v>63992.408333333333</v>
      </c>
      <c r="G209" s="256">
        <f t="shared" si="10"/>
        <v>6.9796162018697796</v>
      </c>
      <c r="H209" s="57">
        <f t="shared" si="11"/>
        <v>206967.285</v>
      </c>
    </row>
    <row r="210" spans="1:8" x14ac:dyDescent="0.25">
      <c r="A210" s="49">
        <f>'A) Base RI'!A212</f>
        <v>5741</v>
      </c>
      <c r="B210" s="56" t="str">
        <f>'A) Base RI'!B212</f>
        <v>L'Abergement</v>
      </c>
      <c r="C210" s="31">
        <f>'B) D RI'!Y212</f>
        <v>35109.9</v>
      </c>
      <c r="D210" s="14">
        <f>'B) D RI'!Z212</f>
        <v>21051.95</v>
      </c>
      <c r="E210" s="10">
        <f t="shared" si="9"/>
        <v>56161.850000000006</v>
      </c>
      <c r="F210" s="14">
        <f>'B) D RI'!U212</f>
        <v>7144.356296296296</v>
      </c>
      <c r="G210" s="256">
        <f t="shared" si="10"/>
        <v>7.8610091197600065</v>
      </c>
      <c r="H210" s="57">
        <f t="shared" si="11"/>
        <v>23870.535</v>
      </c>
    </row>
    <row r="211" spans="1:8" x14ac:dyDescent="0.25">
      <c r="A211" s="49">
        <f>'A) Base RI'!A213</f>
        <v>5742</v>
      </c>
      <c r="B211" s="56" t="str">
        <f>'A) Base RI'!B213</f>
        <v>Agiez</v>
      </c>
      <c r="C211" s="31">
        <f>'B) D RI'!Y213</f>
        <v>66912.850000000006</v>
      </c>
      <c r="D211" s="14">
        <f>'B) D RI'!Z213</f>
        <v>0</v>
      </c>
      <c r="E211" s="10">
        <f t="shared" si="9"/>
        <v>66912.850000000006</v>
      </c>
      <c r="F211" s="14">
        <f>'B) D RI'!U213</f>
        <v>9023.5640789473691</v>
      </c>
      <c r="G211" s="256">
        <f t="shared" si="10"/>
        <v>7.4153460223231029</v>
      </c>
      <c r="H211" s="57">
        <f t="shared" si="11"/>
        <v>33456.425000000003</v>
      </c>
    </row>
    <row r="212" spans="1:8" x14ac:dyDescent="0.25">
      <c r="A212" s="49">
        <f>'A) Base RI'!A214</f>
        <v>5743</v>
      </c>
      <c r="B212" s="56" t="str">
        <f>'A) Base RI'!B214</f>
        <v>Arnex-sur-Orbe</v>
      </c>
      <c r="C212" s="31">
        <f>'B) D RI'!Y214</f>
        <v>200542.35</v>
      </c>
      <c r="D212" s="14">
        <f>'B) D RI'!Z214</f>
        <v>28664.35</v>
      </c>
      <c r="E212" s="10">
        <f t="shared" si="9"/>
        <v>229206.7</v>
      </c>
      <c r="F212" s="14">
        <f>'B) D RI'!U214</f>
        <v>19009.64441780822</v>
      </c>
      <c r="G212" s="256">
        <f t="shared" si="10"/>
        <v>12.057390183757427</v>
      </c>
      <c r="H212" s="57">
        <f t="shared" si="11"/>
        <v>108870.48</v>
      </c>
    </row>
    <row r="213" spans="1:8" x14ac:dyDescent="0.25">
      <c r="A213" s="49">
        <f>'A) Base RI'!A215</f>
        <v>5744</v>
      </c>
      <c r="B213" s="56" t="str">
        <f>'A) Base RI'!B215</f>
        <v>Ballaigues</v>
      </c>
      <c r="C213" s="31">
        <f>'B) D RI'!Y215</f>
        <v>142974.5</v>
      </c>
      <c r="D213" s="14">
        <f>'B) D RI'!Z215</f>
        <v>1627852.05</v>
      </c>
      <c r="E213" s="10">
        <f t="shared" si="9"/>
        <v>1770826.55</v>
      </c>
      <c r="F213" s="14">
        <f>'B) D RI'!U215</f>
        <v>63457.136212121215</v>
      </c>
      <c r="G213" s="256">
        <f t="shared" si="10"/>
        <v>27.905869311224087</v>
      </c>
      <c r="H213" s="57">
        <f t="shared" si="11"/>
        <v>559842.86499999999</v>
      </c>
    </row>
    <row r="214" spans="1:8" x14ac:dyDescent="0.25">
      <c r="A214" s="49">
        <f>'A) Base RI'!A216</f>
        <v>5745</v>
      </c>
      <c r="B214" s="56" t="str">
        <f>'A) Base RI'!B216</f>
        <v>Baulmes</v>
      </c>
      <c r="C214" s="31">
        <f>'B) D RI'!Y216</f>
        <v>119245.8</v>
      </c>
      <c r="D214" s="14">
        <f>'B) D RI'!Z216</f>
        <v>185403.2</v>
      </c>
      <c r="E214" s="10">
        <f t="shared" si="9"/>
        <v>304649</v>
      </c>
      <c r="F214" s="14">
        <f>'B) D RI'!U216</f>
        <v>27759.177948717952</v>
      </c>
      <c r="G214" s="256">
        <f t="shared" si="10"/>
        <v>10.974712600020279</v>
      </c>
      <c r="H214" s="57">
        <f t="shared" si="11"/>
        <v>115243.86</v>
      </c>
    </row>
    <row r="215" spans="1:8" x14ac:dyDescent="0.25">
      <c r="A215" s="49">
        <f>'A) Base RI'!A217</f>
        <v>5746</v>
      </c>
      <c r="B215" s="56" t="str">
        <f>'A) Base RI'!B217</f>
        <v>Bavois</v>
      </c>
      <c r="C215" s="31">
        <f>'B) D RI'!Y217</f>
        <v>196550.5</v>
      </c>
      <c r="D215" s="14">
        <f>'B) D RI'!Z217</f>
        <v>21961.55</v>
      </c>
      <c r="E215" s="10">
        <f t="shared" si="9"/>
        <v>218512.05</v>
      </c>
      <c r="F215" s="14">
        <f>'B) D RI'!U217</f>
        <v>26302.981735159818</v>
      </c>
      <c r="G215" s="256">
        <f t="shared" si="10"/>
        <v>8.3075011114770216</v>
      </c>
      <c r="H215" s="57">
        <f t="shared" si="11"/>
        <v>104863.715</v>
      </c>
    </row>
    <row r="216" spans="1:8" x14ac:dyDescent="0.25">
      <c r="A216" s="49">
        <f>'A) Base RI'!A218</f>
        <v>5747</v>
      </c>
      <c r="B216" s="56" t="str">
        <f>'A) Base RI'!B218</f>
        <v>Bofflens</v>
      </c>
      <c r="C216" s="31">
        <f>'B) D RI'!Y218</f>
        <v>14171.45</v>
      </c>
      <c r="D216" s="14">
        <f>'B) D RI'!Z218</f>
        <v>0</v>
      </c>
      <c r="E216" s="10">
        <f t="shared" si="9"/>
        <v>14171.45</v>
      </c>
      <c r="F216" s="14">
        <f>'B) D RI'!U218</f>
        <v>5938.7008695652166</v>
      </c>
      <c r="G216" s="256">
        <f t="shared" si="10"/>
        <v>2.3862878954934668</v>
      </c>
      <c r="H216" s="57">
        <f t="shared" si="11"/>
        <v>7085.7250000000004</v>
      </c>
    </row>
    <row r="217" spans="1:8" x14ac:dyDescent="0.25">
      <c r="A217" s="49">
        <f>'A) Base RI'!A219</f>
        <v>5748</v>
      </c>
      <c r="B217" s="56" t="str">
        <f>'A) Base RI'!B219</f>
        <v>Bretonnières</v>
      </c>
      <c r="C217" s="31">
        <f>'B) D RI'!Y219</f>
        <v>30657</v>
      </c>
      <c r="D217" s="14">
        <f>'B) D RI'!Z219</f>
        <v>3153.95</v>
      </c>
      <c r="E217" s="10">
        <f t="shared" si="9"/>
        <v>33810.949999999997</v>
      </c>
      <c r="F217" s="14">
        <f>'B) D RI'!U219</f>
        <v>7318.7627314814808</v>
      </c>
      <c r="G217" s="256">
        <f t="shared" si="10"/>
        <v>4.6197630993778516</v>
      </c>
      <c r="H217" s="57">
        <f t="shared" si="11"/>
        <v>16274.684999999999</v>
      </c>
    </row>
    <row r="218" spans="1:8" x14ac:dyDescent="0.25">
      <c r="A218" s="49">
        <f>'A) Base RI'!A220</f>
        <v>5749</v>
      </c>
      <c r="B218" s="56" t="str">
        <f>'A) Base RI'!B220</f>
        <v>Chavornay</v>
      </c>
      <c r="C218" s="31">
        <f>'B) D RI'!Y220</f>
        <v>879090.05</v>
      </c>
      <c r="D218" s="14">
        <f>'B) D RI'!Z220</f>
        <v>582192.94999999995</v>
      </c>
      <c r="E218" s="10">
        <f t="shared" si="9"/>
        <v>1461283</v>
      </c>
      <c r="F218" s="14">
        <f>'B) D RI'!U220</f>
        <v>133236.15722222222</v>
      </c>
      <c r="G218" s="256">
        <f t="shared" si="10"/>
        <v>10.967615926979581</v>
      </c>
      <c r="H218" s="57">
        <f t="shared" si="11"/>
        <v>614202.91</v>
      </c>
    </row>
    <row r="219" spans="1:8" x14ac:dyDescent="0.25">
      <c r="A219" s="49">
        <f>'A) Base RI'!A221</f>
        <v>5750</v>
      </c>
      <c r="B219" s="56" t="str">
        <f>'A) Base RI'!B221</f>
        <v>Les Clées</v>
      </c>
      <c r="C219" s="31">
        <f>'B) D RI'!Y221</f>
        <v>1837</v>
      </c>
      <c r="D219" s="14">
        <f>'B) D RI'!Z221</f>
        <v>9385.1</v>
      </c>
      <c r="E219" s="10">
        <f t="shared" si="9"/>
        <v>11222.1</v>
      </c>
      <c r="F219" s="14">
        <f>'B) D RI'!U221</f>
        <v>5052.8727083333342</v>
      </c>
      <c r="G219" s="256">
        <f t="shared" si="10"/>
        <v>2.2209346341720049</v>
      </c>
      <c r="H219" s="57">
        <f t="shared" si="11"/>
        <v>3734.03</v>
      </c>
    </row>
    <row r="220" spans="1:8" x14ac:dyDescent="0.25">
      <c r="A220" s="49">
        <f>'A) Base RI'!A222</f>
        <v>5752</v>
      </c>
      <c r="B220" s="56" t="str">
        <f>'A) Base RI'!B222</f>
        <v>Croy</v>
      </c>
      <c r="C220" s="31">
        <f>'B) D RI'!Y222</f>
        <v>34080</v>
      </c>
      <c r="D220" s="14">
        <f>'B) D RI'!Z222</f>
        <v>25500.3</v>
      </c>
      <c r="E220" s="10">
        <f t="shared" si="9"/>
        <v>59580.3</v>
      </c>
      <c r="F220" s="14">
        <f>'B) D RI'!U222</f>
        <v>9724.9561776061801</v>
      </c>
      <c r="G220" s="256">
        <f t="shared" si="10"/>
        <v>6.1265366045758194</v>
      </c>
      <c r="H220" s="57">
        <f t="shared" si="11"/>
        <v>24690.09</v>
      </c>
    </row>
    <row r="221" spans="1:8" x14ac:dyDescent="0.25">
      <c r="A221" s="49">
        <f>'A) Base RI'!A223</f>
        <v>5754</v>
      </c>
      <c r="B221" s="56" t="str">
        <f>'A) Base RI'!B223</f>
        <v>Juriens</v>
      </c>
      <c r="C221" s="31">
        <f>'B) D RI'!Y223</f>
        <v>2444.85</v>
      </c>
      <c r="D221" s="14">
        <f>'B) D RI'!Z223</f>
        <v>5642.65</v>
      </c>
      <c r="E221" s="10">
        <f t="shared" si="9"/>
        <v>8087.5</v>
      </c>
      <c r="F221" s="14">
        <f>'B) D RI'!U223</f>
        <v>9237.2617721518982</v>
      </c>
      <c r="G221" s="256">
        <f t="shared" si="10"/>
        <v>0.87553002171940708</v>
      </c>
      <c r="H221" s="57">
        <f t="shared" si="11"/>
        <v>2915.22</v>
      </c>
    </row>
    <row r="222" spans="1:8" x14ac:dyDescent="0.25">
      <c r="A222" s="49">
        <f>'A) Base RI'!A224</f>
        <v>5755</v>
      </c>
      <c r="B222" s="56" t="str">
        <f>'A) Base RI'!B224</f>
        <v>Lignerolle</v>
      </c>
      <c r="C222" s="31">
        <f>'B) D RI'!Y224</f>
        <v>98807.05</v>
      </c>
      <c r="D222" s="14">
        <f>'B) D RI'!Z224</f>
        <v>25416.95</v>
      </c>
      <c r="E222" s="10">
        <f t="shared" si="9"/>
        <v>124224</v>
      </c>
      <c r="F222" s="14">
        <f>'B) D RI'!U224</f>
        <v>9846.5387499999997</v>
      </c>
      <c r="G222" s="256">
        <f t="shared" si="10"/>
        <v>12.616006817624113</v>
      </c>
      <c r="H222" s="57">
        <f t="shared" si="11"/>
        <v>57028.61</v>
      </c>
    </row>
    <row r="223" spans="1:8" x14ac:dyDescent="0.25">
      <c r="A223" s="49">
        <f>'A) Base RI'!A225</f>
        <v>5756</v>
      </c>
      <c r="B223" s="56" t="str">
        <f>'A) Base RI'!B225</f>
        <v>Montcherand</v>
      </c>
      <c r="C223" s="31">
        <f>'B) D RI'!Y225</f>
        <v>39156</v>
      </c>
      <c r="D223" s="14">
        <f>'B) D RI'!Z225</f>
        <v>29390.1</v>
      </c>
      <c r="E223" s="10">
        <f t="shared" si="9"/>
        <v>68546.100000000006</v>
      </c>
      <c r="F223" s="14">
        <f>'B) D RI'!U225</f>
        <v>16429.064166666663</v>
      </c>
      <c r="G223" s="256">
        <f t="shared" si="10"/>
        <v>4.1722461671964792</v>
      </c>
      <c r="H223" s="57">
        <f t="shared" si="11"/>
        <v>28395.03</v>
      </c>
    </row>
    <row r="224" spans="1:8" x14ac:dyDescent="0.25">
      <c r="A224" s="49">
        <f>'A) Base RI'!A226</f>
        <v>5757</v>
      </c>
      <c r="B224" s="56" t="str">
        <f>'A) Base RI'!B226</f>
        <v>Orbe</v>
      </c>
      <c r="C224" s="31">
        <f>'B) D RI'!Y226</f>
        <v>1012569.85</v>
      </c>
      <c r="D224" s="14">
        <f>'B) D RI'!Z226</f>
        <v>2385887.2999999998</v>
      </c>
      <c r="E224" s="10">
        <f t="shared" si="9"/>
        <v>3398457.15</v>
      </c>
      <c r="F224" s="14">
        <f>'B) D RI'!U226</f>
        <v>203622.90168831171</v>
      </c>
      <c r="G224" s="256">
        <f t="shared" si="10"/>
        <v>16.689955411803645</v>
      </c>
      <c r="H224" s="57">
        <f t="shared" si="11"/>
        <v>1222051.115</v>
      </c>
    </row>
    <row r="225" spans="1:8" x14ac:dyDescent="0.25">
      <c r="A225" s="49">
        <f>'A) Base RI'!A227</f>
        <v>5758</v>
      </c>
      <c r="B225" s="56" t="str">
        <f>'A) Base RI'!B227</f>
        <v>La Praz</v>
      </c>
      <c r="C225" s="31">
        <f>'B) D RI'!Y227</f>
        <v>59770.9</v>
      </c>
      <c r="D225" s="14">
        <f>'B) D RI'!Z227</f>
        <v>0</v>
      </c>
      <c r="E225" s="10">
        <f t="shared" si="9"/>
        <v>59770.9</v>
      </c>
      <c r="F225" s="14">
        <f>'B) D RI'!U227</f>
        <v>4513.7940160642565</v>
      </c>
      <c r="G225" s="256">
        <f t="shared" si="10"/>
        <v>13.241831547314703</v>
      </c>
      <c r="H225" s="57">
        <f t="shared" si="11"/>
        <v>29885.45</v>
      </c>
    </row>
    <row r="226" spans="1:8" x14ac:dyDescent="0.25">
      <c r="A226" s="49">
        <f>'A) Base RI'!A228</f>
        <v>5759</v>
      </c>
      <c r="B226" s="56" t="str">
        <f>'A) Base RI'!B228</f>
        <v>Premier</v>
      </c>
      <c r="C226" s="31">
        <f>'B) D RI'!Y228</f>
        <v>23079.8</v>
      </c>
      <c r="D226" s="14">
        <f>'B) D RI'!Z228</f>
        <v>3194.25</v>
      </c>
      <c r="E226" s="10">
        <f t="shared" si="9"/>
        <v>26274.05</v>
      </c>
      <c r="F226" s="14">
        <f>'B) D RI'!U228</f>
        <v>5266.2719753086421</v>
      </c>
      <c r="G226" s="256">
        <f t="shared" si="10"/>
        <v>4.9891175623264594</v>
      </c>
      <c r="H226" s="57">
        <f t="shared" si="11"/>
        <v>12498.174999999999</v>
      </c>
    </row>
    <row r="227" spans="1:8" x14ac:dyDescent="0.25">
      <c r="A227" s="49">
        <f>'A) Base RI'!A229</f>
        <v>5760</v>
      </c>
      <c r="B227" s="56" t="str">
        <f>'A) Base RI'!B229</f>
        <v>Rances</v>
      </c>
      <c r="C227" s="31">
        <f>'B) D RI'!Y229</f>
        <v>22508.5</v>
      </c>
      <c r="D227" s="14">
        <f>'B) D RI'!Z229</f>
        <v>16854.2</v>
      </c>
      <c r="E227" s="10">
        <f t="shared" si="9"/>
        <v>39362.699999999997</v>
      </c>
      <c r="F227" s="14">
        <f>'B) D RI'!U229</f>
        <v>12393.154658119658</v>
      </c>
      <c r="G227" s="256">
        <f t="shared" si="10"/>
        <v>3.1761646720200192</v>
      </c>
      <c r="H227" s="57">
        <f t="shared" si="11"/>
        <v>16310.51</v>
      </c>
    </row>
    <row r="228" spans="1:8" x14ac:dyDescent="0.25">
      <c r="A228" s="49">
        <f>'A) Base RI'!A230</f>
        <v>5761</v>
      </c>
      <c r="B228" s="56" t="str">
        <f>'A) Base RI'!B230</f>
        <v>Romainmôtier-Envy</v>
      </c>
      <c r="C228" s="31">
        <f>'B) D RI'!Y230</f>
        <v>111059.4</v>
      </c>
      <c r="D228" s="14">
        <f>'B) D RI'!Z230</f>
        <v>54355.95</v>
      </c>
      <c r="E228" s="10">
        <f t="shared" si="9"/>
        <v>165415.34999999998</v>
      </c>
      <c r="F228" s="14">
        <f>'B) D RI'!U230</f>
        <v>12300.346363636363</v>
      </c>
      <c r="G228" s="256">
        <f t="shared" si="10"/>
        <v>13.448023747446578</v>
      </c>
      <c r="H228" s="57">
        <f t="shared" si="11"/>
        <v>71836.485000000001</v>
      </c>
    </row>
    <row r="229" spans="1:8" x14ac:dyDescent="0.25">
      <c r="A229" s="49">
        <f>'A) Base RI'!A231</f>
        <v>5762</v>
      </c>
      <c r="B229" s="56" t="str">
        <f>'A) Base RI'!B231</f>
        <v>Sergey</v>
      </c>
      <c r="C229" s="31">
        <f>'B) D RI'!Y231</f>
        <v>2032.75</v>
      </c>
      <c r="D229" s="14">
        <f>'B) D RI'!Z231</f>
        <v>8622.5</v>
      </c>
      <c r="E229" s="10">
        <f t="shared" si="9"/>
        <v>10655.25</v>
      </c>
      <c r="F229" s="14">
        <f>'B) D RI'!U231</f>
        <v>4008.7221794871789</v>
      </c>
      <c r="G229" s="256">
        <f t="shared" si="10"/>
        <v>2.6580165755869585</v>
      </c>
      <c r="H229" s="57">
        <f t="shared" si="11"/>
        <v>3603.125</v>
      </c>
    </row>
    <row r="230" spans="1:8" x14ac:dyDescent="0.25">
      <c r="A230" s="49">
        <f>'A) Base RI'!A232</f>
        <v>5763</v>
      </c>
      <c r="B230" s="56" t="str">
        <f>'A) Base RI'!B232</f>
        <v>Valeyres-sous-Rances</v>
      </c>
      <c r="C230" s="31">
        <f>'B) D RI'!Y232</f>
        <v>30888.7</v>
      </c>
      <c r="D230" s="14">
        <f>'B) D RI'!Z232</f>
        <v>45726.7</v>
      </c>
      <c r="E230" s="10">
        <f t="shared" si="9"/>
        <v>76615.399999999994</v>
      </c>
      <c r="F230" s="14">
        <f>'B) D RI'!U232</f>
        <v>21916.016764705884</v>
      </c>
      <c r="G230" s="256">
        <f t="shared" si="10"/>
        <v>3.4958633597772839</v>
      </c>
      <c r="H230" s="57">
        <f t="shared" si="11"/>
        <v>29162.36</v>
      </c>
    </row>
    <row r="231" spans="1:8" x14ac:dyDescent="0.25">
      <c r="A231" s="49">
        <f>'A) Base RI'!A233</f>
        <v>5764</v>
      </c>
      <c r="B231" s="56" t="str">
        <f>'A) Base RI'!B233</f>
        <v>Vallorbe</v>
      </c>
      <c r="C231" s="31">
        <f>'B) D RI'!Y233</f>
        <v>708484.85000000009</v>
      </c>
      <c r="D231" s="14">
        <f>'B) D RI'!Z233</f>
        <v>2136567.6</v>
      </c>
      <c r="E231" s="10">
        <f t="shared" si="9"/>
        <v>2845052.45</v>
      </c>
      <c r="F231" s="14">
        <f>'B) D RI'!U233</f>
        <v>88041.024794520548</v>
      </c>
      <c r="G231" s="256">
        <f t="shared" si="10"/>
        <v>32.315076484401274</v>
      </c>
      <c r="H231" s="57">
        <f t="shared" si="11"/>
        <v>995212.70500000007</v>
      </c>
    </row>
    <row r="232" spans="1:8" x14ac:dyDescent="0.25">
      <c r="A232" s="49">
        <f>'A) Base RI'!A234</f>
        <v>5765</v>
      </c>
      <c r="B232" s="56" t="str">
        <f>'A) Base RI'!B234</f>
        <v>Vaulion</v>
      </c>
      <c r="C232" s="31">
        <f>'B) D RI'!Y234</f>
        <v>83090.7</v>
      </c>
      <c r="D232" s="14">
        <f>'B) D RI'!Z234</f>
        <v>28462.45</v>
      </c>
      <c r="E232" s="10">
        <f t="shared" si="9"/>
        <v>111553.15</v>
      </c>
      <c r="F232" s="14">
        <f>'B) D RI'!U234</f>
        <v>11969.433580246912</v>
      </c>
      <c r="G232" s="256">
        <f t="shared" si="10"/>
        <v>9.319835333235444</v>
      </c>
      <c r="H232" s="57">
        <f t="shared" si="11"/>
        <v>50084.084999999999</v>
      </c>
    </row>
    <row r="233" spans="1:8" x14ac:dyDescent="0.25">
      <c r="A233" s="49">
        <f>'A) Base RI'!A235</f>
        <v>5766</v>
      </c>
      <c r="B233" s="56" t="str">
        <f>'A) Base RI'!B235</f>
        <v>Vuiteboeuf</v>
      </c>
      <c r="C233" s="31">
        <f>'B) D RI'!Y235</f>
        <v>95100.549999999988</v>
      </c>
      <c r="D233" s="14">
        <f>'B) D RI'!Z235</f>
        <v>0</v>
      </c>
      <c r="E233" s="10">
        <f t="shared" si="9"/>
        <v>95100.549999999988</v>
      </c>
      <c r="F233" s="14">
        <f>'B) D RI'!U235</f>
        <v>13963.194675324676</v>
      </c>
      <c r="G233" s="256">
        <f t="shared" si="10"/>
        <v>6.8108016976987891</v>
      </c>
      <c r="H233" s="57">
        <f t="shared" si="11"/>
        <v>47550.274999999994</v>
      </c>
    </row>
    <row r="234" spans="1:8" x14ac:dyDescent="0.25">
      <c r="A234" s="49">
        <f>'A) Base RI'!A236</f>
        <v>5785</v>
      </c>
      <c r="B234" s="56" t="str">
        <f>'A) Base RI'!B236</f>
        <v>Corcelles-le-Jorat</v>
      </c>
      <c r="C234" s="31">
        <f>'B) D RI'!Y236</f>
        <v>91009.600000000006</v>
      </c>
      <c r="D234" s="14">
        <f>'B) D RI'!Z236</f>
        <v>0</v>
      </c>
      <c r="E234" s="10">
        <f t="shared" si="9"/>
        <v>91009.600000000006</v>
      </c>
      <c r="F234" s="14">
        <f>'B) D RI'!U236</f>
        <v>16982.100779220782</v>
      </c>
      <c r="G234" s="256">
        <f t="shared" si="10"/>
        <v>5.3591485048398084</v>
      </c>
      <c r="H234" s="57">
        <f t="shared" si="11"/>
        <v>45504.800000000003</v>
      </c>
    </row>
    <row r="235" spans="1:8" x14ac:dyDescent="0.25">
      <c r="A235" s="49">
        <f>'A) Base RI'!A237</f>
        <v>5788</v>
      </c>
      <c r="B235" s="56" t="str">
        <f>'A) Base RI'!B237</f>
        <v>Essertes</v>
      </c>
      <c r="C235" s="31">
        <f>'B) D RI'!Y237</f>
        <v>99328.8</v>
      </c>
      <c r="D235" s="14">
        <f>'B) D RI'!Z237</f>
        <v>0</v>
      </c>
      <c r="E235" s="10">
        <f t="shared" si="9"/>
        <v>99328.8</v>
      </c>
      <c r="F235" s="14">
        <f>'B) D RI'!U237</f>
        <v>12373.296527777777</v>
      </c>
      <c r="G235" s="256">
        <f t="shared" si="10"/>
        <v>8.027674741085292</v>
      </c>
      <c r="H235" s="57">
        <f t="shared" si="11"/>
        <v>49664.4</v>
      </c>
    </row>
    <row r="236" spans="1:8" x14ac:dyDescent="0.25">
      <c r="A236" s="49">
        <f>'A) Base RI'!A238</f>
        <v>5790</v>
      </c>
      <c r="B236" s="56" t="str">
        <f>'A) Base RI'!B238</f>
        <v>Maracon</v>
      </c>
      <c r="C236" s="31">
        <f>'B) D RI'!Y238</f>
        <v>237519.2</v>
      </c>
      <c r="D236" s="14">
        <f>'B) D RI'!Z238</f>
        <v>9920.6</v>
      </c>
      <c r="E236" s="10">
        <f t="shared" si="9"/>
        <v>247439.80000000002</v>
      </c>
      <c r="F236" s="14">
        <f>'B) D RI'!U238</f>
        <v>14432.888421052632</v>
      </c>
      <c r="G236" s="256">
        <f t="shared" si="10"/>
        <v>17.144163578447003</v>
      </c>
      <c r="H236" s="57">
        <f t="shared" si="11"/>
        <v>121735.78</v>
      </c>
    </row>
    <row r="237" spans="1:8" x14ac:dyDescent="0.25">
      <c r="A237" s="49">
        <f>'A) Base RI'!A239</f>
        <v>5792</v>
      </c>
      <c r="B237" s="56" t="str">
        <f>'A) Base RI'!B239</f>
        <v>Montpreveyres</v>
      </c>
      <c r="C237" s="31">
        <f>'B) D RI'!Y239</f>
        <v>121122.75</v>
      </c>
      <c r="D237" s="14">
        <f>'B) D RI'!Z239</f>
        <v>0</v>
      </c>
      <c r="E237" s="10">
        <f t="shared" si="9"/>
        <v>121122.75</v>
      </c>
      <c r="F237" s="14">
        <f>'B) D RI'!U239</f>
        <v>20144.698311688313</v>
      </c>
      <c r="G237" s="256">
        <f t="shared" si="10"/>
        <v>6.0126365818902547</v>
      </c>
      <c r="H237" s="57">
        <f t="shared" si="11"/>
        <v>60561.375</v>
      </c>
    </row>
    <row r="238" spans="1:8" x14ac:dyDescent="0.25">
      <c r="A238" s="49">
        <f>'A) Base RI'!A240</f>
        <v>5798</v>
      </c>
      <c r="B238" s="56" t="str">
        <f>'A) Base RI'!B240</f>
        <v>Ropraz</v>
      </c>
      <c r="C238" s="31">
        <f>'B) D RI'!Y240</f>
        <v>7406.05</v>
      </c>
      <c r="D238" s="14">
        <f>'B) D RI'!Z240</f>
        <v>15436.75</v>
      </c>
      <c r="E238" s="10">
        <f t="shared" si="9"/>
        <v>22842.799999999999</v>
      </c>
      <c r="F238" s="14">
        <f>'B) D RI'!U240</f>
        <v>14372.607741935482</v>
      </c>
      <c r="G238" s="256">
        <f t="shared" si="10"/>
        <v>1.5893288406773065</v>
      </c>
      <c r="H238" s="57">
        <f t="shared" si="11"/>
        <v>8334.0499999999993</v>
      </c>
    </row>
    <row r="239" spans="1:8" x14ac:dyDescent="0.25">
      <c r="A239" s="49">
        <f>'A) Base RI'!A241</f>
        <v>5799</v>
      </c>
      <c r="B239" s="56" t="str">
        <f>'A) Base RI'!B241</f>
        <v>Servion</v>
      </c>
      <c r="C239" s="31">
        <f>'B) D RI'!Y241</f>
        <v>437602.25</v>
      </c>
      <c r="D239" s="14">
        <f>'B) D RI'!Z241</f>
        <v>11845.95</v>
      </c>
      <c r="E239" s="10">
        <f t="shared" si="9"/>
        <v>449448.2</v>
      </c>
      <c r="F239" s="14">
        <f>'B) D RI'!U241</f>
        <v>71130.218550724647</v>
      </c>
      <c r="G239" s="256">
        <f t="shared" si="10"/>
        <v>6.3186674968457721</v>
      </c>
      <c r="H239" s="57">
        <f t="shared" si="11"/>
        <v>222354.91</v>
      </c>
    </row>
    <row r="240" spans="1:8" x14ac:dyDescent="0.25">
      <c r="A240" s="49">
        <f>'A) Base RI'!A242</f>
        <v>5803</v>
      </c>
      <c r="B240" s="56" t="str">
        <f>'A) Base RI'!B242</f>
        <v>Vulliens</v>
      </c>
      <c r="C240" s="31">
        <f>'B) D RI'!Y242</f>
        <v>20442.399999999998</v>
      </c>
      <c r="D240" s="14">
        <f>'B) D RI'!Z242</f>
        <v>0</v>
      </c>
      <c r="E240" s="10">
        <f t="shared" si="9"/>
        <v>20442.399999999998</v>
      </c>
      <c r="F240" s="14">
        <f>'B) D RI'!U242</f>
        <v>17471.95461538462</v>
      </c>
      <c r="G240" s="256">
        <f t="shared" si="10"/>
        <v>1.1700121966891903</v>
      </c>
      <c r="H240" s="57">
        <f t="shared" si="11"/>
        <v>10221.199999999999</v>
      </c>
    </row>
    <row r="241" spans="1:8" x14ac:dyDescent="0.25">
      <c r="A241" s="49">
        <f>'A) Base RI'!A243</f>
        <v>5804</v>
      </c>
      <c r="B241" s="56" t="str">
        <f>'A) Base RI'!B243</f>
        <v>Jorat-Menthue</v>
      </c>
      <c r="C241" s="31">
        <f>'B) D RI'!Y243</f>
        <v>178430.30000000002</v>
      </c>
      <c r="D241" s="14">
        <f>'B) D RI'!Z243</f>
        <v>3973</v>
      </c>
      <c r="E241" s="10">
        <f t="shared" si="9"/>
        <v>182403.30000000002</v>
      </c>
      <c r="F241" s="14">
        <f>'B) D RI'!U243</f>
        <v>44252.610972222225</v>
      </c>
      <c r="G241" s="256">
        <f t="shared" si="10"/>
        <v>4.1218652638258177</v>
      </c>
      <c r="H241" s="57">
        <f t="shared" si="11"/>
        <v>90407.05</v>
      </c>
    </row>
    <row r="242" spans="1:8" x14ac:dyDescent="0.25">
      <c r="A242" s="49">
        <f>'A) Base RI'!A244</f>
        <v>5805</v>
      </c>
      <c r="B242" s="56" t="str">
        <f>'A) Base RI'!B244</f>
        <v>Oron</v>
      </c>
      <c r="C242" s="31">
        <f>'B) D RI'!Y244</f>
        <v>1307175.8500000001</v>
      </c>
      <c r="D242" s="14">
        <f>'B) D RI'!Z244</f>
        <v>97651.95</v>
      </c>
      <c r="E242" s="10">
        <f t="shared" si="9"/>
        <v>1404827.8</v>
      </c>
      <c r="F242" s="14">
        <f>'B) D RI'!U244</f>
        <v>158737.86322793149</v>
      </c>
      <c r="G242" s="256">
        <f t="shared" si="10"/>
        <v>8.8499855764267767</v>
      </c>
      <c r="H242" s="57">
        <f t="shared" si="11"/>
        <v>682883.51</v>
      </c>
    </row>
    <row r="243" spans="1:8" x14ac:dyDescent="0.25">
      <c r="A243" s="49">
        <f>'A) Base RI'!A245</f>
        <v>5806</v>
      </c>
      <c r="B243" s="56" t="str">
        <f>'A) Base RI'!B245</f>
        <v>Jorat-Mézières</v>
      </c>
      <c r="C243" s="31">
        <f>'B) D RI'!Y245</f>
        <v>340579.1</v>
      </c>
      <c r="D243" s="14">
        <f>'B) D RI'!Z245</f>
        <v>32523.45</v>
      </c>
      <c r="E243" s="10">
        <f t="shared" si="9"/>
        <v>373102.55</v>
      </c>
      <c r="F243" s="14">
        <f>'B) D RI'!U245</f>
        <v>92100.572236842127</v>
      </c>
      <c r="G243" s="256">
        <f t="shared" si="10"/>
        <v>4.0510340048761533</v>
      </c>
      <c r="H243" s="57">
        <f t="shared" si="11"/>
        <v>180046.58499999999</v>
      </c>
    </row>
    <row r="244" spans="1:8" x14ac:dyDescent="0.25">
      <c r="A244" s="49">
        <f>'A) Base RI'!A246</f>
        <v>5812</v>
      </c>
      <c r="B244" s="56" t="str">
        <f>'A) Base RI'!B246</f>
        <v>Champtauroz</v>
      </c>
      <c r="C244" s="31">
        <f>'B) D RI'!Y246</f>
        <v>62428</v>
      </c>
      <c r="D244" s="14">
        <f>'B) D RI'!Z246</f>
        <v>0</v>
      </c>
      <c r="E244" s="10">
        <f t="shared" si="9"/>
        <v>62428</v>
      </c>
      <c r="F244" s="14">
        <f>'B) D RI'!U246</f>
        <v>3697.8804870129875</v>
      </c>
      <c r="G244" s="256">
        <f t="shared" si="10"/>
        <v>16.882103199183447</v>
      </c>
      <c r="H244" s="57">
        <f t="shared" si="11"/>
        <v>31214</v>
      </c>
    </row>
    <row r="245" spans="1:8" x14ac:dyDescent="0.25">
      <c r="A245" s="49">
        <f>'A) Base RI'!A247</f>
        <v>5813</v>
      </c>
      <c r="B245" s="56" t="str">
        <f>'A) Base RI'!B247</f>
        <v>Chevroux</v>
      </c>
      <c r="C245" s="31">
        <f>'B) D RI'!Y247</f>
        <v>40109.300000000003</v>
      </c>
      <c r="D245" s="14">
        <f>'B) D RI'!Z247</f>
        <v>0</v>
      </c>
      <c r="E245" s="10">
        <f t="shared" si="9"/>
        <v>40109.300000000003</v>
      </c>
      <c r="F245" s="14">
        <f>'B) D RI'!U247</f>
        <v>14717.819857142857</v>
      </c>
      <c r="G245" s="256">
        <f t="shared" si="10"/>
        <v>2.7252202017226175</v>
      </c>
      <c r="H245" s="57">
        <f t="shared" si="11"/>
        <v>20054.650000000001</v>
      </c>
    </row>
    <row r="246" spans="1:8" x14ac:dyDescent="0.25">
      <c r="A246" s="49">
        <f>'A) Base RI'!A248</f>
        <v>5816</v>
      </c>
      <c r="B246" s="56" t="str">
        <f>'A) Base RI'!B248</f>
        <v>Corcelles-près-Payerne</v>
      </c>
      <c r="C246" s="31">
        <f>'B) D RI'!Y248</f>
        <v>845537.70000000007</v>
      </c>
      <c r="D246" s="14">
        <f>'B) D RI'!Z248</f>
        <v>19660.349999999999</v>
      </c>
      <c r="E246" s="10">
        <f t="shared" si="9"/>
        <v>865198.05</v>
      </c>
      <c r="F246" s="14">
        <f>'B) D RI'!U248</f>
        <v>60753.42418367348</v>
      </c>
      <c r="G246" s="256">
        <f t="shared" si="10"/>
        <v>14.24114050566566</v>
      </c>
      <c r="H246" s="57">
        <f t="shared" si="11"/>
        <v>428666.95500000002</v>
      </c>
    </row>
    <row r="247" spans="1:8" x14ac:dyDescent="0.25">
      <c r="A247" s="49">
        <f>'A) Base RI'!A249</f>
        <v>5817</v>
      </c>
      <c r="B247" s="56" t="str">
        <f>'A) Base RI'!B249</f>
        <v>Grandcour</v>
      </c>
      <c r="C247" s="31">
        <f>'B) D RI'!Y249</f>
        <v>47933.649999999994</v>
      </c>
      <c r="D247" s="14">
        <f>'B) D RI'!Z249</f>
        <v>0</v>
      </c>
      <c r="E247" s="10">
        <f t="shared" si="9"/>
        <v>47933.649999999994</v>
      </c>
      <c r="F247" s="14">
        <f>'B) D RI'!U249</f>
        <v>21844.312857142857</v>
      </c>
      <c r="G247" s="256">
        <f t="shared" si="10"/>
        <v>2.194330868335197</v>
      </c>
      <c r="H247" s="57">
        <f t="shared" si="11"/>
        <v>23966.824999999997</v>
      </c>
    </row>
    <row r="248" spans="1:8" x14ac:dyDescent="0.25">
      <c r="A248" s="49">
        <f>'A) Base RI'!A250</f>
        <v>5819</v>
      </c>
      <c r="B248" s="56" t="str">
        <f>'A) Base RI'!B250</f>
        <v>Henniez</v>
      </c>
      <c r="C248" s="31">
        <f>'B) D RI'!Y250</f>
        <v>50036.4</v>
      </c>
      <c r="D248" s="14">
        <f>'B) D RI'!Z250</f>
        <v>23421.9</v>
      </c>
      <c r="E248" s="10">
        <f t="shared" si="9"/>
        <v>73458.3</v>
      </c>
      <c r="F248" s="14">
        <f>'B) D RI'!U250</f>
        <v>12524.767971014497</v>
      </c>
      <c r="G248" s="256">
        <f t="shared" si="10"/>
        <v>5.8650427832276986</v>
      </c>
      <c r="H248" s="57">
        <f t="shared" si="11"/>
        <v>32044.77</v>
      </c>
    </row>
    <row r="249" spans="1:8" x14ac:dyDescent="0.25">
      <c r="A249" s="49">
        <f>'A) Base RI'!A251</f>
        <v>5821</v>
      </c>
      <c r="B249" s="56" t="str">
        <f>'A) Base RI'!B251</f>
        <v>Missy</v>
      </c>
      <c r="C249" s="31">
        <f>'B) D RI'!Y251</f>
        <v>3630</v>
      </c>
      <c r="D249" s="14">
        <f>'B) D RI'!Z251</f>
        <v>0</v>
      </c>
      <c r="E249" s="10">
        <f t="shared" si="9"/>
        <v>3630</v>
      </c>
      <c r="F249" s="14">
        <f>'B) D RI'!U251</f>
        <v>8359.2275000000009</v>
      </c>
      <c r="G249" s="256">
        <f t="shared" si="10"/>
        <v>0.43425065294610055</v>
      </c>
      <c r="H249" s="57">
        <f t="shared" si="11"/>
        <v>1815</v>
      </c>
    </row>
    <row r="250" spans="1:8" x14ac:dyDescent="0.25">
      <c r="A250" s="49">
        <f>'A) Base RI'!A252</f>
        <v>5822</v>
      </c>
      <c r="B250" s="56" t="str">
        <f>'A) Base RI'!B252</f>
        <v>Payerne</v>
      </c>
      <c r="C250" s="31">
        <f>'B) D RI'!Y252</f>
        <v>1169158.3999999999</v>
      </c>
      <c r="D250" s="14">
        <f>'B) D RI'!Z252</f>
        <v>76138.3</v>
      </c>
      <c r="E250" s="10">
        <f t="shared" si="9"/>
        <v>1245296.7</v>
      </c>
      <c r="F250" s="14">
        <f>'B) D RI'!U252</f>
        <v>246662.05359999998</v>
      </c>
      <c r="G250" s="256">
        <f t="shared" si="10"/>
        <v>5.0485945520401687</v>
      </c>
      <c r="H250" s="57">
        <f t="shared" si="11"/>
        <v>607420.68999999994</v>
      </c>
    </row>
    <row r="251" spans="1:8" x14ac:dyDescent="0.25">
      <c r="A251" s="49">
        <f>'A) Base RI'!A253</f>
        <v>5827</v>
      </c>
      <c r="B251" s="56" t="str">
        <f>'A) Base RI'!B253</f>
        <v>Trey</v>
      </c>
      <c r="C251" s="31">
        <f>'B) D RI'!Y253</f>
        <v>20292.7</v>
      </c>
      <c r="D251" s="14">
        <f>'B) D RI'!Z253</f>
        <v>0</v>
      </c>
      <c r="E251" s="10">
        <f t="shared" si="9"/>
        <v>20292.7</v>
      </c>
      <c r="F251" s="14">
        <f>'B) D RI'!U253</f>
        <v>6768.899124999999</v>
      </c>
      <c r="G251" s="256">
        <f t="shared" si="10"/>
        <v>2.9979321046537244</v>
      </c>
      <c r="H251" s="57">
        <f t="shared" si="11"/>
        <v>10146.35</v>
      </c>
    </row>
    <row r="252" spans="1:8" x14ac:dyDescent="0.25">
      <c r="A252" s="49">
        <f>'A) Base RI'!A254</f>
        <v>5828</v>
      </c>
      <c r="B252" s="56" t="str">
        <f>'A) Base RI'!B254</f>
        <v>Treytorrens (Payerne)</v>
      </c>
      <c r="C252" s="31">
        <f>'B) D RI'!Y254</f>
        <v>31960.350000000002</v>
      </c>
      <c r="D252" s="14">
        <f>'B) D RI'!Z254</f>
        <v>0</v>
      </c>
      <c r="E252" s="10">
        <f t="shared" si="9"/>
        <v>31960.350000000002</v>
      </c>
      <c r="F252" s="14">
        <f>'B) D RI'!U254</f>
        <v>2424.4907539682545</v>
      </c>
      <c r="G252" s="256">
        <f t="shared" si="10"/>
        <v>13.182294033371464</v>
      </c>
      <c r="H252" s="57">
        <f t="shared" si="11"/>
        <v>15980.175000000001</v>
      </c>
    </row>
    <row r="253" spans="1:8" x14ac:dyDescent="0.25">
      <c r="A253" s="49">
        <f>'A) Base RI'!A255</f>
        <v>5830</v>
      </c>
      <c r="B253" s="56" t="str">
        <f>'A) Base RI'!B255</f>
        <v>Villarzel</v>
      </c>
      <c r="C253" s="31">
        <f>'B) D RI'!Y255</f>
        <v>81625.8</v>
      </c>
      <c r="D253" s="14">
        <f>'B) D RI'!Z255</f>
        <v>0</v>
      </c>
      <c r="E253" s="10">
        <f t="shared" si="9"/>
        <v>81625.8</v>
      </c>
      <c r="F253" s="14">
        <f>'B) D RI'!U255</f>
        <v>13652.802077922079</v>
      </c>
      <c r="G253" s="256">
        <f t="shared" si="10"/>
        <v>5.9786847809063994</v>
      </c>
      <c r="H253" s="57">
        <f t="shared" si="11"/>
        <v>40812.9</v>
      </c>
    </row>
    <row r="254" spans="1:8" x14ac:dyDescent="0.25">
      <c r="A254" s="49">
        <f>'A) Base RI'!A256</f>
        <v>5831</v>
      </c>
      <c r="B254" s="56" t="str">
        <f>'A) Base RI'!B256</f>
        <v>Valbroye</v>
      </c>
      <c r="C254" s="31">
        <f>'B) D RI'!Y256</f>
        <v>577602.94999999995</v>
      </c>
      <c r="D254" s="14">
        <f>'B) D RI'!Z256</f>
        <v>21168.7</v>
      </c>
      <c r="E254" s="10">
        <f t="shared" si="9"/>
        <v>598771.64999999991</v>
      </c>
      <c r="F254" s="14">
        <f>'B) D RI'!U256</f>
        <v>90573.475753424646</v>
      </c>
      <c r="G254" s="256">
        <f t="shared" si="10"/>
        <v>6.6108940285131981</v>
      </c>
      <c r="H254" s="57">
        <f t="shared" si="11"/>
        <v>295152.08499999996</v>
      </c>
    </row>
    <row r="255" spans="1:8" x14ac:dyDescent="0.25">
      <c r="A255" s="49">
        <f>'A) Base RI'!A257</f>
        <v>5841</v>
      </c>
      <c r="B255" s="56" t="str">
        <f>'A) Base RI'!B257</f>
        <v>Château-d'Oex</v>
      </c>
      <c r="C255" s="31">
        <f>'B) D RI'!Y257</f>
        <v>683649.7</v>
      </c>
      <c r="D255" s="14">
        <f>'B) D RI'!Z257</f>
        <v>163.25</v>
      </c>
      <c r="E255" s="10">
        <f t="shared" si="9"/>
        <v>683812.95</v>
      </c>
      <c r="F255" s="14">
        <f>'B) D RI'!U257</f>
        <v>118643.61518072287</v>
      </c>
      <c r="G255" s="256">
        <f t="shared" si="10"/>
        <v>5.7635882804008265</v>
      </c>
      <c r="H255" s="57">
        <f t="shared" si="11"/>
        <v>341873.82499999995</v>
      </c>
    </row>
    <row r="256" spans="1:8" x14ac:dyDescent="0.25">
      <c r="A256" s="49">
        <f>'A) Base RI'!A258</f>
        <v>5842</v>
      </c>
      <c r="B256" s="56" t="str">
        <f>'A) Base RI'!B258</f>
        <v>Rossinière</v>
      </c>
      <c r="C256" s="31">
        <f>'B) D RI'!Y258</f>
        <v>47779.65</v>
      </c>
      <c r="D256" s="14">
        <f>'B) D RI'!Z258</f>
        <v>0</v>
      </c>
      <c r="E256" s="10">
        <f t="shared" si="9"/>
        <v>47779.65</v>
      </c>
      <c r="F256" s="14">
        <f>'B) D RI'!U258</f>
        <v>13727.475720164608</v>
      </c>
      <c r="G256" s="256">
        <f t="shared" si="10"/>
        <v>3.4805852855973631</v>
      </c>
      <c r="H256" s="57">
        <f t="shared" si="11"/>
        <v>23889.825000000001</v>
      </c>
    </row>
    <row r="257" spans="1:8" x14ac:dyDescent="0.25">
      <c r="A257" s="49">
        <f>'A) Base RI'!A259</f>
        <v>5843</v>
      </c>
      <c r="B257" s="56" t="str">
        <f>'A) Base RI'!B259</f>
        <v>Rougemont</v>
      </c>
      <c r="C257" s="31">
        <f>'B) D RI'!Y259</f>
        <v>1813006.5999999999</v>
      </c>
      <c r="D257" s="14">
        <f>'B) D RI'!Z259</f>
        <v>0</v>
      </c>
      <c r="E257" s="10">
        <f t="shared" si="9"/>
        <v>1813006.5999999999</v>
      </c>
      <c r="F257" s="14">
        <f>'B) D RI'!U259</f>
        <v>86224.81779279279</v>
      </c>
      <c r="G257" s="256">
        <f t="shared" si="10"/>
        <v>21.026505435556192</v>
      </c>
      <c r="H257" s="57">
        <f t="shared" si="11"/>
        <v>906503.29999999993</v>
      </c>
    </row>
    <row r="258" spans="1:8" x14ac:dyDescent="0.25">
      <c r="A258" s="49">
        <f>'A) Base RI'!A260</f>
        <v>5851</v>
      </c>
      <c r="B258" s="56" t="str">
        <f>'A) Base RI'!B260</f>
        <v>Allaman</v>
      </c>
      <c r="C258" s="31">
        <f>'B) D RI'!Y260</f>
        <v>375193.85000000003</v>
      </c>
      <c r="D258" s="14">
        <f>'B) D RI'!Z260</f>
        <v>30894.1</v>
      </c>
      <c r="E258" s="10">
        <f t="shared" si="9"/>
        <v>406087.95</v>
      </c>
      <c r="F258" s="14">
        <f>'B) D RI'!U260</f>
        <v>23662.073064516131</v>
      </c>
      <c r="G258" s="256">
        <f t="shared" si="10"/>
        <v>17.161976843397266</v>
      </c>
      <c r="H258" s="57">
        <f t="shared" si="11"/>
        <v>196865.15500000003</v>
      </c>
    </row>
    <row r="259" spans="1:8" x14ac:dyDescent="0.25">
      <c r="A259" s="49">
        <f>'A) Base RI'!A261</f>
        <v>5852</v>
      </c>
      <c r="B259" s="56" t="str">
        <f>'A) Base RI'!B261</f>
        <v>Bursinel</v>
      </c>
      <c r="C259" s="31">
        <f>'B) D RI'!Y261</f>
        <v>460047.9</v>
      </c>
      <c r="D259" s="14">
        <f>'B) D RI'!Z261</f>
        <v>10313.4</v>
      </c>
      <c r="E259" s="10">
        <f t="shared" si="9"/>
        <v>470361.30000000005</v>
      </c>
      <c r="F259" s="14">
        <f>'B) D RI'!U261</f>
        <v>39686.843918575076</v>
      </c>
      <c r="G259" s="256">
        <f t="shared" si="10"/>
        <v>11.851819231708964</v>
      </c>
      <c r="H259" s="57">
        <f t="shared" si="11"/>
        <v>233117.97</v>
      </c>
    </row>
    <row r="260" spans="1:8" x14ac:dyDescent="0.25">
      <c r="A260" s="49">
        <f>'A) Base RI'!A262</f>
        <v>5853</v>
      </c>
      <c r="B260" s="56" t="str">
        <f>'A) Base RI'!B262</f>
        <v>Bursins</v>
      </c>
      <c r="C260" s="31">
        <f>'B) D RI'!Y262</f>
        <v>343183.45</v>
      </c>
      <c r="D260" s="14">
        <f>'B) D RI'!Z262</f>
        <v>31372.400000000001</v>
      </c>
      <c r="E260" s="10">
        <f t="shared" si="9"/>
        <v>374555.85000000003</v>
      </c>
      <c r="F260" s="14">
        <f>'B) D RI'!U262</f>
        <v>36429.778873239433</v>
      </c>
      <c r="G260" s="256">
        <f t="shared" si="10"/>
        <v>10.281584505448127</v>
      </c>
      <c r="H260" s="57">
        <f t="shared" si="11"/>
        <v>181003.44500000001</v>
      </c>
    </row>
    <row r="261" spans="1:8" x14ac:dyDescent="0.25">
      <c r="A261" s="49">
        <f>'A) Base RI'!A263</f>
        <v>5854</v>
      </c>
      <c r="B261" s="56" t="str">
        <f>'A) Base RI'!B263</f>
        <v>Burtigny</v>
      </c>
      <c r="C261" s="31">
        <f>'B) D RI'!Y263</f>
        <v>193037.4</v>
      </c>
      <c r="D261" s="14">
        <f>'B) D RI'!Z263</f>
        <v>4043.85</v>
      </c>
      <c r="E261" s="10">
        <f t="shared" si="9"/>
        <v>197081.25</v>
      </c>
      <c r="F261" s="14">
        <f>'B) D RI'!U263</f>
        <v>11092.867583333333</v>
      </c>
      <c r="G261" s="256">
        <f t="shared" si="10"/>
        <v>17.766483600336858</v>
      </c>
      <c r="H261" s="57">
        <f t="shared" si="11"/>
        <v>97731.854999999996</v>
      </c>
    </row>
    <row r="262" spans="1:8" x14ac:dyDescent="0.25">
      <c r="A262" s="49">
        <f>'A) Base RI'!A264</f>
        <v>5855</v>
      </c>
      <c r="B262" s="56" t="str">
        <f>'A) Base RI'!B264</f>
        <v>Dully</v>
      </c>
      <c r="C262" s="31">
        <f>'B) D RI'!Y264</f>
        <v>578093.44999999995</v>
      </c>
      <c r="D262" s="14">
        <f>'B) D RI'!Z264</f>
        <v>1577</v>
      </c>
      <c r="E262" s="10">
        <f t="shared" ref="E262:E313" si="12">C262+D262</f>
        <v>579670.44999999995</v>
      </c>
      <c r="F262" s="14">
        <f>'B) D RI'!U264</f>
        <v>79675.83</v>
      </c>
      <c r="G262" s="256">
        <f t="shared" ref="G262:G313" si="13">E262/F262</f>
        <v>7.2753612984012834</v>
      </c>
      <c r="H262" s="57">
        <f t="shared" ref="H262:H313" si="14">(C262*$C$4)+(D262*$D$4)</f>
        <v>289519.82499999995</v>
      </c>
    </row>
    <row r="263" spans="1:8" x14ac:dyDescent="0.25">
      <c r="A263" s="49">
        <f>'A) Base RI'!A265</f>
        <v>5856</v>
      </c>
      <c r="B263" s="56" t="str">
        <f>'A) Base RI'!B265</f>
        <v>Essertines-sur-Rolle</v>
      </c>
      <c r="C263" s="31">
        <f>'B) D RI'!Y265</f>
        <v>124813.79999999999</v>
      </c>
      <c r="D263" s="14">
        <f>'B) D RI'!Z265</f>
        <v>5455.65</v>
      </c>
      <c r="E263" s="10">
        <f t="shared" si="12"/>
        <v>130269.44999999998</v>
      </c>
      <c r="F263" s="14">
        <f>'B) D RI'!U265</f>
        <v>36504.775588235294</v>
      </c>
      <c r="G263" s="256">
        <f t="shared" si="13"/>
        <v>3.5685591241378027</v>
      </c>
      <c r="H263" s="57">
        <f t="shared" si="14"/>
        <v>64043.594999999994</v>
      </c>
    </row>
    <row r="264" spans="1:8" x14ac:dyDescent="0.25">
      <c r="A264" s="49">
        <f>'A) Base RI'!A266</f>
        <v>5857</v>
      </c>
      <c r="B264" s="56" t="str">
        <f>'A) Base RI'!B266</f>
        <v>Gilly</v>
      </c>
      <c r="C264" s="31">
        <f>'B) D RI'!Y266</f>
        <v>426783.94999999995</v>
      </c>
      <c r="D264" s="14">
        <f>'B) D RI'!Z266</f>
        <v>68107.399999999994</v>
      </c>
      <c r="E264" s="10">
        <f t="shared" si="12"/>
        <v>494891.35</v>
      </c>
      <c r="F264" s="14">
        <f>'B) D RI'!U266</f>
        <v>85344.541363636366</v>
      </c>
      <c r="G264" s="256">
        <f t="shared" si="13"/>
        <v>5.798746376658876</v>
      </c>
      <c r="H264" s="57">
        <f t="shared" si="14"/>
        <v>233824.19499999998</v>
      </c>
    </row>
    <row r="265" spans="1:8" x14ac:dyDescent="0.25">
      <c r="A265" s="49">
        <f>'A) Base RI'!A267</f>
        <v>5858</v>
      </c>
      <c r="B265" s="56" t="str">
        <f>'A) Base RI'!B267</f>
        <v>Luins</v>
      </c>
      <c r="C265" s="31">
        <f>'B) D RI'!Y267</f>
        <v>48139.25</v>
      </c>
      <c r="D265" s="14">
        <f>'B) D RI'!Z267</f>
        <v>2969.1</v>
      </c>
      <c r="E265" s="10">
        <f t="shared" si="12"/>
        <v>51108.35</v>
      </c>
      <c r="F265" s="14">
        <f>'B) D RI'!U267</f>
        <v>46698.811277777771</v>
      </c>
      <c r="G265" s="256">
        <f t="shared" si="13"/>
        <v>1.0944250742485293</v>
      </c>
      <c r="H265" s="57">
        <f t="shared" si="14"/>
        <v>24960.355</v>
      </c>
    </row>
    <row r="266" spans="1:8" x14ac:dyDescent="0.25">
      <c r="A266" s="49">
        <f>'A) Base RI'!A268</f>
        <v>5859</v>
      </c>
      <c r="B266" s="56" t="str">
        <f>'A) Base RI'!B268</f>
        <v>Mont-sur-Rolle</v>
      </c>
      <c r="C266" s="31">
        <f>'B) D RI'!Y268</f>
        <v>1302566.6499999999</v>
      </c>
      <c r="D266" s="14">
        <f>'B) D RI'!Z268</f>
        <v>89553.8</v>
      </c>
      <c r="E266" s="10">
        <f t="shared" si="12"/>
        <v>1392120.45</v>
      </c>
      <c r="F266" s="14">
        <f>'B) D RI'!U268</f>
        <v>136402.77030769232</v>
      </c>
      <c r="G266" s="256">
        <f t="shared" si="13"/>
        <v>10.205954372185449</v>
      </c>
      <c r="H266" s="57">
        <f t="shared" si="14"/>
        <v>678149.46499999997</v>
      </c>
    </row>
    <row r="267" spans="1:8" x14ac:dyDescent="0.25">
      <c r="A267" s="49">
        <f>'A) Base RI'!A269</f>
        <v>5860</v>
      </c>
      <c r="B267" s="56" t="str">
        <f>'A) Base RI'!B269</f>
        <v>Perroy</v>
      </c>
      <c r="C267" s="31">
        <f>'B) D RI'!Y269</f>
        <v>466294.8</v>
      </c>
      <c r="D267" s="14">
        <f>'B) D RI'!Z269</f>
        <v>29086.45</v>
      </c>
      <c r="E267" s="10">
        <f t="shared" si="12"/>
        <v>495381.25</v>
      </c>
      <c r="F267" s="14">
        <f>'B) D RI'!U269</f>
        <v>102583.41574358974</v>
      </c>
      <c r="G267" s="256">
        <f t="shared" si="13"/>
        <v>4.8290578590034476</v>
      </c>
      <c r="H267" s="57">
        <f t="shared" si="14"/>
        <v>241873.33499999999</v>
      </c>
    </row>
    <row r="268" spans="1:8" x14ac:dyDescent="0.25">
      <c r="A268" s="49">
        <f>'A) Base RI'!A270</f>
        <v>5861</v>
      </c>
      <c r="B268" s="56" t="str">
        <f>'A) Base RI'!B270</f>
        <v>Rolle</v>
      </c>
      <c r="C268" s="31">
        <f>'B) D RI'!Y270</f>
        <v>2618981.1999999997</v>
      </c>
      <c r="D268" s="14">
        <f>'B) D RI'!Z270</f>
        <v>598198.19999999995</v>
      </c>
      <c r="E268" s="10">
        <f t="shared" si="12"/>
        <v>3217179.3999999994</v>
      </c>
      <c r="F268" s="14">
        <f>'B) D RI'!U270</f>
        <v>762445.16588235286</v>
      </c>
      <c r="G268" s="256">
        <f t="shared" si="13"/>
        <v>4.219555115516882</v>
      </c>
      <c r="H268" s="57">
        <f t="shared" si="14"/>
        <v>1488950.0599999998</v>
      </c>
    </row>
    <row r="269" spans="1:8" x14ac:dyDescent="0.25">
      <c r="A269" s="49">
        <f>'A) Base RI'!A271</f>
        <v>5862</v>
      </c>
      <c r="B269" s="56" t="str">
        <f>'A) Base RI'!B271</f>
        <v>Tartegnin</v>
      </c>
      <c r="C269" s="31">
        <f>'B) D RI'!Y271</f>
        <v>3733.3</v>
      </c>
      <c r="D269" s="14">
        <f>'B) D RI'!Z271</f>
        <v>4147.8</v>
      </c>
      <c r="E269" s="10">
        <f t="shared" si="12"/>
        <v>7881.1</v>
      </c>
      <c r="F269" s="14">
        <f>'B) D RI'!U271</f>
        <v>10955.91814814815</v>
      </c>
      <c r="G269" s="256">
        <f t="shared" si="13"/>
        <v>0.71934637457401251</v>
      </c>
      <c r="H269" s="57">
        <f t="shared" si="14"/>
        <v>3110.99</v>
      </c>
    </row>
    <row r="270" spans="1:8" x14ac:dyDescent="0.25">
      <c r="A270" s="49">
        <f>'A) Base RI'!A272</f>
        <v>5863</v>
      </c>
      <c r="B270" s="56" t="str">
        <f>'A) Base RI'!B272</f>
        <v>Vinzel</v>
      </c>
      <c r="C270" s="31">
        <f>'B) D RI'!Y272</f>
        <v>88043.7</v>
      </c>
      <c r="D270" s="14">
        <f>'B) D RI'!Z272</f>
        <v>16833.150000000001</v>
      </c>
      <c r="E270" s="10">
        <f t="shared" si="12"/>
        <v>104876.85</v>
      </c>
      <c r="F270" s="14">
        <f>'B) D RI'!U272</f>
        <v>17885.432686567161</v>
      </c>
      <c r="G270" s="256">
        <f t="shared" si="13"/>
        <v>5.8638139673728817</v>
      </c>
      <c r="H270" s="57">
        <f t="shared" si="14"/>
        <v>49071.794999999998</v>
      </c>
    </row>
    <row r="271" spans="1:8" x14ac:dyDescent="0.25">
      <c r="A271" s="49">
        <f>'A) Base RI'!A273</f>
        <v>5871</v>
      </c>
      <c r="B271" s="56" t="str">
        <f>'A) Base RI'!B273</f>
        <v>L'Abbaye</v>
      </c>
      <c r="C271" s="31">
        <f>'B) D RI'!Y273</f>
        <v>266984.44999999995</v>
      </c>
      <c r="D271" s="14">
        <f>'B) D RI'!Z273</f>
        <v>654987.30000000005</v>
      </c>
      <c r="E271" s="10">
        <f t="shared" si="12"/>
        <v>921971.75</v>
      </c>
      <c r="F271" s="14">
        <f>'B) D RI'!U273</f>
        <v>46763.12603092783</v>
      </c>
      <c r="G271" s="256">
        <f t="shared" si="13"/>
        <v>19.715785240495546</v>
      </c>
      <c r="H271" s="57">
        <f t="shared" si="14"/>
        <v>329988.41499999998</v>
      </c>
    </row>
    <row r="272" spans="1:8" x14ac:dyDescent="0.25">
      <c r="A272" s="49">
        <f>'A) Base RI'!A274</f>
        <v>5872</v>
      </c>
      <c r="B272" s="56" t="str">
        <f>'A) Base RI'!B274</f>
        <v>Le Chenit</v>
      </c>
      <c r="C272" s="31">
        <f>'B) D RI'!Y274</f>
        <v>908846.15</v>
      </c>
      <c r="D272" s="14">
        <f>'B) D RI'!Z274</f>
        <v>7378758.0999999996</v>
      </c>
      <c r="E272" s="10">
        <f t="shared" si="12"/>
        <v>8287604.25</v>
      </c>
      <c r="F272" s="14">
        <f>'B) D RI'!U274</f>
        <v>269128.75712823507</v>
      </c>
      <c r="G272" s="256">
        <f t="shared" si="13"/>
        <v>30.794198057590346</v>
      </c>
      <c r="H272" s="57">
        <f t="shared" si="14"/>
        <v>2668050.5049999999</v>
      </c>
    </row>
    <row r="273" spans="1:8" x14ac:dyDescent="0.25">
      <c r="A273" s="49">
        <f>'A) Base RI'!A275</f>
        <v>5873</v>
      </c>
      <c r="B273" s="56" t="str">
        <f>'A) Base RI'!B275</f>
        <v>Le Lieu</v>
      </c>
      <c r="C273" s="31">
        <f>'B) D RI'!Y275</f>
        <v>81347.55</v>
      </c>
      <c r="D273" s="14">
        <f>'B) D RI'!Z275</f>
        <v>811975.45</v>
      </c>
      <c r="E273" s="10">
        <f t="shared" si="12"/>
        <v>893323</v>
      </c>
      <c r="F273" s="14">
        <f>'B) D RI'!U275</f>
        <v>28965.792761904762</v>
      </c>
      <c r="G273" s="256">
        <f t="shared" si="13"/>
        <v>30.840619738703673</v>
      </c>
      <c r="H273" s="57">
        <f t="shared" si="14"/>
        <v>284266.40999999997</v>
      </c>
    </row>
    <row r="274" spans="1:8" x14ac:dyDescent="0.25">
      <c r="A274" s="49">
        <f>'A) Base RI'!A276</f>
        <v>5881</v>
      </c>
      <c r="B274" s="56" t="str">
        <f>'A) Base RI'!B276</f>
        <v>Blonay</v>
      </c>
      <c r="C274" s="31">
        <f>'B) D RI'!Y276</f>
        <v>2591224.6</v>
      </c>
      <c r="D274" s="14">
        <f>'B) D RI'!Z276</f>
        <v>152382.95000000001</v>
      </c>
      <c r="E274" s="10">
        <f t="shared" si="12"/>
        <v>2743607.5500000003</v>
      </c>
      <c r="F274" s="14">
        <f>'B) D RI'!U276</f>
        <v>355898.72514285718</v>
      </c>
      <c r="G274" s="256">
        <f t="shared" si="13"/>
        <v>7.7089558241567753</v>
      </c>
      <c r="H274" s="57">
        <f t="shared" si="14"/>
        <v>1341327.1850000001</v>
      </c>
    </row>
    <row r="275" spans="1:8" x14ac:dyDescent="0.25">
      <c r="A275" s="49">
        <f>'A) Base RI'!A277</f>
        <v>5882</v>
      </c>
      <c r="B275" s="56" t="str">
        <f>'A) Base RI'!B277</f>
        <v>Chardonne</v>
      </c>
      <c r="C275" s="31">
        <f>'B) D RI'!Y277</f>
        <v>2330703.0499999998</v>
      </c>
      <c r="D275" s="14">
        <f>'B) D RI'!Z277</f>
        <v>12885.05</v>
      </c>
      <c r="E275" s="10">
        <f t="shared" si="12"/>
        <v>2343588.0999999996</v>
      </c>
      <c r="F275" s="14">
        <f>'B) D RI'!U277</f>
        <v>184082.76117647055</v>
      </c>
      <c r="G275" s="256">
        <f t="shared" si="13"/>
        <v>12.731165509590134</v>
      </c>
      <c r="H275" s="57">
        <f t="shared" si="14"/>
        <v>1169217.0399999998</v>
      </c>
    </row>
    <row r="276" spans="1:8" x14ac:dyDescent="0.25">
      <c r="A276" s="49">
        <f>'A) Base RI'!A278</f>
        <v>5883</v>
      </c>
      <c r="B276" s="56" t="str">
        <f>'A) Base RI'!B278</f>
        <v>Corseaux</v>
      </c>
      <c r="C276" s="31">
        <f>'B) D RI'!Y278</f>
        <v>680397.2</v>
      </c>
      <c r="D276" s="14">
        <f>'B) D RI'!Z278</f>
        <v>2957.75</v>
      </c>
      <c r="E276" s="10">
        <f t="shared" si="12"/>
        <v>683354.95</v>
      </c>
      <c r="F276" s="14">
        <f>'B) D RI'!U278</f>
        <v>164555.95811594205</v>
      </c>
      <c r="G276" s="256">
        <f t="shared" si="13"/>
        <v>4.1527207998055289</v>
      </c>
      <c r="H276" s="57">
        <f t="shared" si="14"/>
        <v>341085.92499999999</v>
      </c>
    </row>
    <row r="277" spans="1:8" x14ac:dyDescent="0.25">
      <c r="A277" s="49">
        <f>'A) Base RI'!A279</f>
        <v>5884</v>
      </c>
      <c r="B277" s="56" t="str">
        <f>'A) Base RI'!B279</f>
        <v>Corsier-sur-Vevey</v>
      </c>
      <c r="C277" s="31">
        <f>'B) D RI'!Y279</f>
        <v>474441.1</v>
      </c>
      <c r="D277" s="14">
        <f>'B) D RI'!Z279</f>
        <v>468496.5</v>
      </c>
      <c r="E277" s="10">
        <f t="shared" si="12"/>
        <v>942937.59999999998</v>
      </c>
      <c r="F277" s="14">
        <f>'B) D RI'!U279</f>
        <v>127106.22217171718</v>
      </c>
      <c r="G277" s="256">
        <f t="shared" si="13"/>
        <v>7.4185007145135344</v>
      </c>
      <c r="H277" s="57">
        <f t="shared" si="14"/>
        <v>377769.5</v>
      </c>
    </row>
    <row r="278" spans="1:8" x14ac:dyDescent="0.25">
      <c r="A278" s="49">
        <f>'A) Base RI'!A280</f>
        <v>5885</v>
      </c>
      <c r="B278" s="56" t="str">
        <f>'A) Base RI'!B280</f>
        <v>Jongny</v>
      </c>
      <c r="C278" s="31">
        <f>'B) D RI'!Y280</f>
        <v>586112.9</v>
      </c>
      <c r="D278" s="14">
        <f>'B) D RI'!Z280</f>
        <v>1555.2</v>
      </c>
      <c r="E278" s="10">
        <f t="shared" si="12"/>
        <v>587668.1</v>
      </c>
      <c r="F278" s="14">
        <f>'B) D RI'!U280</f>
        <v>79120.74528169015</v>
      </c>
      <c r="G278" s="256">
        <f t="shared" si="13"/>
        <v>7.4274843836183644</v>
      </c>
      <c r="H278" s="57">
        <f t="shared" si="14"/>
        <v>293523.01</v>
      </c>
    </row>
    <row r="279" spans="1:8" x14ac:dyDescent="0.25">
      <c r="A279" s="49">
        <f>'A) Base RI'!A281</f>
        <v>5886</v>
      </c>
      <c r="B279" s="56" t="str">
        <f>'A) Base RI'!B281</f>
        <v>Montreux</v>
      </c>
      <c r="C279" s="31">
        <f>'B) D RI'!Y281</f>
        <v>15761406.199999999</v>
      </c>
      <c r="D279" s="14">
        <f>'B) D RI'!Z281</f>
        <v>768045.85</v>
      </c>
      <c r="E279" s="10">
        <f t="shared" si="12"/>
        <v>16529452.049999999</v>
      </c>
      <c r="F279" s="14">
        <f>'B) D RI'!U281</f>
        <v>1142059.586051282</v>
      </c>
      <c r="G279" s="256">
        <f t="shared" si="13"/>
        <v>14.473370962325406</v>
      </c>
      <c r="H279" s="57">
        <f t="shared" si="14"/>
        <v>8111116.8549999995</v>
      </c>
    </row>
    <row r="280" spans="1:8" x14ac:dyDescent="0.25">
      <c r="A280" s="49">
        <f>'A) Base RI'!A282</f>
        <v>5888</v>
      </c>
      <c r="B280" s="56" t="str">
        <f>'A) Base RI'!B282</f>
        <v>Saint-Légier-La Chiésaz</v>
      </c>
      <c r="C280" s="31">
        <f>'B) D RI'!Y282</f>
        <v>1771776.65</v>
      </c>
      <c r="D280" s="14">
        <f>'B) D RI'!Z282</f>
        <v>157043.5</v>
      </c>
      <c r="E280" s="10">
        <f t="shared" si="12"/>
        <v>1928820.15</v>
      </c>
      <c r="F280" s="14">
        <f>'B) D RI'!U282</f>
        <v>338249.0701666667</v>
      </c>
      <c r="G280" s="256">
        <f t="shared" si="13"/>
        <v>5.7023664515902599</v>
      </c>
      <c r="H280" s="57">
        <f t="shared" si="14"/>
        <v>933001.375</v>
      </c>
    </row>
    <row r="281" spans="1:8" x14ac:dyDescent="0.25">
      <c r="A281" s="49">
        <f>'A) Base RI'!A283</f>
        <v>5889</v>
      </c>
      <c r="B281" s="56" t="str">
        <f>'A) Base RI'!B283</f>
        <v>La Tour-de-Peilz</v>
      </c>
      <c r="C281" s="31">
        <f>'B) D RI'!Y283</f>
        <v>3803098.1</v>
      </c>
      <c r="D281" s="14">
        <f>'B) D RI'!Z283</f>
        <v>177282.6</v>
      </c>
      <c r="E281" s="10">
        <f t="shared" si="12"/>
        <v>3980380.7</v>
      </c>
      <c r="F281" s="14">
        <f>'B) D RI'!U283</f>
        <v>693156.74124999996</v>
      </c>
      <c r="G281" s="256">
        <f t="shared" si="13"/>
        <v>5.742396290948574</v>
      </c>
      <c r="H281" s="57">
        <f t="shared" si="14"/>
        <v>1954733.83</v>
      </c>
    </row>
    <row r="282" spans="1:8" x14ac:dyDescent="0.25">
      <c r="A282" s="49">
        <f>'A) Base RI'!A284</f>
        <v>5890</v>
      </c>
      <c r="B282" s="56" t="str">
        <f>'A) Base RI'!B284</f>
        <v>Vevey</v>
      </c>
      <c r="C282" s="31">
        <f>'B) D RI'!Y284</f>
        <v>2898187.9</v>
      </c>
      <c r="D282" s="14">
        <f>'B) D RI'!Z284</f>
        <v>907414.25</v>
      </c>
      <c r="E282" s="10">
        <f t="shared" si="12"/>
        <v>3805602.15</v>
      </c>
      <c r="F282" s="14">
        <f>'B) D RI'!U284</f>
        <v>976839.63723684219</v>
      </c>
      <c r="G282" s="256">
        <f t="shared" si="13"/>
        <v>3.8958310094426509</v>
      </c>
      <c r="H282" s="57">
        <f t="shared" si="14"/>
        <v>1721318.2249999999</v>
      </c>
    </row>
    <row r="283" spans="1:8" x14ac:dyDescent="0.25">
      <c r="A283" s="49">
        <f>'A) Base RI'!A285</f>
        <v>5891</v>
      </c>
      <c r="B283" s="56" t="str">
        <f>'A) Base RI'!B285</f>
        <v>Veytaux</v>
      </c>
      <c r="C283" s="31">
        <f>'B) D RI'!Y285</f>
        <v>221299.8</v>
      </c>
      <c r="D283" s="14">
        <f>'B) D RI'!Z285</f>
        <v>0</v>
      </c>
      <c r="E283" s="10">
        <f t="shared" si="12"/>
        <v>221299.8</v>
      </c>
      <c r="F283" s="14">
        <f>'B) D RI'!U285</f>
        <v>37197.97126760563</v>
      </c>
      <c r="G283" s="256">
        <f t="shared" si="13"/>
        <v>5.9492438017102831</v>
      </c>
      <c r="H283" s="57">
        <f t="shared" si="14"/>
        <v>110649.9</v>
      </c>
    </row>
    <row r="284" spans="1:8" x14ac:dyDescent="0.25">
      <c r="A284" s="49">
        <f>'A) Base RI'!A286</f>
        <v>5902</v>
      </c>
      <c r="B284" s="56" t="str">
        <f>'A) Base RI'!B286</f>
        <v>Belmont-sur-Yverdon</v>
      </c>
      <c r="C284" s="31">
        <f>'B) D RI'!Y286</f>
        <v>455072.9</v>
      </c>
      <c r="D284" s="14">
        <f>'B) D RI'!Z286</f>
        <v>0</v>
      </c>
      <c r="E284" s="10">
        <f t="shared" si="12"/>
        <v>455072.9</v>
      </c>
      <c r="F284" s="14">
        <f>'B) D RI'!U286</f>
        <v>10777.690131578949</v>
      </c>
      <c r="G284" s="256">
        <f t="shared" si="13"/>
        <v>42.223602130351011</v>
      </c>
      <c r="H284" s="57">
        <f t="shared" si="14"/>
        <v>227536.45</v>
      </c>
    </row>
    <row r="285" spans="1:8" x14ac:dyDescent="0.25">
      <c r="A285" s="49">
        <f>'A) Base RI'!A287</f>
        <v>5903</v>
      </c>
      <c r="B285" s="56" t="str">
        <f>'A) Base RI'!B287</f>
        <v>Bioley-Magnoux</v>
      </c>
      <c r="C285" s="31">
        <f>'B) D RI'!Y287</f>
        <v>1417</v>
      </c>
      <c r="D285" s="14">
        <f>'B) D RI'!Z287</f>
        <v>22624.95</v>
      </c>
      <c r="E285" s="10">
        <f t="shared" si="12"/>
        <v>24041.95</v>
      </c>
      <c r="F285" s="14">
        <f>'B) D RI'!U287</f>
        <v>6482.7722393822396</v>
      </c>
      <c r="G285" s="256">
        <f t="shared" si="13"/>
        <v>3.7085908793690741</v>
      </c>
      <c r="H285" s="57">
        <f t="shared" si="14"/>
        <v>7495.9849999999997</v>
      </c>
    </row>
    <row r="286" spans="1:8" x14ac:dyDescent="0.25">
      <c r="A286" s="49">
        <f>'A) Base RI'!A288</f>
        <v>5904</v>
      </c>
      <c r="B286" s="56" t="str">
        <f>'A) Base RI'!B288</f>
        <v>Chamblon</v>
      </c>
      <c r="C286" s="31">
        <f>'B) D RI'!Y288</f>
        <v>30730</v>
      </c>
      <c r="D286" s="14">
        <f>'B) D RI'!Z288</f>
        <v>36905.599999999999</v>
      </c>
      <c r="E286" s="10">
        <f t="shared" si="12"/>
        <v>67635.600000000006</v>
      </c>
      <c r="F286" s="14">
        <f>'B) D RI'!U288</f>
        <v>21977.410303030305</v>
      </c>
      <c r="G286" s="256">
        <f t="shared" si="13"/>
        <v>3.0775054507070028</v>
      </c>
      <c r="H286" s="57">
        <f t="shared" si="14"/>
        <v>26436.68</v>
      </c>
    </row>
    <row r="287" spans="1:8" x14ac:dyDescent="0.25">
      <c r="A287" s="49">
        <f>'A) Base RI'!A289</f>
        <v>5905</v>
      </c>
      <c r="B287" s="56" t="str">
        <f>'A) Base RI'!B289</f>
        <v>Champvent</v>
      </c>
      <c r="C287" s="31">
        <f>'B) D RI'!Y289</f>
        <v>287344.40000000002</v>
      </c>
      <c r="D287" s="14">
        <f>'B) D RI'!Z289</f>
        <v>109768.55</v>
      </c>
      <c r="E287" s="10">
        <f t="shared" si="12"/>
        <v>397112.95</v>
      </c>
      <c r="F287" s="14">
        <f>'B) D RI'!U289</f>
        <v>23661.341690140842</v>
      </c>
      <c r="G287" s="256">
        <f t="shared" si="13"/>
        <v>16.783196625129175</v>
      </c>
      <c r="H287" s="57">
        <f t="shared" si="14"/>
        <v>176602.76500000001</v>
      </c>
    </row>
    <row r="288" spans="1:8" x14ac:dyDescent="0.25">
      <c r="A288" s="49">
        <f>'A) Base RI'!A290</f>
        <v>5907</v>
      </c>
      <c r="B288" s="56" t="str">
        <f>'A) Base RI'!B290</f>
        <v>Chavannes-le-Chêne</v>
      </c>
      <c r="C288" s="31">
        <f>'B) D RI'!Y290</f>
        <v>5396.25</v>
      </c>
      <c r="D288" s="14">
        <f>'B) D RI'!Z290</f>
        <v>9367.6</v>
      </c>
      <c r="E288" s="10">
        <f t="shared" si="12"/>
        <v>14763.85</v>
      </c>
      <c r="F288" s="14">
        <f>'B) D RI'!U290</f>
        <v>9481.5466666666634</v>
      </c>
      <c r="G288" s="256">
        <f t="shared" si="13"/>
        <v>1.5571140995280663</v>
      </c>
      <c r="H288" s="57">
        <f t="shared" si="14"/>
        <v>5508.4050000000007</v>
      </c>
    </row>
    <row r="289" spans="1:8" x14ac:dyDescent="0.25">
      <c r="A289" s="49">
        <f>'A) Base RI'!A291</f>
        <v>5908</v>
      </c>
      <c r="B289" s="56" t="str">
        <f>'A) Base RI'!B291</f>
        <v>Chêne-Pâquier</v>
      </c>
      <c r="C289" s="31">
        <f>'B) D RI'!Y291</f>
        <v>4672.05</v>
      </c>
      <c r="D289" s="14">
        <f>'B) D RI'!Z291</f>
        <v>0</v>
      </c>
      <c r="E289" s="10">
        <f t="shared" si="12"/>
        <v>4672.05</v>
      </c>
      <c r="F289" s="14">
        <f>'B) D RI'!U291</f>
        <v>3375.4056962025325</v>
      </c>
      <c r="G289" s="256">
        <f t="shared" si="13"/>
        <v>1.3841447282192612</v>
      </c>
      <c r="H289" s="57">
        <f t="shared" si="14"/>
        <v>2336.0250000000001</v>
      </c>
    </row>
    <row r="290" spans="1:8" x14ac:dyDescent="0.25">
      <c r="A290" s="49">
        <f>'A) Base RI'!A292</f>
        <v>5909</v>
      </c>
      <c r="B290" s="56" t="str">
        <f>'A) Base RI'!B292</f>
        <v>Cheseaux-Noréaz</v>
      </c>
      <c r="C290" s="31">
        <f>'B) D RI'!Y292</f>
        <v>218693.15</v>
      </c>
      <c r="D290" s="14">
        <f>'B) D RI'!Z292</f>
        <v>7425.25</v>
      </c>
      <c r="E290" s="10">
        <f t="shared" si="12"/>
        <v>226118.39999999999</v>
      </c>
      <c r="F290" s="14">
        <f>'B) D RI'!U292</f>
        <v>32349.342000000001</v>
      </c>
      <c r="G290" s="256">
        <f t="shared" si="13"/>
        <v>6.989891788216279</v>
      </c>
      <c r="H290" s="57">
        <f t="shared" si="14"/>
        <v>111574.15</v>
      </c>
    </row>
    <row r="291" spans="1:8" x14ac:dyDescent="0.25">
      <c r="A291" s="49">
        <f>'A) Base RI'!A293</f>
        <v>5910</v>
      </c>
      <c r="B291" s="56" t="str">
        <f>'A) Base RI'!B293</f>
        <v>Cronay</v>
      </c>
      <c r="C291" s="31">
        <f>'B) D RI'!Y293</f>
        <v>153655.95000000001</v>
      </c>
      <c r="D291" s="14">
        <f>'B) D RI'!Z293</f>
        <v>0</v>
      </c>
      <c r="E291" s="10">
        <f t="shared" si="12"/>
        <v>153655.95000000001</v>
      </c>
      <c r="F291" s="14">
        <f>'B) D RI'!U293</f>
        <v>10200.577848101264</v>
      </c>
      <c r="G291" s="256">
        <f t="shared" si="13"/>
        <v>15.063455452045938</v>
      </c>
      <c r="H291" s="57">
        <f t="shared" si="14"/>
        <v>76827.975000000006</v>
      </c>
    </row>
    <row r="292" spans="1:8" x14ac:dyDescent="0.25">
      <c r="A292" s="49">
        <f>'A) Base RI'!A294</f>
        <v>5911</v>
      </c>
      <c r="B292" s="56" t="str">
        <f>'A) Base RI'!B294</f>
        <v>Cuarny</v>
      </c>
      <c r="C292" s="31">
        <f>'B) D RI'!Y294</f>
        <v>-16178.65</v>
      </c>
      <c r="D292" s="14">
        <f>'B) D RI'!Z294</f>
        <v>1459.15</v>
      </c>
      <c r="E292" s="10">
        <f t="shared" si="12"/>
        <v>-14719.5</v>
      </c>
      <c r="F292" s="14">
        <f>'B) D RI'!U294</f>
        <v>7836.9853164556971</v>
      </c>
      <c r="G292" s="256">
        <f t="shared" si="13"/>
        <v>-1.8782094651999353</v>
      </c>
      <c r="H292" s="57">
        <f t="shared" si="14"/>
        <v>-7651.58</v>
      </c>
    </row>
    <row r="293" spans="1:8" x14ac:dyDescent="0.25">
      <c r="A293" s="49">
        <f>'A) Base RI'!A295</f>
        <v>5912</v>
      </c>
      <c r="B293" s="56" t="str">
        <f>'A) Base RI'!B295</f>
        <v>Démoret</v>
      </c>
      <c r="C293" s="31">
        <f>'B) D RI'!Y295</f>
        <v>0</v>
      </c>
      <c r="D293" s="14">
        <f>'B) D RI'!Z295</f>
        <v>0</v>
      </c>
      <c r="E293" s="10">
        <f t="shared" si="12"/>
        <v>0</v>
      </c>
      <c r="F293" s="14">
        <f>'B) D RI'!U295</f>
        <v>3965.4814814814822</v>
      </c>
      <c r="G293" s="256">
        <f t="shared" si="13"/>
        <v>0</v>
      </c>
      <c r="H293" s="57">
        <f t="shared" si="14"/>
        <v>0</v>
      </c>
    </row>
    <row r="294" spans="1:8" x14ac:dyDescent="0.25">
      <c r="A294" s="49">
        <f>'A) Base RI'!A296</f>
        <v>5913</v>
      </c>
      <c r="B294" s="56" t="str">
        <f>'A) Base RI'!B296</f>
        <v>Donneloye</v>
      </c>
      <c r="C294" s="31">
        <f>'B) D RI'!Y296</f>
        <v>151349.04999999999</v>
      </c>
      <c r="D294" s="14">
        <f>'B) D RI'!Z296</f>
        <v>24516.1</v>
      </c>
      <c r="E294" s="10">
        <f t="shared" si="12"/>
        <v>175865.15</v>
      </c>
      <c r="F294" s="14">
        <f>'B) D RI'!U296</f>
        <v>21603.148082191776</v>
      </c>
      <c r="G294" s="256">
        <f t="shared" si="13"/>
        <v>8.1407186272528378</v>
      </c>
      <c r="H294" s="57">
        <f t="shared" si="14"/>
        <v>83029.354999999996</v>
      </c>
    </row>
    <row r="295" spans="1:8" x14ac:dyDescent="0.25">
      <c r="A295" s="49">
        <f>'A) Base RI'!A297</f>
        <v>5914</v>
      </c>
      <c r="B295" s="56" t="str">
        <f>'A) Base RI'!B297</f>
        <v>Ependes</v>
      </c>
      <c r="C295" s="31">
        <f>'B) D RI'!Y297</f>
        <v>22137.65</v>
      </c>
      <c r="D295" s="14">
        <f>'B) D RI'!Z297</f>
        <v>561.9</v>
      </c>
      <c r="E295" s="10">
        <f t="shared" si="12"/>
        <v>22699.550000000003</v>
      </c>
      <c r="F295" s="14">
        <f>'B) D RI'!U297</f>
        <v>10115.447866666666</v>
      </c>
      <c r="G295" s="256">
        <f t="shared" si="13"/>
        <v>2.2440479452028619</v>
      </c>
      <c r="H295" s="57">
        <f t="shared" si="14"/>
        <v>11237.395</v>
      </c>
    </row>
    <row r="296" spans="1:8" x14ac:dyDescent="0.25">
      <c r="A296" s="49">
        <f>'A) Base RI'!A298</f>
        <v>5919</v>
      </c>
      <c r="B296" s="56" t="str">
        <f>'A) Base RI'!B298</f>
        <v>Mathod</v>
      </c>
      <c r="C296" s="31">
        <f>'B) D RI'!Y298</f>
        <v>58342.35</v>
      </c>
      <c r="D296" s="14">
        <f>'B) D RI'!Z298</f>
        <v>4963.05</v>
      </c>
      <c r="E296" s="10">
        <f t="shared" si="12"/>
        <v>63305.4</v>
      </c>
      <c r="F296" s="14">
        <f>'B) D RI'!U298</f>
        <v>17475.442962962959</v>
      </c>
      <c r="G296" s="256">
        <f t="shared" si="13"/>
        <v>3.6225347840491349</v>
      </c>
      <c r="H296" s="57">
        <f t="shared" si="14"/>
        <v>30660.09</v>
      </c>
    </row>
    <row r="297" spans="1:8" x14ac:dyDescent="0.25">
      <c r="A297" s="49">
        <f>'A) Base RI'!A299</f>
        <v>5921</v>
      </c>
      <c r="B297" s="56" t="str">
        <f>'A) Base RI'!B299</f>
        <v>Molondin</v>
      </c>
      <c r="C297" s="31">
        <f>'B) D RI'!Y299</f>
        <v>43210.3</v>
      </c>
      <c r="D297" s="14">
        <f>'B) D RI'!Z299</f>
        <v>0</v>
      </c>
      <c r="E297" s="10">
        <f t="shared" si="12"/>
        <v>43210.3</v>
      </c>
      <c r="F297" s="14">
        <f>'B) D RI'!U299</f>
        <v>5665.6146913580242</v>
      </c>
      <c r="G297" s="256">
        <f t="shared" si="13"/>
        <v>7.6267629116943487</v>
      </c>
      <c r="H297" s="57">
        <f t="shared" si="14"/>
        <v>21605.15</v>
      </c>
    </row>
    <row r="298" spans="1:8" x14ac:dyDescent="0.25">
      <c r="A298" s="49">
        <f>'A) Base RI'!A300</f>
        <v>5922</v>
      </c>
      <c r="B298" s="56" t="str">
        <f>'A) Base RI'!B300</f>
        <v>Montagny-près-Yverdon</v>
      </c>
      <c r="C298" s="31">
        <f>'B) D RI'!Y300</f>
        <v>208490.5</v>
      </c>
      <c r="D298" s="14">
        <f>'B) D RI'!Z300</f>
        <v>195665</v>
      </c>
      <c r="E298" s="10">
        <f t="shared" si="12"/>
        <v>404155.5</v>
      </c>
      <c r="F298" s="14">
        <f>'B) D RI'!U300</f>
        <v>37619.371576923077</v>
      </c>
      <c r="G298" s="256">
        <f t="shared" si="13"/>
        <v>10.743281534450775</v>
      </c>
      <c r="H298" s="57">
        <f t="shared" si="14"/>
        <v>162944.75</v>
      </c>
    </row>
    <row r="299" spans="1:8" x14ac:dyDescent="0.25">
      <c r="A299" s="49">
        <f>'A) Base RI'!A301</f>
        <v>5923</v>
      </c>
      <c r="B299" s="56" t="str">
        <f>'A) Base RI'!B301</f>
        <v>Oppens</v>
      </c>
      <c r="C299" s="31">
        <f>'B) D RI'!Y301</f>
        <v>16786.8</v>
      </c>
      <c r="D299" s="14">
        <f>'B) D RI'!Z301</f>
        <v>19625.8</v>
      </c>
      <c r="E299" s="10">
        <f t="shared" si="12"/>
        <v>36412.6</v>
      </c>
      <c r="F299" s="14">
        <f>'B) D RI'!U301</f>
        <v>5399.502592592592</v>
      </c>
      <c r="G299" s="256">
        <f t="shared" si="13"/>
        <v>6.7436952525873961</v>
      </c>
      <c r="H299" s="57">
        <f t="shared" si="14"/>
        <v>14281.14</v>
      </c>
    </row>
    <row r="300" spans="1:8" x14ac:dyDescent="0.25">
      <c r="A300" s="49">
        <f>'A) Base RI'!A302</f>
        <v>5924</v>
      </c>
      <c r="B300" s="56" t="str">
        <f>'A) Base RI'!B302</f>
        <v>Orges</v>
      </c>
      <c r="C300" s="31">
        <f>'B) D RI'!Y302</f>
        <v>89233.450000000012</v>
      </c>
      <c r="D300" s="14">
        <f>'B) D RI'!Z302</f>
        <v>10554.8</v>
      </c>
      <c r="E300" s="10">
        <f t="shared" si="12"/>
        <v>99788.250000000015</v>
      </c>
      <c r="F300" s="14">
        <f>'B) D RI'!U302</f>
        <v>11911.353243243244</v>
      </c>
      <c r="G300" s="256">
        <f t="shared" si="13"/>
        <v>8.3775745679111004</v>
      </c>
      <c r="H300" s="57">
        <f t="shared" si="14"/>
        <v>47783.165000000008</v>
      </c>
    </row>
    <row r="301" spans="1:8" x14ac:dyDescent="0.25">
      <c r="A301" s="49">
        <f>'A) Base RI'!A303</f>
        <v>5925</v>
      </c>
      <c r="B301" s="56" t="str">
        <f>'A) Base RI'!B303</f>
        <v>Orzens</v>
      </c>
      <c r="C301" s="31">
        <f>'B) D RI'!Y303</f>
        <v>185278.1</v>
      </c>
      <c r="D301" s="14">
        <f>'B) D RI'!Z303</f>
        <v>9065.0499999999993</v>
      </c>
      <c r="E301" s="10">
        <f t="shared" si="12"/>
        <v>194343.15</v>
      </c>
      <c r="F301" s="14">
        <f>'B) D RI'!U303</f>
        <v>5348.3883544303808</v>
      </c>
      <c r="G301" s="256">
        <f t="shared" si="13"/>
        <v>36.336768596658516</v>
      </c>
      <c r="H301" s="57">
        <f t="shared" si="14"/>
        <v>95358.565000000002</v>
      </c>
    </row>
    <row r="302" spans="1:8" x14ac:dyDescent="0.25">
      <c r="A302" s="49">
        <f>'A) Base RI'!A304</f>
        <v>5926</v>
      </c>
      <c r="B302" s="56" t="str">
        <f>'A) Base RI'!B304</f>
        <v>Pomy</v>
      </c>
      <c r="C302" s="31">
        <f>'B) D RI'!Y304</f>
        <v>92997.5</v>
      </c>
      <c r="D302" s="14">
        <f>'B) D RI'!Z304</f>
        <v>2452.3000000000002</v>
      </c>
      <c r="E302" s="10">
        <f t="shared" si="12"/>
        <v>95449.8</v>
      </c>
      <c r="F302" s="14">
        <f>'B) D RI'!U304</f>
        <v>27563.954929577467</v>
      </c>
      <c r="G302" s="256">
        <f t="shared" si="13"/>
        <v>3.4628485006546619</v>
      </c>
      <c r="H302" s="57">
        <f t="shared" si="14"/>
        <v>47234.44</v>
      </c>
    </row>
    <row r="303" spans="1:8" x14ac:dyDescent="0.25">
      <c r="A303" s="49">
        <f>'A) Base RI'!A305</f>
        <v>5928</v>
      </c>
      <c r="B303" s="56" t="str">
        <f>'A) Base RI'!B305</f>
        <v>Rovray</v>
      </c>
      <c r="C303" s="31">
        <f>'B) D RI'!Y305</f>
        <v>55158.9</v>
      </c>
      <c r="D303" s="14">
        <f>'B) D RI'!Z305</f>
        <v>3733</v>
      </c>
      <c r="E303" s="10">
        <f t="shared" si="12"/>
        <v>58891.9</v>
      </c>
      <c r="F303" s="14">
        <f>'B) D RI'!U305</f>
        <v>6002.0193150684927</v>
      </c>
      <c r="G303" s="256">
        <f t="shared" si="13"/>
        <v>9.8120144085754166</v>
      </c>
      <c r="H303" s="57">
        <f t="shared" si="14"/>
        <v>28699.350000000002</v>
      </c>
    </row>
    <row r="304" spans="1:8" x14ac:dyDescent="0.25">
      <c r="A304" s="49">
        <f>'A) Base RI'!A306</f>
        <v>5929</v>
      </c>
      <c r="B304" s="56" t="str">
        <f>'A) Base RI'!B306</f>
        <v>Suchy</v>
      </c>
      <c r="C304" s="31">
        <f>'B) D RI'!Y306</f>
        <v>207556.65000000002</v>
      </c>
      <c r="D304" s="14">
        <f>'B) D RI'!Z306</f>
        <v>7224.65</v>
      </c>
      <c r="E304" s="10">
        <f t="shared" si="12"/>
        <v>214781.30000000002</v>
      </c>
      <c r="F304" s="14">
        <f>'B) D RI'!U306</f>
        <v>17258.460214285715</v>
      </c>
      <c r="G304" s="256">
        <f t="shared" si="13"/>
        <v>12.444986246352064</v>
      </c>
      <c r="H304" s="57">
        <f t="shared" si="14"/>
        <v>105945.72000000002</v>
      </c>
    </row>
    <row r="305" spans="1:8" x14ac:dyDescent="0.25">
      <c r="A305" s="49">
        <f>'A) Base RI'!A307</f>
        <v>5930</v>
      </c>
      <c r="B305" s="56" t="str">
        <f>'A) Base RI'!B307</f>
        <v>Suscévaz</v>
      </c>
      <c r="C305" s="31">
        <f>'B) D RI'!Y307</f>
        <v>2701.4</v>
      </c>
      <c r="D305" s="14">
        <f>'B) D RI'!Z307</f>
        <v>0</v>
      </c>
      <c r="E305" s="10">
        <f t="shared" si="12"/>
        <v>2701.4</v>
      </c>
      <c r="F305" s="14">
        <f>'B) D RI'!U307</f>
        <v>5852.6869444444428</v>
      </c>
      <c r="G305" s="256">
        <f t="shared" si="13"/>
        <v>0.46156577750399841</v>
      </c>
      <c r="H305" s="57">
        <f t="shared" si="14"/>
        <v>1350.7</v>
      </c>
    </row>
    <row r="306" spans="1:8" x14ac:dyDescent="0.25">
      <c r="A306" s="49">
        <f>'A) Base RI'!A308</f>
        <v>5931</v>
      </c>
      <c r="B306" s="56" t="str">
        <f>'A) Base RI'!B308</f>
        <v>Treycovagnes</v>
      </c>
      <c r="C306" s="31">
        <f>'B) D RI'!Y308</f>
        <v>42338.3</v>
      </c>
      <c r="D306" s="14">
        <f>'B) D RI'!Z308</f>
        <v>5790.35</v>
      </c>
      <c r="E306" s="10">
        <f t="shared" si="12"/>
        <v>48128.65</v>
      </c>
      <c r="F306" s="14">
        <f>'B) D RI'!U308</f>
        <v>12202.115733333332</v>
      </c>
      <c r="G306" s="256">
        <f t="shared" si="13"/>
        <v>3.9442872901560637</v>
      </c>
      <c r="H306" s="57">
        <f t="shared" si="14"/>
        <v>22906.255000000001</v>
      </c>
    </row>
    <row r="307" spans="1:8" x14ac:dyDescent="0.25">
      <c r="A307" s="49">
        <f>'A) Base RI'!A309</f>
        <v>5932</v>
      </c>
      <c r="B307" s="56" t="str">
        <f>'A) Base RI'!B309</f>
        <v>Ursins</v>
      </c>
      <c r="C307" s="31">
        <f>'B) D RI'!Y309</f>
        <v>46523.75</v>
      </c>
      <c r="D307" s="14">
        <f>'B) D RI'!Z309</f>
        <v>0</v>
      </c>
      <c r="E307" s="10">
        <f t="shared" si="12"/>
        <v>46523.75</v>
      </c>
      <c r="F307" s="14">
        <f>'B) D RI'!U309</f>
        <v>8278.3758441558457</v>
      </c>
      <c r="G307" s="256">
        <f t="shared" si="13"/>
        <v>5.6199127553315469</v>
      </c>
      <c r="H307" s="57">
        <f t="shared" si="14"/>
        <v>23261.875</v>
      </c>
    </row>
    <row r="308" spans="1:8" x14ac:dyDescent="0.25">
      <c r="A308" s="49">
        <f>'A) Base RI'!A310</f>
        <v>5933</v>
      </c>
      <c r="B308" s="56" t="str">
        <f>'A) Base RI'!B310</f>
        <v>Valeyres-sous-Montagny</v>
      </c>
      <c r="C308" s="31">
        <f>'B) D RI'!Y310</f>
        <v>126075.29999999999</v>
      </c>
      <c r="D308" s="14">
        <f>'B) D RI'!Z310</f>
        <v>18184.05</v>
      </c>
      <c r="E308" s="10">
        <f t="shared" si="12"/>
        <v>144259.34999999998</v>
      </c>
      <c r="F308" s="14">
        <f>'B) D RI'!U310</f>
        <v>22135.641944444447</v>
      </c>
      <c r="G308" s="256">
        <f t="shared" si="13"/>
        <v>6.5170619565521957</v>
      </c>
      <c r="H308" s="57">
        <f t="shared" si="14"/>
        <v>68492.864999999991</v>
      </c>
    </row>
    <row r="309" spans="1:8" x14ac:dyDescent="0.25">
      <c r="A309" s="49">
        <f>'A) Base RI'!A311</f>
        <v>5934</v>
      </c>
      <c r="B309" s="56" t="str">
        <f>'A) Base RI'!B311</f>
        <v>Valeyres-sous-Ursins</v>
      </c>
      <c r="C309" s="31">
        <f>'B) D RI'!Y311</f>
        <v>37518.350000000006</v>
      </c>
      <c r="D309" s="14">
        <f>'B) D RI'!Z311</f>
        <v>0</v>
      </c>
      <c r="E309" s="10">
        <f t="shared" si="12"/>
        <v>37518.350000000006</v>
      </c>
      <c r="F309" s="14">
        <f>'B) D RI'!U311</f>
        <v>7563.0520253164568</v>
      </c>
      <c r="G309" s="256">
        <f t="shared" si="13"/>
        <v>4.9607420224549026</v>
      </c>
      <c r="H309" s="57">
        <f t="shared" si="14"/>
        <v>18759.175000000003</v>
      </c>
    </row>
    <row r="310" spans="1:8" x14ac:dyDescent="0.25">
      <c r="A310" s="49">
        <f>'A) Base RI'!A312</f>
        <v>5935</v>
      </c>
      <c r="B310" s="56" t="str">
        <f>'A) Base RI'!B312</f>
        <v>Villars-Epeney</v>
      </c>
      <c r="C310" s="31">
        <f>'B) D RI'!Y312</f>
        <v>1100</v>
      </c>
      <c r="D310" s="14">
        <f>'B) D RI'!Z312</f>
        <v>0</v>
      </c>
      <c r="E310" s="10">
        <f t="shared" si="12"/>
        <v>1100</v>
      </c>
      <c r="F310" s="14">
        <f>'B) D RI'!U312</f>
        <v>4858.9101666666666</v>
      </c>
      <c r="G310" s="256">
        <f t="shared" si="13"/>
        <v>0.22638821510763338</v>
      </c>
      <c r="H310" s="57">
        <f t="shared" si="14"/>
        <v>550</v>
      </c>
    </row>
    <row r="311" spans="1:8" x14ac:dyDescent="0.25">
      <c r="A311" s="49">
        <f>'A) Base RI'!A313</f>
        <v>5937</v>
      </c>
      <c r="B311" s="56" t="str">
        <f>'A) Base RI'!B313</f>
        <v>Vugelles-La Mothe</v>
      </c>
      <c r="C311" s="31">
        <f>'B) D RI'!Y313</f>
        <v>33137</v>
      </c>
      <c r="D311" s="14">
        <f>'B) D RI'!Z313</f>
        <v>2191.85</v>
      </c>
      <c r="E311" s="10">
        <f t="shared" si="12"/>
        <v>35328.85</v>
      </c>
      <c r="F311" s="14">
        <f>'B) D RI'!U313</f>
        <v>2984.3882040816329</v>
      </c>
      <c r="G311" s="256">
        <f t="shared" si="13"/>
        <v>11.837886891417842</v>
      </c>
      <c r="H311" s="57">
        <f t="shared" si="14"/>
        <v>17226.055</v>
      </c>
    </row>
    <row r="312" spans="1:8" x14ac:dyDescent="0.25">
      <c r="A312" s="49">
        <f>'A) Base RI'!A314</f>
        <v>5938</v>
      </c>
      <c r="B312" s="56" t="str">
        <f>'A) Base RI'!B314</f>
        <v>Yverdon-les-Bains</v>
      </c>
      <c r="C312" s="31">
        <f>'B) D RI'!Y314</f>
        <v>3851037.3499999996</v>
      </c>
      <c r="D312" s="14">
        <f>'B) D RI'!Z314</f>
        <v>4210979.75</v>
      </c>
      <c r="E312" s="10">
        <f t="shared" si="12"/>
        <v>8062017.0999999996</v>
      </c>
      <c r="F312" s="14">
        <f>'B) D RI'!U314</f>
        <v>788422.31346405216</v>
      </c>
      <c r="G312" s="256">
        <f t="shared" si="13"/>
        <v>10.225506003981945</v>
      </c>
      <c r="H312" s="57">
        <f t="shared" si="14"/>
        <v>3188812.5999999996</v>
      </c>
    </row>
    <row r="313" spans="1:8" x14ac:dyDescent="0.25">
      <c r="A313" s="49">
        <f>'A) Base RI'!A315</f>
        <v>5939</v>
      </c>
      <c r="B313" s="56" t="str">
        <f>'A) Base RI'!B315</f>
        <v>Yvonand</v>
      </c>
      <c r="C313" s="31">
        <f>'B) D RI'!Y315</f>
        <v>1224553.45</v>
      </c>
      <c r="D313" s="14">
        <f>'B) D RI'!Z315</f>
        <v>140392.6</v>
      </c>
      <c r="E313" s="10">
        <f t="shared" si="12"/>
        <v>1364946.05</v>
      </c>
      <c r="F313" s="14">
        <f>'B) D RI'!U315</f>
        <v>95122.764246575331</v>
      </c>
      <c r="G313" s="256">
        <f t="shared" si="13"/>
        <v>14.349310186800439</v>
      </c>
      <c r="H313" s="57">
        <f t="shared" si="14"/>
        <v>654394.505</v>
      </c>
    </row>
    <row r="314" spans="1:8" x14ac:dyDescent="0.25">
      <c r="A314" s="30"/>
      <c r="B314" s="123">
        <f>COUNTA(B5:B313)</f>
        <v>309</v>
      </c>
      <c r="C314" s="124">
        <f>SUM(C5:C313)</f>
        <v>238977519.87000009</v>
      </c>
      <c r="D314" s="11">
        <f>SUM(D5:D313)</f>
        <v>71803023.849999994</v>
      </c>
      <c r="E314" s="11">
        <f>SUM(E5:E313)</f>
        <v>310780543.72000003</v>
      </c>
      <c r="F314" s="11">
        <f>SUM(F5:F313)</f>
        <v>37986675.400474928</v>
      </c>
      <c r="G314" s="62">
        <f t="shared" ref="G314" si="15">E314/F314</f>
        <v>8.1813041137081051</v>
      </c>
      <c r="H314" s="258">
        <f>(C314*$C$4)+(D314*$D$4)</f>
        <v>141029667.09000003</v>
      </c>
    </row>
    <row r="315" spans="1:8" x14ac:dyDescent="0.25">
      <c r="D315" s="464"/>
      <c r="E315" s="464"/>
      <c r="F315" s="464"/>
      <c r="G315" s="383"/>
      <c r="H315" s="464"/>
    </row>
    <row r="316" spans="1:8" x14ac:dyDescent="0.25">
      <c r="G316" s="13"/>
    </row>
    <row r="317" spans="1:8" x14ac:dyDescent="0.25">
      <c r="G317" s="13"/>
    </row>
    <row r="318" spans="1:8" x14ac:dyDescent="0.25">
      <c r="D318" s="421"/>
      <c r="G318" s="13"/>
    </row>
    <row r="319" spans="1:8" x14ac:dyDescent="0.25">
      <c r="G319" s="13"/>
    </row>
    <row r="320" spans="1:8" x14ac:dyDescent="0.25">
      <c r="D320" s="421"/>
      <c r="G320" s="13"/>
    </row>
    <row r="321" spans="7:7" x14ac:dyDescent="0.25">
      <c r="G321" s="13"/>
    </row>
    <row r="322" spans="7:7" x14ac:dyDescent="0.25">
      <c r="G322" s="13"/>
    </row>
    <row r="323" spans="7:7" x14ac:dyDescent="0.25">
      <c r="G323" s="13"/>
    </row>
    <row r="324" spans="7:7" x14ac:dyDescent="0.25">
      <c r="G324" s="13"/>
    </row>
    <row r="325" spans="7:7" x14ac:dyDescent="0.25">
      <c r="G325" s="13"/>
    </row>
    <row r="326" spans="7:7" x14ac:dyDescent="0.25">
      <c r="G326" s="13"/>
    </row>
    <row r="327" spans="7:7" x14ac:dyDescent="0.25">
      <c r="G327" s="13"/>
    </row>
    <row r="328" spans="7:7" x14ac:dyDescent="0.25">
      <c r="G328" s="13"/>
    </row>
    <row r="329" spans="7:7" x14ac:dyDescent="0.25">
      <c r="G329" s="13"/>
    </row>
    <row r="330" spans="7:7" x14ac:dyDescent="0.25">
      <c r="G330" s="13"/>
    </row>
    <row r="331" spans="7:7" x14ac:dyDescent="0.25">
      <c r="G331" s="13"/>
    </row>
    <row r="332" spans="7:7" x14ac:dyDescent="0.25">
      <c r="G332" s="13"/>
    </row>
  </sheetData>
  <mergeCells count="6">
    <mergeCell ref="H3:H4"/>
    <mergeCell ref="G3:G4"/>
    <mergeCell ref="F3:F4"/>
    <mergeCell ref="E3:E4"/>
    <mergeCell ref="A3:A4"/>
    <mergeCell ref="B3:B4"/>
  </mergeCells>
  <phoneticPr fontId="15"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00B050"/>
  </sheetPr>
  <dimension ref="A1:V320"/>
  <sheetViews>
    <sheetView workbookViewId="0"/>
  </sheetViews>
  <sheetFormatPr baseColWidth="10" defaultColWidth="11" defaultRowHeight="15" x14ac:dyDescent="0.25"/>
  <cols>
    <col min="1" max="1" width="7.25" style="13" customWidth="1"/>
    <col min="2" max="2" width="18" style="13" customWidth="1"/>
    <col min="3" max="3" width="10.875" style="13" bestFit="1" customWidth="1"/>
    <col min="4" max="4" width="8.375" style="13" customWidth="1"/>
    <col min="5" max="5" width="7.625" style="13" bestFit="1" customWidth="1"/>
    <col min="6" max="6" width="8.75" style="61" bestFit="1" customWidth="1"/>
    <col min="7" max="7" width="5.75" style="13" bestFit="1" customWidth="1"/>
    <col min="8" max="8" width="5.75" style="13" customWidth="1"/>
    <col min="9" max="10" width="5.75" style="13" bestFit="1" customWidth="1"/>
    <col min="11" max="11" width="6.5" style="13" bestFit="1" customWidth="1"/>
    <col min="12" max="12" width="7.625" style="13" bestFit="1" customWidth="1"/>
    <col min="13" max="13" width="10.75" style="12" bestFit="1" customWidth="1"/>
    <col min="14" max="17" width="11" style="369"/>
    <col min="18" max="18" width="11.25" style="369" bestFit="1" customWidth="1"/>
    <col min="19" max="21" width="11" style="13"/>
    <col min="22" max="22" width="11.25" style="13" bestFit="1" customWidth="1"/>
    <col min="23" max="16384" width="11" style="13"/>
  </cols>
  <sheetData>
    <row r="1" spans="1:22" ht="21" x14ac:dyDescent="0.25">
      <c r="A1" s="51" t="s">
        <v>220</v>
      </c>
      <c r="B1" s="42"/>
      <c r="C1" s="59"/>
      <c r="D1" s="43"/>
      <c r="E1" s="43"/>
      <c r="F1" s="60"/>
    </row>
    <row r="2" spans="1:22" x14ac:dyDescent="0.25">
      <c r="G2" s="69">
        <f>$E$314*G4</f>
        <v>47.124725092638677</v>
      </c>
      <c r="H2" s="69">
        <f t="shared" ref="H2:K2" si="0">$E$314*H4</f>
        <v>56.549670111166414</v>
      </c>
      <c r="I2" s="69">
        <f t="shared" si="0"/>
        <v>70.687087638958019</v>
      </c>
      <c r="J2" s="69">
        <f t="shared" si="0"/>
        <v>94.249450185277354</v>
      </c>
      <c r="K2" s="69">
        <f t="shared" si="0"/>
        <v>141.37417527791604</v>
      </c>
    </row>
    <row r="3" spans="1:22" ht="60" customHeight="1" x14ac:dyDescent="0.25">
      <c r="A3" s="559" t="s">
        <v>46</v>
      </c>
      <c r="B3" s="559" t="s">
        <v>96</v>
      </c>
      <c r="C3" s="566" t="s">
        <v>305</v>
      </c>
      <c r="D3" s="567"/>
      <c r="E3" s="568"/>
      <c r="F3" s="565" t="s">
        <v>291</v>
      </c>
      <c r="G3" s="66">
        <f>Paramètres!B16</f>
        <v>0.2</v>
      </c>
      <c r="H3" s="66">
        <f>Paramètres!C16</f>
        <v>0.3</v>
      </c>
      <c r="I3" s="66">
        <f>Paramètres!D16</f>
        <v>0.4</v>
      </c>
      <c r="J3" s="66">
        <f>Paramètres!E16</f>
        <v>0.5</v>
      </c>
      <c r="K3" s="66">
        <f>Paramètres!F16</f>
        <v>0.6</v>
      </c>
      <c r="L3" s="565" t="s">
        <v>294</v>
      </c>
      <c r="M3" s="565" t="s">
        <v>306</v>
      </c>
    </row>
    <row r="4" spans="1:22" ht="45" x14ac:dyDescent="0.25">
      <c r="A4" s="560"/>
      <c r="B4" s="560"/>
      <c r="C4" s="67" t="s">
        <v>371</v>
      </c>
      <c r="D4" s="67" t="s">
        <v>67</v>
      </c>
      <c r="E4" s="67" t="s">
        <v>68</v>
      </c>
      <c r="F4" s="565"/>
      <c r="G4" s="68">
        <f>Paramètres!B17</f>
        <v>1</v>
      </c>
      <c r="H4" s="68">
        <f>Paramètres!C17</f>
        <v>1.2</v>
      </c>
      <c r="I4" s="68">
        <f>Paramètres!D17</f>
        <v>1.5</v>
      </c>
      <c r="J4" s="68">
        <f>Paramètres!E17</f>
        <v>2</v>
      </c>
      <c r="K4" s="68">
        <f>Paramètres!F17</f>
        <v>3</v>
      </c>
      <c r="L4" s="569"/>
      <c r="M4" s="565"/>
    </row>
    <row r="5" spans="1:22" x14ac:dyDescent="0.25">
      <c r="A5" s="107">
        <f>'A) Base RI'!A7</f>
        <v>5401</v>
      </c>
      <c r="B5" s="291" t="str">
        <f>'A) Base RI'!B7</f>
        <v>Aigle</v>
      </c>
      <c r="C5" s="288">
        <f>'B) D RI'!U7</f>
        <v>277789.63254320994</v>
      </c>
      <c r="D5" s="32">
        <f>'B) D RI'!AA7</f>
        <v>10217</v>
      </c>
      <c r="E5" s="205">
        <f>C5/D5</f>
        <v>27.188962762377404</v>
      </c>
      <c r="F5" s="364">
        <f t="shared" ref="F5" si="1">E5/$E$314</f>
        <v>0.57695748269998026</v>
      </c>
      <c r="G5" s="374">
        <f>IF(E5-$G$2&lt;0,0,E5-$G$2)</f>
        <v>0</v>
      </c>
      <c r="H5" s="366">
        <f>IF(E5-$H$2&lt;0,0,E5-$H$2)</f>
        <v>0</v>
      </c>
      <c r="I5" s="374">
        <f>IF(E5-$I$2&lt;0,0,E5-$I$2)</f>
        <v>0</v>
      </c>
      <c r="J5" s="366">
        <f>IF(E5-$J$2&lt;0,0,E5-$J$2)</f>
        <v>0</v>
      </c>
      <c r="K5" s="365">
        <f>IF(E5-$K$2&lt;0,0,E5-$K$2)</f>
        <v>0</v>
      </c>
      <c r="L5" s="373">
        <f>(G5-H5)*$G$3+(H5-I5)*$H$3+(I5-J5)*$I$3+(J5-K5)*$J$3+(K5*$K$3)</f>
        <v>0</v>
      </c>
      <c r="M5" s="118">
        <f>L5*D5*'B) D RI'!S7</f>
        <v>0</v>
      </c>
    </row>
    <row r="6" spans="1:22" x14ac:dyDescent="0.25">
      <c r="A6" s="290">
        <f>'A) Base RI'!A8</f>
        <v>5402</v>
      </c>
      <c r="B6" s="32" t="str">
        <f>'A) Base RI'!B8</f>
        <v>Bex</v>
      </c>
      <c r="C6" s="288">
        <f>'B) D RI'!U8</f>
        <v>185729.53788732394</v>
      </c>
      <c r="D6" s="32">
        <f>'B) D RI'!AA8</f>
        <v>7869</v>
      </c>
      <c r="E6" s="205">
        <f t="shared" ref="E6:E69" si="2">C6/D6</f>
        <v>23.602686222814071</v>
      </c>
      <c r="F6" s="364">
        <f t="shared" ref="F6:F69" si="3">E6/$E$314</f>
        <v>0.50085567982445445</v>
      </c>
      <c r="G6" s="375">
        <f t="shared" ref="G6:G69" si="4">IF(E6-$G$2&lt;0,0,E6-$G$2)</f>
        <v>0</v>
      </c>
      <c r="H6" s="372">
        <f t="shared" ref="H6:H69" si="5">IF(E6-$H$2&lt;0,0,E6-$H$2)</f>
        <v>0</v>
      </c>
      <c r="I6" s="375">
        <f t="shared" ref="I6:I69" si="6">IF(E6-$I$2&lt;0,0,E6-$I$2)</f>
        <v>0</v>
      </c>
      <c r="J6" s="372">
        <f t="shared" ref="J6:J69" si="7">IF(E6-$J$2&lt;0,0,E6-$J$2)</f>
        <v>0</v>
      </c>
      <c r="K6" s="367">
        <f t="shared" ref="K6:K69" si="8">IF(E6-$K$2&lt;0,0,E6-$K$2)</f>
        <v>0</v>
      </c>
      <c r="L6" s="371">
        <f t="shared" ref="L6:L69" si="9">(G6-H6)*$G$3+(H6-I6)*$H$3+(I6-J6)*$I$3+(J6-K6)*$J$3+(K6*$K$3)</f>
        <v>0</v>
      </c>
      <c r="M6" s="118">
        <f>L6*D6*'B) D RI'!S8</f>
        <v>0</v>
      </c>
    </row>
    <row r="7" spans="1:22" x14ac:dyDescent="0.25">
      <c r="A7" s="290">
        <f>'A) Base RI'!A9</f>
        <v>5403</v>
      </c>
      <c r="B7" s="32" t="str">
        <f>'A) Base RI'!B9</f>
        <v>Chessel</v>
      </c>
      <c r="C7" s="288">
        <f>'B) D RI'!U9</f>
        <v>10653.993243243245</v>
      </c>
      <c r="D7" s="32">
        <f>'B) D RI'!AA9</f>
        <v>429</v>
      </c>
      <c r="E7" s="205">
        <f t="shared" si="2"/>
        <v>24.834483084483089</v>
      </c>
      <c r="F7" s="364">
        <f t="shared" si="3"/>
        <v>0.52699475775536075</v>
      </c>
      <c r="G7" s="375">
        <f t="shared" si="4"/>
        <v>0</v>
      </c>
      <c r="H7" s="372">
        <f t="shared" si="5"/>
        <v>0</v>
      </c>
      <c r="I7" s="375">
        <f t="shared" si="6"/>
        <v>0</v>
      </c>
      <c r="J7" s="372">
        <f t="shared" si="7"/>
        <v>0</v>
      </c>
      <c r="K7" s="367">
        <f t="shared" si="8"/>
        <v>0</v>
      </c>
      <c r="L7" s="371">
        <f t="shared" si="9"/>
        <v>0</v>
      </c>
      <c r="M7" s="118">
        <f>L7*D7*'B) D RI'!S9</f>
        <v>0</v>
      </c>
    </row>
    <row r="8" spans="1:22" x14ac:dyDescent="0.25">
      <c r="A8" s="290">
        <f>'A) Base RI'!A10</f>
        <v>5404</v>
      </c>
      <c r="B8" s="32" t="str">
        <f>'A) Base RI'!B10</f>
        <v>Corbeyrier</v>
      </c>
      <c r="C8" s="288">
        <f>'B) D RI'!U10</f>
        <v>14595.552612612611</v>
      </c>
      <c r="D8" s="32">
        <f>'B) D RI'!AA10</f>
        <v>437</v>
      </c>
      <c r="E8" s="205">
        <f t="shared" si="2"/>
        <v>33.399433896138696</v>
      </c>
      <c r="F8" s="364">
        <f t="shared" si="3"/>
        <v>0.70874543735759643</v>
      </c>
      <c r="G8" s="375">
        <f t="shared" si="4"/>
        <v>0</v>
      </c>
      <c r="H8" s="372">
        <f t="shared" si="5"/>
        <v>0</v>
      </c>
      <c r="I8" s="375">
        <f t="shared" si="6"/>
        <v>0</v>
      </c>
      <c r="J8" s="372">
        <f t="shared" si="7"/>
        <v>0</v>
      </c>
      <c r="K8" s="367">
        <f t="shared" si="8"/>
        <v>0</v>
      </c>
      <c r="L8" s="371">
        <f t="shared" si="9"/>
        <v>0</v>
      </c>
      <c r="M8" s="118">
        <f>L8*D8*'B) D RI'!S10</f>
        <v>0</v>
      </c>
    </row>
    <row r="9" spans="1:22" x14ac:dyDescent="0.25">
      <c r="A9" s="290">
        <f>'A) Base RI'!A11</f>
        <v>5405</v>
      </c>
      <c r="B9" s="32" t="str">
        <f>'A) Base RI'!B11</f>
        <v>Gryon</v>
      </c>
      <c r="C9" s="288">
        <f>'B) D RI'!U11</f>
        <v>65705.555822222203</v>
      </c>
      <c r="D9" s="32">
        <f>'B) D RI'!AA11</f>
        <v>1347</v>
      </c>
      <c r="E9" s="205">
        <f t="shared" si="2"/>
        <v>48.779180268910324</v>
      </c>
      <c r="F9" s="364">
        <f t="shared" si="3"/>
        <v>1.0351080069542959</v>
      </c>
      <c r="G9" s="375">
        <f t="shared" si="4"/>
        <v>1.6544551762716466</v>
      </c>
      <c r="H9" s="372">
        <f t="shared" si="5"/>
        <v>0</v>
      </c>
      <c r="I9" s="375">
        <f t="shared" si="6"/>
        <v>0</v>
      </c>
      <c r="J9" s="372">
        <f t="shared" si="7"/>
        <v>0</v>
      </c>
      <c r="K9" s="367">
        <f t="shared" si="8"/>
        <v>0</v>
      </c>
      <c r="L9" s="371">
        <f t="shared" si="9"/>
        <v>0.33089103525432934</v>
      </c>
      <c r="M9" s="118">
        <f>L9*D9*'B) D RI'!S11</f>
        <v>33428.266836568619</v>
      </c>
    </row>
    <row r="10" spans="1:22" x14ac:dyDescent="0.25">
      <c r="A10" s="290">
        <f>'A) Base RI'!A12</f>
        <v>5406</v>
      </c>
      <c r="B10" s="32" t="str">
        <f>'A) Base RI'!B12</f>
        <v>Lavey-Morcles</v>
      </c>
      <c r="C10" s="288">
        <f>'B) D RI'!U12</f>
        <v>24857.219750812561</v>
      </c>
      <c r="D10" s="32">
        <f>'B) D RI'!AA12</f>
        <v>931</v>
      </c>
      <c r="E10" s="205">
        <f t="shared" si="2"/>
        <v>26.699484157693405</v>
      </c>
      <c r="F10" s="364">
        <f t="shared" si="3"/>
        <v>0.56657060821483951</v>
      </c>
      <c r="G10" s="375">
        <f t="shared" si="4"/>
        <v>0</v>
      </c>
      <c r="H10" s="372">
        <f t="shared" si="5"/>
        <v>0</v>
      </c>
      <c r="I10" s="375">
        <f t="shared" si="6"/>
        <v>0</v>
      </c>
      <c r="J10" s="372">
        <f t="shared" si="7"/>
        <v>0</v>
      </c>
      <c r="K10" s="367">
        <f t="shared" si="8"/>
        <v>0</v>
      </c>
      <c r="L10" s="371">
        <f t="shared" si="9"/>
        <v>0</v>
      </c>
      <c r="M10" s="118">
        <f>L10*D10*'B) D RI'!S12</f>
        <v>0</v>
      </c>
    </row>
    <row r="11" spans="1:22" x14ac:dyDescent="0.25">
      <c r="A11" s="290">
        <f>'A) Base RI'!A13</f>
        <v>5407</v>
      </c>
      <c r="B11" s="32" t="str">
        <f>'A) Base RI'!B13</f>
        <v>Leysin</v>
      </c>
      <c r="C11" s="288">
        <f>'B) D RI'!U13</f>
        <v>90593.766196581171</v>
      </c>
      <c r="D11" s="32">
        <f>'B) D RI'!AA13</f>
        <v>3776</v>
      </c>
      <c r="E11" s="205">
        <f t="shared" si="2"/>
        <v>23.99199316646747</v>
      </c>
      <c r="F11" s="364">
        <f t="shared" si="3"/>
        <v>0.50911688331981897</v>
      </c>
      <c r="G11" s="375">
        <f t="shared" si="4"/>
        <v>0</v>
      </c>
      <c r="H11" s="372">
        <f t="shared" si="5"/>
        <v>0</v>
      </c>
      <c r="I11" s="375">
        <f t="shared" si="6"/>
        <v>0</v>
      </c>
      <c r="J11" s="372">
        <f t="shared" si="7"/>
        <v>0</v>
      </c>
      <c r="K11" s="367">
        <f t="shared" si="8"/>
        <v>0</v>
      </c>
      <c r="L11" s="371">
        <f t="shared" si="9"/>
        <v>0</v>
      </c>
      <c r="M11" s="118">
        <f>L11*D11*'B) D RI'!S13</f>
        <v>0</v>
      </c>
    </row>
    <row r="12" spans="1:22" x14ac:dyDescent="0.25">
      <c r="A12" s="290">
        <f>'A) Base RI'!A14</f>
        <v>5408</v>
      </c>
      <c r="B12" s="32" t="str">
        <f>'A) Base RI'!B14</f>
        <v>Noville</v>
      </c>
      <c r="C12" s="288">
        <f>'B) D RI'!U14</f>
        <v>28671.623864118894</v>
      </c>
      <c r="D12" s="32">
        <f>'B) D RI'!AA14</f>
        <v>1167</v>
      </c>
      <c r="E12" s="205">
        <f t="shared" si="2"/>
        <v>24.568657981250123</v>
      </c>
      <c r="F12" s="364">
        <f t="shared" si="3"/>
        <v>0.52135387385183873</v>
      </c>
      <c r="G12" s="375">
        <f t="shared" si="4"/>
        <v>0</v>
      </c>
      <c r="H12" s="372">
        <f t="shared" si="5"/>
        <v>0</v>
      </c>
      <c r="I12" s="375">
        <f t="shared" si="6"/>
        <v>0</v>
      </c>
      <c r="J12" s="372">
        <f t="shared" si="7"/>
        <v>0</v>
      </c>
      <c r="K12" s="367">
        <f t="shared" si="8"/>
        <v>0</v>
      </c>
      <c r="L12" s="371">
        <f t="shared" si="9"/>
        <v>0</v>
      </c>
      <c r="M12" s="118">
        <f>L12*D12*'B) D RI'!S14</f>
        <v>0</v>
      </c>
    </row>
    <row r="13" spans="1:22" x14ac:dyDescent="0.25">
      <c r="A13" s="290">
        <f>'A) Base RI'!A15</f>
        <v>5409</v>
      </c>
      <c r="B13" s="32" t="str">
        <f>'A) Base RI'!B15</f>
        <v>Ollon</v>
      </c>
      <c r="C13" s="288">
        <f>'B) D RI'!U15</f>
        <v>399776.03154977376</v>
      </c>
      <c r="D13" s="32">
        <f>'B) D RI'!AA15</f>
        <v>7560</v>
      </c>
      <c r="E13" s="205">
        <f t="shared" si="2"/>
        <v>52.880427453673775</v>
      </c>
      <c r="F13" s="364">
        <f t="shared" si="3"/>
        <v>1.1221376326274675</v>
      </c>
      <c r="G13" s="375">
        <f t="shared" si="4"/>
        <v>5.7557023610350981</v>
      </c>
      <c r="H13" s="372">
        <f t="shared" si="5"/>
        <v>0</v>
      </c>
      <c r="I13" s="375">
        <f t="shared" si="6"/>
        <v>0</v>
      </c>
      <c r="J13" s="372">
        <f t="shared" si="7"/>
        <v>0</v>
      </c>
      <c r="K13" s="367">
        <f t="shared" si="8"/>
        <v>0</v>
      </c>
      <c r="L13" s="371">
        <f t="shared" si="9"/>
        <v>1.1511404722070198</v>
      </c>
      <c r="M13" s="118">
        <f>L13*D13*'B) D RI'!S15</f>
        <v>591778.29395218473</v>
      </c>
    </row>
    <row r="14" spans="1:22" x14ac:dyDescent="0.25">
      <c r="A14" s="290">
        <f>'A) Base RI'!A16</f>
        <v>5410</v>
      </c>
      <c r="B14" s="32" t="str">
        <f>'A) Base RI'!B16</f>
        <v>Ormont-Dessous</v>
      </c>
      <c r="C14" s="288">
        <f>'B) D RI'!U16</f>
        <v>38431.903864118896</v>
      </c>
      <c r="D14" s="32">
        <f>'B) D RI'!AA16</f>
        <v>1141</v>
      </c>
      <c r="E14" s="205">
        <f t="shared" si="2"/>
        <v>33.682650187658979</v>
      </c>
      <c r="F14" s="364">
        <f t="shared" si="3"/>
        <v>0.71475536719726185</v>
      </c>
      <c r="G14" s="375">
        <f t="shared" si="4"/>
        <v>0</v>
      </c>
      <c r="H14" s="372">
        <f t="shared" si="5"/>
        <v>0</v>
      </c>
      <c r="I14" s="375">
        <f t="shared" si="6"/>
        <v>0</v>
      </c>
      <c r="J14" s="372">
        <f t="shared" si="7"/>
        <v>0</v>
      </c>
      <c r="K14" s="367">
        <f t="shared" si="8"/>
        <v>0</v>
      </c>
      <c r="L14" s="371">
        <f t="shared" si="9"/>
        <v>0</v>
      </c>
      <c r="M14" s="118">
        <f>L14*D14*'B) D RI'!S16</f>
        <v>0</v>
      </c>
      <c r="V14" s="15"/>
    </row>
    <row r="15" spans="1:22" x14ac:dyDescent="0.25">
      <c r="A15" s="290">
        <f>'A) Base RI'!A17</f>
        <v>5411</v>
      </c>
      <c r="B15" s="32" t="str">
        <f>'A) Base RI'!B17</f>
        <v>Ormont-Dessus</v>
      </c>
      <c r="C15" s="288">
        <f>'B) D RI'!U17</f>
        <v>73250.08368421052</v>
      </c>
      <c r="D15" s="32">
        <f>'B) D RI'!AA17</f>
        <v>1434</v>
      </c>
      <c r="E15" s="205">
        <f t="shared" si="2"/>
        <v>51.0809509652793</v>
      </c>
      <c r="F15" s="364">
        <f t="shared" si="3"/>
        <v>1.0839522323973965</v>
      </c>
      <c r="G15" s="375">
        <f t="shared" si="4"/>
        <v>3.9562258726406228</v>
      </c>
      <c r="H15" s="372">
        <f t="shared" si="5"/>
        <v>0</v>
      </c>
      <c r="I15" s="375">
        <f t="shared" si="6"/>
        <v>0</v>
      </c>
      <c r="J15" s="372">
        <f t="shared" si="7"/>
        <v>0</v>
      </c>
      <c r="K15" s="367">
        <f t="shared" si="8"/>
        <v>0</v>
      </c>
      <c r="L15" s="371">
        <f t="shared" si="9"/>
        <v>0.7912451745281246</v>
      </c>
      <c r="M15" s="118">
        <f>L15*D15*'B) D RI'!S17</f>
        <v>86233.064100773132</v>
      </c>
      <c r="V15" s="15"/>
    </row>
    <row r="16" spans="1:22" x14ac:dyDescent="0.25">
      <c r="A16" s="290">
        <f>'A) Base RI'!A18</f>
        <v>5412</v>
      </c>
      <c r="B16" s="32" t="str">
        <f>'A) Base RI'!B18</f>
        <v>Rennaz</v>
      </c>
      <c r="C16" s="288">
        <f>'B) D RI'!U18</f>
        <v>24302.490518518523</v>
      </c>
      <c r="D16" s="32">
        <f>'B) D RI'!AA18</f>
        <v>871</v>
      </c>
      <c r="E16" s="205">
        <f t="shared" si="2"/>
        <v>27.901826083258925</v>
      </c>
      <c r="F16" s="364">
        <f t="shared" si="3"/>
        <v>0.59208464406760963</v>
      </c>
      <c r="G16" s="375">
        <f t="shared" si="4"/>
        <v>0</v>
      </c>
      <c r="H16" s="372">
        <f t="shared" si="5"/>
        <v>0</v>
      </c>
      <c r="I16" s="375">
        <f t="shared" si="6"/>
        <v>0</v>
      </c>
      <c r="J16" s="372">
        <f t="shared" si="7"/>
        <v>0</v>
      </c>
      <c r="K16" s="367">
        <f t="shared" si="8"/>
        <v>0</v>
      </c>
      <c r="L16" s="371">
        <f t="shared" si="9"/>
        <v>0</v>
      </c>
      <c r="M16" s="118">
        <f>L16*D16*'B) D RI'!S18</f>
        <v>0</v>
      </c>
      <c r="V16" s="15"/>
    </row>
    <row r="17" spans="1:22" x14ac:dyDescent="0.25">
      <c r="A17" s="290">
        <f>'A) Base RI'!A19</f>
        <v>5413</v>
      </c>
      <c r="B17" s="32" t="str">
        <f>'A) Base RI'!B19</f>
        <v>Roche</v>
      </c>
      <c r="C17" s="288">
        <f>'B) D RI'!U19</f>
        <v>45084.327818627447</v>
      </c>
      <c r="D17" s="32">
        <f>'B) D RI'!AA19</f>
        <v>1826</v>
      </c>
      <c r="E17" s="205">
        <f t="shared" si="2"/>
        <v>24.690212386981077</v>
      </c>
      <c r="F17" s="364">
        <f t="shared" si="3"/>
        <v>0.52393329273421951</v>
      </c>
      <c r="G17" s="375">
        <f t="shared" si="4"/>
        <v>0</v>
      </c>
      <c r="H17" s="372">
        <f t="shared" si="5"/>
        <v>0</v>
      </c>
      <c r="I17" s="375">
        <f t="shared" si="6"/>
        <v>0</v>
      </c>
      <c r="J17" s="372">
        <f t="shared" si="7"/>
        <v>0</v>
      </c>
      <c r="K17" s="367">
        <f t="shared" si="8"/>
        <v>0</v>
      </c>
      <c r="L17" s="371">
        <f t="shared" si="9"/>
        <v>0</v>
      </c>
      <c r="M17" s="118">
        <f>L17*D17*'B) D RI'!S19</f>
        <v>0</v>
      </c>
      <c r="V17" s="15"/>
    </row>
    <row r="18" spans="1:22" x14ac:dyDescent="0.25">
      <c r="A18" s="290">
        <f>'A) Base RI'!A20</f>
        <v>5414</v>
      </c>
      <c r="B18" s="32" t="str">
        <f>'A) Base RI'!B20</f>
        <v>Villeneuve</v>
      </c>
      <c r="C18" s="288">
        <f>'B) D RI'!U20</f>
        <v>167595.35260869566</v>
      </c>
      <c r="D18" s="32">
        <f>'B) D RI'!AA20</f>
        <v>5772</v>
      </c>
      <c r="E18" s="205">
        <f t="shared" si="2"/>
        <v>29.035923875380398</v>
      </c>
      <c r="F18" s="364">
        <f t="shared" si="3"/>
        <v>0.61615052009960858</v>
      </c>
      <c r="G18" s="375">
        <f t="shared" si="4"/>
        <v>0</v>
      </c>
      <c r="H18" s="372">
        <f t="shared" si="5"/>
        <v>0</v>
      </c>
      <c r="I18" s="375">
        <f t="shared" si="6"/>
        <v>0</v>
      </c>
      <c r="J18" s="372">
        <f t="shared" si="7"/>
        <v>0</v>
      </c>
      <c r="K18" s="367">
        <f t="shared" si="8"/>
        <v>0</v>
      </c>
      <c r="L18" s="371">
        <f t="shared" si="9"/>
        <v>0</v>
      </c>
      <c r="M18" s="118">
        <f>L18*D18*'B) D RI'!S20</f>
        <v>0</v>
      </c>
      <c r="V18" s="15"/>
    </row>
    <row r="19" spans="1:22" x14ac:dyDescent="0.25">
      <c r="A19" s="290">
        <f>'A) Base RI'!A21</f>
        <v>5415</v>
      </c>
      <c r="B19" s="32" t="str">
        <f>'A) Base RI'!B21</f>
        <v>Yvorne</v>
      </c>
      <c r="C19" s="288">
        <f>'B) D RI'!U21</f>
        <v>39170.690675990678</v>
      </c>
      <c r="D19" s="32">
        <f>'B) D RI'!AA21</f>
        <v>1071</v>
      </c>
      <c r="E19" s="205">
        <f t="shared" si="2"/>
        <v>36.573940873940877</v>
      </c>
      <c r="F19" s="364">
        <f t="shared" si="3"/>
        <v>0.77610937362590726</v>
      </c>
      <c r="G19" s="375">
        <f t="shared" si="4"/>
        <v>0</v>
      </c>
      <c r="H19" s="372">
        <f t="shared" si="5"/>
        <v>0</v>
      </c>
      <c r="I19" s="375">
        <f t="shared" si="6"/>
        <v>0</v>
      </c>
      <c r="J19" s="372">
        <f t="shared" si="7"/>
        <v>0</v>
      </c>
      <c r="K19" s="367">
        <f t="shared" si="8"/>
        <v>0</v>
      </c>
      <c r="L19" s="371">
        <f t="shared" si="9"/>
        <v>0</v>
      </c>
      <c r="M19" s="118">
        <f>L19*D19*'B) D RI'!S21</f>
        <v>0</v>
      </c>
      <c r="V19" s="15"/>
    </row>
    <row r="20" spans="1:22" x14ac:dyDescent="0.25">
      <c r="A20" s="290">
        <f>'A) Base RI'!A22</f>
        <v>5421</v>
      </c>
      <c r="B20" s="32" t="str">
        <f>'A) Base RI'!B22</f>
        <v>Apples</v>
      </c>
      <c r="C20" s="288">
        <f>'B) D RI'!U22</f>
        <v>70612.156710526324</v>
      </c>
      <c r="D20" s="32">
        <f>'B) D RI'!AA22</f>
        <v>1460</v>
      </c>
      <c r="E20" s="205">
        <f t="shared" si="2"/>
        <v>48.364490897620769</v>
      </c>
      <c r="F20" s="364">
        <f t="shared" si="3"/>
        <v>1.0263081811627535</v>
      </c>
      <c r="G20" s="375">
        <f t="shared" si="4"/>
        <v>1.2397658049820919</v>
      </c>
      <c r="H20" s="372">
        <f t="shared" si="5"/>
        <v>0</v>
      </c>
      <c r="I20" s="375">
        <f t="shared" si="6"/>
        <v>0</v>
      </c>
      <c r="J20" s="372">
        <f t="shared" si="7"/>
        <v>0</v>
      </c>
      <c r="K20" s="367">
        <f t="shared" si="8"/>
        <v>0</v>
      </c>
      <c r="L20" s="371">
        <f t="shared" si="9"/>
        <v>0.2479531609964184</v>
      </c>
      <c r="M20" s="118">
        <f>L20*D20*'B) D RI'!S22</f>
        <v>27512.882744162584</v>
      </c>
      <c r="V20" s="15"/>
    </row>
    <row r="21" spans="1:22" x14ac:dyDescent="0.25">
      <c r="A21" s="290">
        <f>'A) Base RI'!A23</f>
        <v>5422</v>
      </c>
      <c r="B21" s="32" t="str">
        <f>'A) Base RI'!B23</f>
        <v>Aubonne</v>
      </c>
      <c r="C21" s="288">
        <f>'B) D RI'!U23</f>
        <v>231171.83385714272</v>
      </c>
      <c r="D21" s="32">
        <f>'B) D RI'!AA23</f>
        <v>3276</v>
      </c>
      <c r="E21" s="205">
        <f t="shared" si="2"/>
        <v>70.56527285016567</v>
      </c>
      <c r="F21" s="364">
        <f t="shared" si="3"/>
        <v>1.4974150557153834</v>
      </c>
      <c r="G21" s="375">
        <f t="shared" si="4"/>
        <v>23.440547757526993</v>
      </c>
      <c r="H21" s="372">
        <f t="shared" si="5"/>
        <v>14.015602738999256</v>
      </c>
      <c r="I21" s="375">
        <f t="shared" si="6"/>
        <v>0</v>
      </c>
      <c r="J21" s="372">
        <f t="shared" si="7"/>
        <v>0</v>
      </c>
      <c r="K21" s="367">
        <f t="shared" si="8"/>
        <v>0</v>
      </c>
      <c r="L21" s="371">
        <f t="shared" si="9"/>
        <v>6.0896698254053234</v>
      </c>
      <c r="M21" s="118">
        <f>L21*D21*'B) D RI'!S23</f>
        <v>1396483.0843619488</v>
      </c>
      <c r="V21" s="15"/>
    </row>
    <row r="22" spans="1:22" x14ac:dyDescent="0.25">
      <c r="A22" s="290">
        <f>'A) Base RI'!A24</f>
        <v>5423</v>
      </c>
      <c r="B22" s="32" t="str">
        <f>'A) Base RI'!B24</f>
        <v>Ballens</v>
      </c>
      <c r="C22" s="288">
        <f>'B) D RI'!U24</f>
        <v>16262.42684931507</v>
      </c>
      <c r="D22" s="32">
        <f>'B) D RI'!AA24</f>
        <v>545</v>
      </c>
      <c r="E22" s="205">
        <f t="shared" si="2"/>
        <v>29.839315319844165</v>
      </c>
      <c r="F22" s="364">
        <f t="shared" si="3"/>
        <v>0.63319871386380444</v>
      </c>
      <c r="G22" s="375">
        <f t="shared" si="4"/>
        <v>0</v>
      </c>
      <c r="H22" s="372">
        <f t="shared" si="5"/>
        <v>0</v>
      </c>
      <c r="I22" s="375">
        <f t="shared" si="6"/>
        <v>0</v>
      </c>
      <c r="J22" s="372">
        <f t="shared" si="7"/>
        <v>0</v>
      </c>
      <c r="K22" s="367">
        <f t="shared" si="8"/>
        <v>0</v>
      </c>
      <c r="L22" s="371">
        <f t="shared" si="9"/>
        <v>0</v>
      </c>
      <c r="M22" s="118">
        <f>L22*D22*'B) D RI'!S24</f>
        <v>0</v>
      </c>
    </row>
    <row r="23" spans="1:22" x14ac:dyDescent="0.25">
      <c r="A23" s="290">
        <f>'A) Base RI'!A25</f>
        <v>5424</v>
      </c>
      <c r="B23" s="32" t="str">
        <f>'A) Base RI'!B25</f>
        <v>Berolle</v>
      </c>
      <c r="C23" s="288">
        <f>'B) D RI'!U25</f>
        <v>9281.7425974025955</v>
      </c>
      <c r="D23" s="32">
        <f>'B) D RI'!AA25</f>
        <v>300</v>
      </c>
      <c r="E23" s="205">
        <f t="shared" si="2"/>
        <v>30.939141991341984</v>
      </c>
      <c r="F23" s="364">
        <f t="shared" si="3"/>
        <v>0.65653734701945177</v>
      </c>
      <c r="G23" s="375">
        <f t="shared" si="4"/>
        <v>0</v>
      </c>
      <c r="H23" s="372">
        <f t="shared" si="5"/>
        <v>0</v>
      </c>
      <c r="I23" s="375">
        <f t="shared" si="6"/>
        <v>0</v>
      </c>
      <c r="J23" s="372">
        <f t="shared" si="7"/>
        <v>0</v>
      </c>
      <c r="K23" s="367">
        <f t="shared" si="8"/>
        <v>0</v>
      </c>
      <c r="L23" s="371">
        <f t="shared" si="9"/>
        <v>0</v>
      </c>
      <c r="M23" s="118">
        <f>L23*D23*'B) D RI'!S25</f>
        <v>0</v>
      </c>
    </row>
    <row r="24" spans="1:22" x14ac:dyDescent="0.25">
      <c r="A24" s="290">
        <f>'A) Base RI'!A26</f>
        <v>5425</v>
      </c>
      <c r="B24" s="32" t="str">
        <f>'A) Base RI'!B26</f>
        <v>Bière</v>
      </c>
      <c r="C24" s="288">
        <f>'B) D RI'!U26</f>
        <v>39522.239817733993</v>
      </c>
      <c r="D24" s="32">
        <f>'B) D RI'!AA26</f>
        <v>1596</v>
      </c>
      <c r="E24" s="205">
        <f t="shared" si="2"/>
        <v>24.763308156474931</v>
      </c>
      <c r="F24" s="364">
        <f t="shared" si="3"/>
        <v>0.52548440564469612</v>
      </c>
      <c r="G24" s="375">
        <f t="shared" si="4"/>
        <v>0</v>
      </c>
      <c r="H24" s="372">
        <f t="shared" si="5"/>
        <v>0</v>
      </c>
      <c r="I24" s="375">
        <f t="shared" si="6"/>
        <v>0</v>
      </c>
      <c r="J24" s="372">
        <f t="shared" si="7"/>
        <v>0</v>
      </c>
      <c r="K24" s="367">
        <f t="shared" si="8"/>
        <v>0</v>
      </c>
      <c r="L24" s="371">
        <f t="shared" si="9"/>
        <v>0</v>
      </c>
      <c r="M24" s="118">
        <f>L24*D24*'B) D RI'!S26</f>
        <v>0</v>
      </c>
    </row>
    <row r="25" spans="1:22" x14ac:dyDescent="0.25">
      <c r="A25" s="290">
        <f>'A) Base RI'!A27</f>
        <v>5426</v>
      </c>
      <c r="B25" s="32" t="str">
        <f>'A) Base RI'!B27</f>
        <v>Bougy-Villars</v>
      </c>
      <c r="C25" s="288">
        <f>'B) D RI'!U27</f>
        <v>52073.160505050502</v>
      </c>
      <c r="D25" s="32">
        <f>'B) D RI'!AA27</f>
        <v>475</v>
      </c>
      <c r="E25" s="205">
        <f t="shared" si="2"/>
        <v>109.62770632642211</v>
      </c>
      <c r="F25" s="364">
        <f t="shared" si="3"/>
        <v>2.3263309464599295</v>
      </c>
      <c r="G25" s="375">
        <f t="shared" si="4"/>
        <v>62.502981233783437</v>
      </c>
      <c r="H25" s="372">
        <f t="shared" si="5"/>
        <v>53.0780362152557</v>
      </c>
      <c r="I25" s="375">
        <f t="shared" si="6"/>
        <v>38.940618687464095</v>
      </c>
      <c r="J25" s="372">
        <f t="shared" si="7"/>
        <v>15.37825614114476</v>
      </c>
      <c r="K25" s="367">
        <f t="shared" si="8"/>
        <v>0</v>
      </c>
      <c r="L25" s="371">
        <f t="shared" si="9"/>
        <v>23.240287351143145</v>
      </c>
      <c r="M25" s="118">
        <f>L25*D25*'B) D RI'!S27</f>
        <v>728583.00845833751</v>
      </c>
    </row>
    <row r="26" spans="1:22" x14ac:dyDescent="0.25">
      <c r="A26" s="290">
        <f>'A) Base RI'!A28</f>
        <v>5427</v>
      </c>
      <c r="B26" s="32" t="str">
        <f>'A) Base RI'!B28</f>
        <v>Féchy</v>
      </c>
      <c r="C26" s="288">
        <f>'B) D RI'!U28</f>
        <v>86749.440144230772</v>
      </c>
      <c r="D26" s="32">
        <f>'B) D RI'!AA28</f>
        <v>861</v>
      </c>
      <c r="E26" s="205">
        <f t="shared" si="2"/>
        <v>100.75428588180112</v>
      </c>
      <c r="F26" s="364">
        <f t="shared" si="3"/>
        <v>2.1380344539673484</v>
      </c>
      <c r="G26" s="375">
        <f t="shared" si="4"/>
        <v>53.629560789162447</v>
      </c>
      <c r="H26" s="372">
        <f t="shared" si="5"/>
        <v>44.20461577063471</v>
      </c>
      <c r="I26" s="375">
        <f t="shared" si="6"/>
        <v>30.067198242843105</v>
      </c>
      <c r="J26" s="372">
        <f t="shared" si="7"/>
        <v>6.5048356965237701</v>
      </c>
      <c r="K26" s="367">
        <f t="shared" si="8"/>
        <v>0</v>
      </c>
      <c r="L26" s="371">
        <f t="shared" si="9"/>
        <v>18.80357712883265</v>
      </c>
      <c r="M26" s="118">
        <f>L26*D26*'B) D RI'!S28</f>
        <v>1036152.3141071943</v>
      </c>
    </row>
    <row r="27" spans="1:22" x14ac:dyDescent="0.25">
      <c r="A27" s="290">
        <f>'A) Base RI'!A29</f>
        <v>5428</v>
      </c>
      <c r="B27" s="32" t="str">
        <f>'A) Base RI'!B29</f>
        <v>Gimel</v>
      </c>
      <c r="C27" s="288">
        <f>'B) D RI'!U29</f>
        <v>66171.009865771834</v>
      </c>
      <c r="D27" s="32">
        <f>'B) D RI'!AA29</f>
        <v>2238</v>
      </c>
      <c r="E27" s="205">
        <f t="shared" si="2"/>
        <v>29.567028536984733</v>
      </c>
      <c r="F27" s="364">
        <f t="shared" si="3"/>
        <v>0.62742071129033239</v>
      </c>
      <c r="G27" s="375">
        <f t="shared" si="4"/>
        <v>0</v>
      </c>
      <c r="H27" s="372">
        <f t="shared" si="5"/>
        <v>0</v>
      </c>
      <c r="I27" s="375">
        <f t="shared" si="6"/>
        <v>0</v>
      </c>
      <c r="J27" s="372">
        <f t="shared" si="7"/>
        <v>0</v>
      </c>
      <c r="K27" s="367">
        <f t="shared" si="8"/>
        <v>0</v>
      </c>
      <c r="L27" s="371">
        <f t="shared" si="9"/>
        <v>0</v>
      </c>
      <c r="M27" s="118">
        <f>L27*D27*'B) D RI'!S29</f>
        <v>0</v>
      </c>
    </row>
    <row r="28" spans="1:22" x14ac:dyDescent="0.25">
      <c r="A28" s="290">
        <f>'A) Base RI'!A30</f>
        <v>5429</v>
      </c>
      <c r="B28" s="32" t="str">
        <f>'A) Base RI'!B30</f>
        <v>Longirod</v>
      </c>
      <c r="C28" s="288">
        <f>'B) D RI'!U30</f>
        <v>15311.416666666666</v>
      </c>
      <c r="D28" s="32">
        <f>'B) D RI'!AA30</f>
        <v>482</v>
      </c>
      <c r="E28" s="205">
        <f t="shared" si="2"/>
        <v>31.766424619640386</v>
      </c>
      <c r="F28" s="364">
        <f t="shared" si="3"/>
        <v>0.67409251846442275</v>
      </c>
      <c r="G28" s="375">
        <f t="shared" si="4"/>
        <v>0</v>
      </c>
      <c r="H28" s="372">
        <f t="shared" si="5"/>
        <v>0</v>
      </c>
      <c r="I28" s="375">
        <f t="shared" si="6"/>
        <v>0</v>
      </c>
      <c r="J28" s="372">
        <f t="shared" si="7"/>
        <v>0</v>
      </c>
      <c r="K28" s="367">
        <f t="shared" si="8"/>
        <v>0</v>
      </c>
      <c r="L28" s="371">
        <f t="shared" si="9"/>
        <v>0</v>
      </c>
      <c r="M28" s="118">
        <f>L28*D28*'B) D RI'!S30</f>
        <v>0</v>
      </c>
    </row>
    <row r="29" spans="1:22" x14ac:dyDescent="0.25">
      <c r="A29" s="290">
        <f>'A) Base RI'!A31</f>
        <v>5430</v>
      </c>
      <c r="B29" s="32" t="str">
        <f>'A) Base RI'!B31</f>
        <v>Marchissy</v>
      </c>
      <c r="C29" s="288">
        <f>'B) D RI'!U31</f>
        <v>14827.393037974683</v>
      </c>
      <c r="D29" s="32">
        <f>'B) D RI'!AA31</f>
        <v>472</v>
      </c>
      <c r="E29" s="205">
        <f t="shared" si="2"/>
        <v>31.413968300793822</v>
      </c>
      <c r="F29" s="364">
        <f t="shared" si="3"/>
        <v>0.6666132956540255</v>
      </c>
      <c r="G29" s="375">
        <f t="shared" si="4"/>
        <v>0</v>
      </c>
      <c r="H29" s="372">
        <f t="shared" si="5"/>
        <v>0</v>
      </c>
      <c r="I29" s="375">
        <f t="shared" si="6"/>
        <v>0</v>
      </c>
      <c r="J29" s="372">
        <f t="shared" si="7"/>
        <v>0</v>
      </c>
      <c r="K29" s="367">
        <f t="shared" si="8"/>
        <v>0</v>
      </c>
      <c r="L29" s="371">
        <f t="shared" si="9"/>
        <v>0</v>
      </c>
      <c r="M29" s="118">
        <f>L29*D29*'B) D RI'!S31</f>
        <v>0</v>
      </c>
    </row>
    <row r="30" spans="1:22" x14ac:dyDescent="0.25">
      <c r="A30" s="290">
        <f>'A) Base RI'!A32</f>
        <v>5431</v>
      </c>
      <c r="B30" s="32" t="str">
        <f>'A) Base RI'!B32</f>
        <v>Mollens</v>
      </c>
      <c r="C30" s="288">
        <f>'B) D RI'!U32</f>
        <v>10626.755405405405</v>
      </c>
      <c r="D30" s="32">
        <f>'B) D RI'!AA32</f>
        <v>308</v>
      </c>
      <c r="E30" s="205">
        <f t="shared" si="2"/>
        <v>34.502452614952617</v>
      </c>
      <c r="F30" s="364">
        <f t="shared" si="3"/>
        <v>0.73215180666045354</v>
      </c>
      <c r="G30" s="375">
        <f t="shared" si="4"/>
        <v>0</v>
      </c>
      <c r="H30" s="372">
        <f t="shared" si="5"/>
        <v>0</v>
      </c>
      <c r="I30" s="375">
        <f t="shared" si="6"/>
        <v>0</v>
      </c>
      <c r="J30" s="372">
        <f t="shared" si="7"/>
        <v>0</v>
      </c>
      <c r="K30" s="367">
        <f t="shared" si="8"/>
        <v>0</v>
      </c>
      <c r="L30" s="371">
        <f t="shared" si="9"/>
        <v>0</v>
      </c>
      <c r="M30" s="118">
        <f>L30*D30*'B) D RI'!S32</f>
        <v>0</v>
      </c>
    </row>
    <row r="31" spans="1:22" x14ac:dyDescent="0.25">
      <c r="A31" s="290">
        <f>'A) Base RI'!A33</f>
        <v>5432</v>
      </c>
      <c r="B31" s="32" t="str">
        <f>'A) Base RI'!B33</f>
        <v>Montherod</v>
      </c>
      <c r="C31" s="288">
        <f>'B) D RI'!U33</f>
        <v>16078.014230769231</v>
      </c>
      <c r="D31" s="32">
        <f>'B) D RI'!AA33</f>
        <v>541</v>
      </c>
      <c r="E31" s="205">
        <f t="shared" si="2"/>
        <v>29.719065121569745</v>
      </c>
      <c r="F31" s="364">
        <f t="shared" si="3"/>
        <v>0.63064697063266562</v>
      </c>
      <c r="G31" s="375">
        <f t="shared" si="4"/>
        <v>0</v>
      </c>
      <c r="H31" s="372">
        <f t="shared" si="5"/>
        <v>0</v>
      </c>
      <c r="I31" s="375">
        <f t="shared" si="6"/>
        <v>0</v>
      </c>
      <c r="J31" s="372">
        <f t="shared" si="7"/>
        <v>0</v>
      </c>
      <c r="K31" s="367">
        <f t="shared" si="8"/>
        <v>0</v>
      </c>
      <c r="L31" s="371">
        <f t="shared" si="9"/>
        <v>0</v>
      </c>
      <c r="M31" s="118">
        <f>L31*D31*'B) D RI'!S33</f>
        <v>0</v>
      </c>
    </row>
    <row r="32" spans="1:22" x14ac:dyDescent="0.25">
      <c r="A32" s="290">
        <f>'A) Base RI'!A34</f>
        <v>5434</v>
      </c>
      <c r="B32" s="32" t="str">
        <f>'A) Base RI'!B34</f>
        <v>Saint-George</v>
      </c>
      <c r="C32" s="288">
        <f>'B) D RI'!U34</f>
        <v>39905.96180751174</v>
      </c>
      <c r="D32" s="32">
        <f>'B) D RI'!AA34</f>
        <v>1063</v>
      </c>
      <c r="E32" s="205">
        <f t="shared" si="2"/>
        <v>37.54088599013334</v>
      </c>
      <c r="F32" s="364">
        <f t="shared" si="3"/>
        <v>0.79662822258028576</v>
      </c>
      <c r="G32" s="375">
        <f t="shared" si="4"/>
        <v>0</v>
      </c>
      <c r="H32" s="372">
        <f t="shared" si="5"/>
        <v>0</v>
      </c>
      <c r="I32" s="375">
        <f t="shared" si="6"/>
        <v>0</v>
      </c>
      <c r="J32" s="372">
        <f t="shared" si="7"/>
        <v>0</v>
      </c>
      <c r="K32" s="367">
        <f t="shared" si="8"/>
        <v>0</v>
      </c>
      <c r="L32" s="371">
        <f t="shared" si="9"/>
        <v>0</v>
      </c>
      <c r="M32" s="118">
        <f>L32*D32*'B) D RI'!S34</f>
        <v>0</v>
      </c>
    </row>
    <row r="33" spans="1:13" x14ac:dyDescent="0.25">
      <c r="A33" s="290">
        <f>'A) Base RI'!A35</f>
        <v>5435</v>
      </c>
      <c r="B33" s="32" t="str">
        <f>'A) Base RI'!B35</f>
        <v>Saint-Livres</v>
      </c>
      <c r="C33" s="288">
        <f>'B) D RI'!U35</f>
        <v>24331.716956521734</v>
      </c>
      <c r="D33" s="32">
        <f>'B) D RI'!AA35</f>
        <v>691</v>
      </c>
      <c r="E33" s="205">
        <f t="shared" si="2"/>
        <v>35.212325552129862</v>
      </c>
      <c r="F33" s="364">
        <f t="shared" si="3"/>
        <v>0.74721551123977503</v>
      </c>
      <c r="G33" s="375">
        <f t="shared" si="4"/>
        <v>0</v>
      </c>
      <c r="H33" s="372">
        <f t="shared" si="5"/>
        <v>0</v>
      </c>
      <c r="I33" s="375">
        <f t="shared" si="6"/>
        <v>0</v>
      </c>
      <c r="J33" s="372">
        <f t="shared" si="7"/>
        <v>0</v>
      </c>
      <c r="K33" s="367">
        <f t="shared" si="8"/>
        <v>0</v>
      </c>
      <c r="L33" s="371">
        <f t="shared" si="9"/>
        <v>0</v>
      </c>
      <c r="M33" s="118">
        <f>L33*D33*'B) D RI'!S35</f>
        <v>0</v>
      </c>
    </row>
    <row r="34" spans="1:13" x14ac:dyDescent="0.25">
      <c r="A34" s="290">
        <f>'A) Base RI'!A36</f>
        <v>5436</v>
      </c>
      <c r="B34" s="32" t="str">
        <f>'A) Base RI'!B36</f>
        <v>Saint-Oyens</v>
      </c>
      <c r="C34" s="288">
        <f>'B) D RI'!U36</f>
        <v>16564.840617283953</v>
      </c>
      <c r="D34" s="32">
        <f>'B) D RI'!AA36</f>
        <v>447</v>
      </c>
      <c r="E34" s="205">
        <f t="shared" si="2"/>
        <v>37.057808987212425</v>
      </c>
      <c r="F34" s="364">
        <f t="shared" si="3"/>
        <v>0.78637719189583566</v>
      </c>
      <c r="G34" s="375">
        <f t="shared" si="4"/>
        <v>0</v>
      </c>
      <c r="H34" s="372">
        <f t="shared" si="5"/>
        <v>0</v>
      </c>
      <c r="I34" s="375">
        <f t="shared" si="6"/>
        <v>0</v>
      </c>
      <c r="J34" s="372">
        <f t="shared" si="7"/>
        <v>0</v>
      </c>
      <c r="K34" s="367">
        <f t="shared" si="8"/>
        <v>0</v>
      </c>
      <c r="L34" s="371">
        <f t="shared" si="9"/>
        <v>0</v>
      </c>
      <c r="M34" s="118">
        <f>L34*D34*'B) D RI'!S36</f>
        <v>0</v>
      </c>
    </row>
    <row r="35" spans="1:13" x14ac:dyDescent="0.25">
      <c r="A35" s="290">
        <f>'A) Base RI'!A37</f>
        <v>5437</v>
      </c>
      <c r="B35" s="32" t="str">
        <f>'A) Base RI'!B37</f>
        <v>Saubraz</v>
      </c>
      <c r="C35" s="288">
        <f>'B) D RI'!U37</f>
        <v>13155.785124999999</v>
      </c>
      <c r="D35" s="32">
        <f>'B) D RI'!AA37</f>
        <v>423</v>
      </c>
      <c r="E35" s="205">
        <f t="shared" si="2"/>
        <v>31.10114686761229</v>
      </c>
      <c r="F35" s="364">
        <f t="shared" si="3"/>
        <v>0.65997513633178906</v>
      </c>
      <c r="G35" s="375">
        <f t="shared" si="4"/>
        <v>0</v>
      </c>
      <c r="H35" s="372">
        <f t="shared" si="5"/>
        <v>0</v>
      </c>
      <c r="I35" s="375">
        <f t="shared" si="6"/>
        <v>0</v>
      </c>
      <c r="J35" s="372">
        <f t="shared" si="7"/>
        <v>0</v>
      </c>
      <c r="K35" s="367">
        <f t="shared" si="8"/>
        <v>0</v>
      </c>
      <c r="L35" s="371">
        <f t="shared" si="9"/>
        <v>0</v>
      </c>
      <c r="M35" s="118">
        <f>L35*D35*'B) D RI'!S37</f>
        <v>0</v>
      </c>
    </row>
    <row r="36" spans="1:13" x14ac:dyDescent="0.25">
      <c r="A36" s="290">
        <f>'A) Base RI'!A38</f>
        <v>5451</v>
      </c>
      <c r="B36" s="32" t="str">
        <f>'A) Base RI'!B38</f>
        <v>Avenches</v>
      </c>
      <c r="C36" s="288">
        <f>'B) D RI'!U38</f>
        <v>129378.19823529426</v>
      </c>
      <c r="D36" s="32">
        <f>'B) D RI'!AA38</f>
        <v>4305</v>
      </c>
      <c r="E36" s="205">
        <f t="shared" si="2"/>
        <v>30.053007720161268</v>
      </c>
      <c r="F36" s="364">
        <f t="shared" si="3"/>
        <v>0.63773332706095365</v>
      </c>
      <c r="G36" s="375">
        <f t="shared" si="4"/>
        <v>0</v>
      </c>
      <c r="H36" s="372">
        <f t="shared" si="5"/>
        <v>0</v>
      </c>
      <c r="I36" s="375">
        <f t="shared" si="6"/>
        <v>0</v>
      </c>
      <c r="J36" s="372">
        <f t="shared" si="7"/>
        <v>0</v>
      </c>
      <c r="K36" s="367">
        <f t="shared" si="8"/>
        <v>0</v>
      </c>
      <c r="L36" s="371">
        <f t="shared" si="9"/>
        <v>0</v>
      </c>
      <c r="M36" s="118">
        <f>L36*D36*'B) D RI'!S38</f>
        <v>0</v>
      </c>
    </row>
    <row r="37" spans="1:13" x14ac:dyDescent="0.25">
      <c r="A37" s="290">
        <f>'A) Base RI'!A39</f>
        <v>5456</v>
      </c>
      <c r="B37" s="32" t="str">
        <f>'A) Base RI'!B39</f>
        <v>Cudrefin</v>
      </c>
      <c r="C37" s="288">
        <f>'B) D RI'!U39</f>
        <v>57755.250790960446</v>
      </c>
      <c r="D37" s="32">
        <f>'B) D RI'!AA39</f>
        <v>1735</v>
      </c>
      <c r="E37" s="205">
        <f t="shared" si="2"/>
        <v>33.28832898614435</v>
      </c>
      <c r="F37" s="364">
        <f t="shared" si="3"/>
        <v>0.70638775973134105</v>
      </c>
      <c r="G37" s="375">
        <f t="shared" si="4"/>
        <v>0</v>
      </c>
      <c r="H37" s="372">
        <f t="shared" si="5"/>
        <v>0</v>
      </c>
      <c r="I37" s="375">
        <f t="shared" si="6"/>
        <v>0</v>
      </c>
      <c r="J37" s="372">
        <f t="shared" si="7"/>
        <v>0</v>
      </c>
      <c r="K37" s="367">
        <f t="shared" si="8"/>
        <v>0</v>
      </c>
      <c r="L37" s="371">
        <f t="shared" si="9"/>
        <v>0</v>
      </c>
      <c r="M37" s="118">
        <f>L37*D37*'B) D RI'!S39</f>
        <v>0</v>
      </c>
    </row>
    <row r="38" spans="1:13" x14ac:dyDescent="0.25">
      <c r="A38" s="290">
        <f>'A) Base RI'!A40</f>
        <v>5458</v>
      </c>
      <c r="B38" s="32" t="str">
        <f>'A) Base RI'!B40</f>
        <v>Faoug</v>
      </c>
      <c r="C38" s="288">
        <f>'B) D RI'!U40</f>
        <v>33143.605656565654</v>
      </c>
      <c r="D38" s="32">
        <f>'B) D RI'!AA40</f>
        <v>884</v>
      </c>
      <c r="E38" s="205">
        <f t="shared" si="2"/>
        <v>37.4927665798254</v>
      </c>
      <c r="F38" s="364">
        <f t="shared" si="3"/>
        <v>0.7956071150785794</v>
      </c>
      <c r="G38" s="375">
        <f t="shared" si="4"/>
        <v>0</v>
      </c>
      <c r="H38" s="372">
        <f t="shared" si="5"/>
        <v>0</v>
      </c>
      <c r="I38" s="375">
        <f t="shared" si="6"/>
        <v>0</v>
      </c>
      <c r="J38" s="372">
        <f t="shared" si="7"/>
        <v>0</v>
      </c>
      <c r="K38" s="367">
        <f t="shared" si="8"/>
        <v>0</v>
      </c>
      <c r="L38" s="371">
        <f t="shared" si="9"/>
        <v>0</v>
      </c>
      <c r="M38" s="118">
        <f>L38*D38*'B) D RI'!S40</f>
        <v>0</v>
      </c>
    </row>
    <row r="39" spans="1:13" x14ac:dyDescent="0.25">
      <c r="A39" s="290">
        <f>'A) Base RI'!A41</f>
        <v>5464</v>
      </c>
      <c r="B39" s="32" t="str">
        <f>'A) Base RI'!B41</f>
        <v>Vully-les-Lacs</v>
      </c>
      <c r="C39" s="288">
        <f>'B) D RI'!U41</f>
        <v>112741.2284079602</v>
      </c>
      <c r="D39" s="32">
        <f>'B) D RI'!AA41</f>
        <v>3278</v>
      </c>
      <c r="E39" s="205">
        <f t="shared" si="2"/>
        <v>34.393297256851795</v>
      </c>
      <c r="F39" s="364">
        <f t="shared" si="3"/>
        <v>0.72983549907698775</v>
      </c>
      <c r="G39" s="375">
        <f t="shared" si="4"/>
        <v>0</v>
      </c>
      <c r="H39" s="372">
        <f t="shared" si="5"/>
        <v>0</v>
      </c>
      <c r="I39" s="375">
        <f t="shared" si="6"/>
        <v>0</v>
      </c>
      <c r="J39" s="372">
        <f t="shared" si="7"/>
        <v>0</v>
      </c>
      <c r="K39" s="367">
        <f t="shared" si="8"/>
        <v>0</v>
      </c>
      <c r="L39" s="371">
        <f t="shared" si="9"/>
        <v>0</v>
      </c>
      <c r="M39" s="118">
        <f>L39*D39*'B) D RI'!S41</f>
        <v>0</v>
      </c>
    </row>
    <row r="40" spans="1:13" x14ac:dyDescent="0.25">
      <c r="A40" s="290">
        <f>'A) Base RI'!A42</f>
        <v>5471</v>
      </c>
      <c r="B40" s="32" t="str">
        <f>'A) Base RI'!B42</f>
        <v>Bettens</v>
      </c>
      <c r="C40" s="288">
        <f>'B) D RI'!U42</f>
        <v>21708.019984126982</v>
      </c>
      <c r="D40" s="32">
        <f>'B) D RI'!AA42</f>
        <v>650</v>
      </c>
      <c r="E40" s="205">
        <f t="shared" si="2"/>
        <v>33.396953821733817</v>
      </c>
      <c r="F40" s="364">
        <f t="shared" si="3"/>
        <v>0.70869280947700919</v>
      </c>
      <c r="G40" s="375">
        <f t="shared" si="4"/>
        <v>0</v>
      </c>
      <c r="H40" s="372">
        <f t="shared" si="5"/>
        <v>0</v>
      </c>
      <c r="I40" s="375">
        <f t="shared" si="6"/>
        <v>0</v>
      </c>
      <c r="J40" s="372">
        <f t="shared" si="7"/>
        <v>0</v>
      </c>
      <c r="K40" s="367">
        <f t="shared" si="8"/>
        <v>0</v>
      </c>
      <c r="L40" s="371">
        <f t="shared" si="9"/>
        <v>0</v>
      </c>
      <c r="M40" s="118">
        <f>L40*D40*'B) D RI'!S42</f>
        <v>0</v>
      </c>
    </row>
    <row r="41" spans="1:13" x14ac:dyDescent="0.25">
      <c r="A41" s="290">
        <f>'A) Base RI'!A43</f>
        <v>5472</v>
      </c>
      <c r="B41" s="32" t="str">
        <f>'A) Base RI'!B43</f>
        <v>Bournens</v>
      </c>
      <c r="C41" s="288">
        <f>'B) D RI'!U43</f>
        <v>15065.660131578947</v>
      </c>
      <c r="D41" s="32">
        <f>'B) D RI'!AA43</f>
        <v>422</v>
      </c>
      <c r="E41" s="205">
        <f t="shared" si="2"/>
        <v>35.700616425542528</v>
      </c>
      <c r="F41" s="364">
        <f t="shared" si="3"/>
        <v>0.75757718173127975</v>
      </c>
      <c r="G41" s="375">
        <f t="shared" si="4"/>
        <v>0</v>
      </c>
      <c r="H41" s="372">
        <f t="shared" si="5"/>
        <v>0</v>
      </c>
      <c r="I41" s="375">
        <f t="shared" si="6"/>
        <v>0</v>
      </c>
      <c r="J41" s="372">
        <f t="shared" si="7"/>
        <v>0</v>
      </c>
      <c r="K41" s="367">
        <f t="shared" si="8"/>
        <v>0</v>
      </c>
      <c r="L41" s="371">
        <f t="shared" si="9"/>
        <v>0</v>
      </c>
      <c r="M41" s="118">
        <f>L41*D41*'B) D RI'!S43</f>
        <v>0</v>
      </c>
    </row>
    <row r="42" spans="1:13" x14ac:dyDescent="0.25">
      <c r="A42" s="290">
        <f>'A) Base RI'!A44</f>
        <v>5473</v>
      </c>
      <c r="B42" s="32" t="str">
        <f>'A) Base RI'!B44</f>
        <v>Boussens</v>
      </c>
      <c r="C42" s="288">
        <f>'B) D RI'!U44</f>
        <v>34350.684492753629</v>
      </c>
      <c r="D42" s="32">
        <f>'B) D RI'!AA44</f>
        <v>993</v>
      </c>
      <c r="E42" s="205">
        <f t="shared" si="2"/>
        <v>34.592834333085229</v>
      </c>
      <c r="F42" s="364">
        <f t="shared" si="3"/>
        <v>0.7340697322919546</v>
      </c>
      <c r="G42" s="375">
        <f t="shared" si="4"/>
        <v>0</v>
      </c>
      <c r="H42" s="372">
        <f t="shared" si="5"/>
        <v>0</v>
      </c>
      <c r="I42" s="375">
        <f t="shared" si="6"/>
        <v>0</v>
      </c>
      <c r="J42" s="372">
        <f t="shared" si="7"/>
        <v>0</v>
      </c>
      <c r="K42" s="367">
        <f t="shared" si="8"/>
        <v>0</v>
      </c>
      <c r="L42" s="371">
        <f t="shared" si="9"/>
        <v>0</v>
      </c>
      <c r="M42" s="118">
        <f>L42*D42*'B) D RI'!S44</f>
        <v>0</v>
      </c>
    </row>
    <row r="43" spans="1:13" x14ac:dyDescent="0.25">
      <c r="A43" s="290">
        <f>'A) Base RI'!A45</f>
        <v>5474</v>
      </c>
      <c r="B43" s="32" t="str">
        <f>'A) Base RI'!B45</f>
        <v>La Chaux (Cossonay)</v>
      </c>
      <c r="C43" s="288">
        <f>'B) D RI'!U45</f>
        <v>15323.423073593074</v>
      </c>
      <c r="D43" s="32">
        <f>'B) D RI'!AA45</f>
        <v>395</v>
      </c>
      <c r="E43" s="205">
        <f t="shared" si="2"/>
        <v>38.793476135678667</v>
      </c>
      <c r="F43" s="364">
        <f t="shared" si="3"/>
        <v>0.82320853987832754</v>
      </c>
      <c r="G43" s="375">
        <f t="shared" si="4"/>
        <v>0</v>
      </c>
      <c r="H43" s="372">
        <f t="shared" si="5"/>
        <v>0</v>
      </c>
      <c r="I43" s="375">
        <f t="shared" si="6"/>
        <v>0</v>
      </c>
      <c r="J43" s="372">
        <f t="shared" si="7"/>
        <v>0</v>
      </c>
      <c r="K43" s="367">
        <f t="shared" si="8"/>
        <v>0</v>
      </c>
      <c r="L43" s="371">
        <f t="shared" si="9"/>
        <v>0</v>
      </c>
      <c r="M43" s="118">
        <f>L43*D43*'B) D RI'!S45</f>
        <v>0</v>
      </c>
    </row>
    <row r="44" spans="1:13" x14ac:dyDescent="0.25">
      <c r="A44" s="290">
        <f>'A) Base RI'!A46</f>
        <v>5475</v>
      </c>
      <c r="B44" s="32" t="str">
        <f>'A) Base RI'!B46</f>
        <v>Chavannes-le-Veyron</v>
      </c>
      <c r="C44" s="288">
        <f>'B) D RI'!U46</f>
        <v>3045.9346753246755</v>
      </c>
      <c r="D44" s="32">
        <f>'B) D RI'!AA46</f>
        <v>152</v>
      </c>
      <c r="E44" s="205">
        <f t="shared" si="2"/>
        <v>20.039043916609707</v>
      </c>
      <c r="F44" s="364">
        <f t="shared" si="3"/>
        <v>0.42523418178496691</v>
      </c>
      <c r="G44" s="375">
        <f t="shared" si="4"/>
        <v>0</v>
      </c>
      <c r="H44" s="372">
        <f t="shared" si="5"/>
        <v>0</v>
      </c>
      <c r="I44" s="375">
        <f t="shared" si="6"/>
        <v>0</v>
      </c>
      <c r="J44" s="372">
        <f t="shared" si="7"/>
        <v>0</v>
      </c>
      <c r="K44" s="367">
        <f t="shared" si="8"/>
        <v>0</v>
      </c>
      <c r="L44" s="371">
        <f t="shared" si="9"/>
        <v>0</v>
      </c>
      <c r="M44" s="118">
        <f>L44*D44*'B) D RI'!S46</f>
        <v>0</v>
      </c>
    </row>
    <row r="45" spans="1:13" x14ac:dyDescent="0.25">
      <c r="A45" s="290">
        <f>'A) Base RI'!A47</f>
        <v>5476</v>
      </c>
      <c r="B45" s="32" t="str">
        <f>'A) Base RI'!B47</f>
        <v>Chevilly</v>
      </c>
      <c r="C45" s="288">
        <f>'B) D RI'!U47</f>
        <v>12632.544999999996</v>
      </c>
      <c r="D45" s="32">
        <f>'B) D RI'!AA47</f>
        <v>317</v>
      </c>
      <c r="E45" s="205">
        <f t="shared" si="2"/>
        <v>39.850299684542577</v>
      </c>
      <c r="F45" s="364">
        <f t="shared" si="3"/>
        <v>0.84563463460432087</v>
      </c>
      <c r="G45" s="375">
        <f t="shared" si="4"/>
        <v>0</v>
      </c>
      <c r="H45" s="372">
        <f t="shared" si="5"/>
        <v>0</v>
      </c>
      <c r="I45" s="375">
        <f t="shared" si="6"/>
        <v>0</v>
      </c>
      <c r="J45" s="372">
        <f t="shared" si="7"/>
        <v>0</v>
      </c>
      <c r="K45" s="367">
        <f t="shared" si="8"/>
        <v>0</v>
      </c>
      <c r="L45" s="371">
        <f t="shared" si="9"/>
        <v>0</v>
      </c>
      <c r="M45" s="118">
        <f>L45*D45*'B) D RI'!S47</f>
        <v>0</v>
      </c>
    </row>
    <row r="46" spans="1:13" x14ac:dyDescent="0.25">
      <c r="A46" s="290">
        <f>'A) Base RI'!A48</f>
        <v>5477</v>
      </c>
      <c r="B46" s="32" t="str">
        <f>'A) Base RI'!B48</f>
        <v>Cossonay</v>
      </c>
      <c r="C46" s="288">
        <f>'B) D RI'!U48</f>
        <v>144389.2549295775</v>
      </c>
      <c r="D46" s="32">
        <f>'B) D RI'!AA48</f>
        <v>4045</v>
      </c>
      <c r="E46" s="205">
        <f t="shared" si="2"/>
        <v>35.695736694580347</v>
      </c>
      <c r="F46" s="364">
        <f t="shared" si="3"/>
        <v>0.75747363245958443</v>
      </c>
      <c r="G46" s="375">
        <f t="shared" si="4"/>
        <v>0</v>
      </c>
      <c r="H46" s="372">
        <f t="shared" si="5"/>
        <v>0</v>
      </c>
      <c r="I46" s="375">
        <f t="shared" si="6"/>
        <v>0</v>
      </c>
      <c r="J46" s="372">
        <f t="shared" si="7"/>
        <v>0</v>
      </c>
      <c r="K46" s="367">
        <f t="shared" si="8"/>
        <v>0</v>
      </c>
      <c r="L46" s="371">
        <f t="shared" si="9"/>
        <v>0</v>
      </c>
      <c r="M46" s="118">
        <f>L46*D46*'B) D RI'!S48</f>
        <v>0</v>
      </c>
    </row>
    <row r="47" spans="1:13" x14ac:dyDescent="0.25">
      <c r="A47" s="290">
        <f>'A) Base RI'!A49</f>
        <v>5478</v>
      </c>
      <c r="B47" s="32" t="str">
        <f>'A) Base RI'!B49</f>
        <v>Cottens</v>
      </c>
      <c r="C47" s="288">
        <f>'B) D RI'!U49</f>
        <v>17566.345945945945</v>
      </c>
      <c r="D47" s="32">
        <f>'B) D RI'!AA49</f>
        <v>487</v>
      </c>
      <c r="E47" s="205">
        <f t="shared" si="2"/>
        <v>36.070525556357175</v>
      </c>
      <c r="F47" s="364">
        <f t="shared" si="3"/>
        <v>0.76542675814976224</v>
      </c>
      <c r="G47" s="375">
        <f t="shared" si="4"/>
        <v>0</v>
      </c>
      <c r="H47" s="372">
        <f t="shared" si="5"/>
        <v>0</v>
      </c>
      <c r="I47" s="375">
        <f t="shared" si="6"/>
        <v>0</v>
      </c>
      <c r="J47" s="372">
        <f t="shared" si="7"/>
        <v>0</v>
      </c>
      <c r="K47" s="367">
        <f t="shared" si="8"/>
        <v>0</v>
      </c>
      <c r="L47" s="371">
        <f t="shared" si="9"/>
        <v>0</v>
      </c>
      <c r="M47" s="118">
        <f>L47*D47*'B) D RI'!S49</f>
        <v>0</v>
      </c>
    </row>
    <row r="48" spans="1:13" x14ac:dyDescent="0.25">
      <c r="A48" s="290">
        <f>'A) Base RI'!A50</f>
        <v>5479</v>
      </c>
      <c r="B48" s="32" t="str">
        <f>'A) Base RI'!B50</f>
        <v>Cuarnens</v>
      </c>
      <c r="C48" s="288">
        <f>'B) D RI'!U50</f>
        <v>17277.023636363636</v>
      </c>
      <c r="D48" s="32">
        <f>'B) D RI'!AA50</f>
        <v>486</v>
      </c>
      <c r="E48" s="205">
        <f t="shared" si="2"/>
        <v>35.549431350542463</v>
      </c>
      <c r="F48" s="364">
        <f t="shared" si="3"/>
        <v>0.75436899166326632</v>
      </c>
      <c r="G48" s="375">
        <f t="shared" si="4"/>
        <v>0</v>
      </c>
      <c r="H48" s="372">
        <f t="shared" si="5"/>
        <v>0</v>
      </c>
      <c r="I48" s="375">
        <f t="shared" si="6"/>
        <v>0</v>
      </c>
      <c r="J48" s="372">
        <f t="shared" si="7"/>
        <v>0</v>
      </c>
      <c r="K48" s="367">
        <f t="shared" si="8"/>
        <v>0</v>
      </c>
      <c r="L48" s="371">
        <f t="shared" si="9"/>
        <v>0</v>
      </c>
      <c r="M48" s="118">
        <f>L48*D48*'B) D RI'!S50</f>
        <v>0</v>
      </c>
    </row>
    <row r="49" spans="1:13" x14ac:dyDescent="0.25">
      <c r="A49" s="290">
        <f>'A) Base RI'!A51</f>
        <v>5480</v>
      </c>
      <c r="B49" s="32" t="str">
        <f>'A) Base RI'!B51</f>
        <v>Daillens</v>
      </c>
      <c r="C49" s="288">
        <f>'B) D RI'!U51</f>
        <v>40568.804343434349</v>
      </c>
      <c r="D49" s="32">
        <f>'B) D RI'!AA51</f>
        <v>1034</v>
      </c>
      <c r="E49" s="205">
        <f t="shared" si="2"/>
        <v>39.234820448195698</v>
      </c>
      <c r="F49" s="364">
        <f t="shared" si="3"/>
        <v>0.83257399106450269</v>
      </c>
      <c r="G49" s="375">
        <f t="shared" si="4"/>
        <v>0</v>
      </c>
      <c r="H49" s="372">
        <f t="shared" si="5"/>
        <v>0</v>
      </c>
      <c r="I49" s="375">
        <f t="shared" si="6"/>
        <v>0</v>
      </c>
      <c r="J49" s="372">
        <f t="shared" si="7"/>
        <v>0</v>
      </c>
      <c r="K49" s="367">
        <f t="shared" si="8"/>
        <v>0</v>
      </c>
      <c r="L49" s="371">
        <f t="shared" si="9"/>
        <v>0</v>
      </c>
      <c r="M49" s="118">
        <f>L49*D49*'B) D RI'!S51</f>
        <v>0</v>
      </c>
    </row>
    <row r="50" spans="1:13" x14ac:dyDescent="0.25">
      <c r="A50" s="290">
        <f>'A) Base RI'!A52</f>
        <v>5481</v>
      </c>
      <c r="B50" s="32" t="str">
        <f>'A) Base RI'!B52</f>
        <v>Dizy</v>
      </c>
      <c r="C50" s="288">
        <f>'B) D RI'!U52</f>
        <v>9658.8267088607608</v>
      </c>
      <c r="D50" s="32">
        <f>'B) D RI'!AA52</f>
        <v>234</v>
      </c>
      <c r="E50" s="205">
        <f t="shared" si="2"/>
        <v>41.27703721735368</v>
      </c>
      <c r="F50" s="364">
        <f t="shared" si="3"/>
        <v>0.87591040873364245</v>
      </c>
      <c r="G50" s="375">
        <f t="shared" si="4"/>
        <v>0</v>
      </c>
      <c r="H50" s="372">
        <f t="shared" si="5"/>
        <v>0</v>
      </c>
      <c r="I50" s="375">
        <f t="shared" si="6"/>
        <v>0</v>
      </c>
      <c r="J50" s="372">
        <f t="shared" si="7"/>
        <v>0</v>
      </c>
      <c r="K50" s="367">
        <f t="shared" si="8"/>
        <v>0</v>
      </c>
      <c r="L50" s="371">
        <f t="shared" si="9"/>
        <v>0</v>
      </c>
      <c r="M50" s="118">
        <f>L50*D50*'B) D RI'!S52</f>
        <v>0</v>
      </c>
    </row>
    <row r="51" spans="1:13" x14ac:dyDescent="0.25">
      <c r="A51" s="290">
        <f>'A) Base RI'!A53</f>
        <v>5482</v>
      </c>
      <c r="B51" s="32" t="str">
        <f>'A) Base RI'!B53</f>
        <v>Eclépens</v>
      </c>
      <c r="C51" s="288">
        <f>'B) D RI'!U53</f>
        <v>60116.695217391316</v>
      </c>
      <c r="D51" s="32">
        <f>'B) D RI'!AA53</f>
        <v>1222</v>
      </c>
      <c r="E51" s="205">
        <f t="shared" si="2"/>
        <v>49.195331601793221</v>
      </c>
      <c r="F51" s="364">
        <f t="shared" si="3"/>
        <v>1.0439388559844986</v>
      </c>
      <c r="G51" s="375">
        <f t="shared" si="4"/>
        <v>2.070606509154544</v>
      </c>
      <c r="H51" s="372">
        <f t="shared" si="5"/>
        <v>0</v>
      </c>
      <c r="I51" s="375">
        <f t="shared" si="6"/>
        <v>0</v>
      </c>
      <c r="J51" s="372">
        <f t="shared" si="7"/>
        <v>0</v>
      </c>
      <c r="K51" s="367">
        <f t="shared" si="8"/>
        <v>0</v>
      </c>
      <c r="L51" s="371">
        <f t="shared" si="9"/>
        <v>0.41412130183090884</v>
      </c>
      <c r="M51" s="118">
        <f>L51*D51*'B) D RI'!S53</f>
        <v>23278.586618519046</v>
      </c>
    </row>
    <row r="52" spans="1:13" x14ac:dyDescent="0.25">
      <c r="A52" s="290">
        <f>'A) Base RI'!A54</f>
        <v>5483</v>
      </c>
      <c r="B52" s="32" t="str">
        <f>'A) Base RI'!B54</f>
        <v>Ferreyres</v>
      </c>
      <c r="C52" s="288">
        <f>'B) D RI'!U54</f>
        <v>11167.980394736842</v>
      </c>
      <c r="D52" s="32">
        <f>'B) D RI'!AA54</f>
        <v>320</v>
      </c>
      <c r="E52" s="205">
        <f t="shared" si="2"/>
        <v>34.899938733552631</v>
      </c>
      <c r="F52" s="364">
        <f t="shared" si="3"/>
        <v>0.74058657456241217</v>
      </c>
      <c r="G52" s="375">
        <f t="shared" si="4"/>
        <v>0</v>
      </c>
      <c r="H52" s="372">
        <f t="shared" si="5"/>
        <v>0</v>
      </c>
      <c r="I52" s="375">
        <f t="shared" si="6"/>
        <v>0</v>
      </c>
      <c r="J52" s="372">
        <f t="shared" si="7"/>
        <v>0</v>
      </c>
      <c r="K52" s="367">
        <f t="shared" si="8"/>
        <v>0</v>
      </c>
      <c r="L52" s="371">
        <f t="shared" si="9"/>
        <v>0</v>
      </c>
      <c r="M52" s="118">
        <f>L52*D52*'B) D RI'!S54</f>
        <v>0</v>
      </c>
    </row>
    <row r="53" spans="1:13" x14ac:dyDescent="0.25">
      <c r="A53" s="290">
        <f>'A) Base RI'!A55</f>
        <v>5484</v>
      </c>
      <c r="B53" s="32" t="str">
        <f>'A) Base RI'!B55</f>
        <v>Gollion</v>
      </c>
      <c r="C53" s="288">
        <f>'B) D RI'!U55</f>
        <v>33995.543783783789</v>
      </c>
      <c r="D53" s="32">
        <f>'B) D RI'!AA55</f>
        <v>939</v>
      </c>
      <c r="E53" s="205">
        <f t="shared" si="2"/>
        <v>36.203986990185079</v>
      </c>
      <c r="F53" s="364">
        <f t="shared" si="3"/>
        <v>0.76825884753735108</v>
      </c>
      <c r="G53" s="375">
        <f t="shared" si="4"/>
        <v>0</v>
      </c>
      <c r="H53" s="372">
        <f t="shared" si="5"/>
        <v>0</v>
      </c>
      <c r="I53" s="375">
        <f t="shared" si="6"/>
        <v>0</v>
      </c>
      <c r="J53" s="372">
        <f t="shared" si="7"/>
        <v>0</v>
      </c>
      <c r="K53" s="367">
        <f t="shared" si="8"/>
        <v>0</v>
      </c>
      <c r="L53" s="371">
        <f t="shared" si="9"/>
        <v>0</v>
      </c>
      <c r="M53" s="118">
        <f>L53*D53*'B) D RI'!S55</f>
        <v>0</v>
      </c>
    </row>
    <row r="54" spans="1:13" x14ac:dyDescent="0.25">
      <c r="A54" s="290">
        <f>'A) Base RI'!A56</f>
        <v>5485</v>
      </c>
      <c r="B54" s="32" t="str">
        <f>'A) Base RI'!B56</f>
        <v>Grancy</v>
      </c>
      <c r="C54" s="288">
        <f>'B) D RI'!U56</f>
        <v>16957.048857142858</v>
      </c>
      <c r="D54" s="32">
        <f>'B) D RI'!AA56</f>
        <v>397</v>
      </c>
      <c r="E54" s="205">
        <f t="shared" si="2"/>
        <v>42.712969413458083</v>
      </c>
      <c r="F54" s="364">
        <f t="shared" si="3"/>
        <v>0.90638129621959851</v>
      </c>
      <c r="G54" s="375">
        <f t="shared" si="4"/>
        <v>0</v>
      </c>
      <c r="H54" s="372">
        <f t="shared" si="5"/>
        <v>0</v>
      </c>
      <c r="I54" s="375">
        <f t="shared" si="6"/>
        <v>0</v>
      </c>
      <c r="J54" s="372">
        <f t="shared" si="7"/>
        <v>0</v>
      </c>
      <c r="K54" s="367">
        <f t="shared" si="8"/>
        <v>0</v>
      </c>
      <c r="L54" s="371">
        <f t="shared" si="9"/>
        <v>0</v>
      </c>
      <c r="M54" s="118">
        <f>L54*D54*'B) D RI'!S56</f>
        <v>0</v>
      </c>
    </row>
    <row r="55" spans="1:13" x14ac:dyDescent="0.25">
      <c r="A55" s="290">
        <f>'A) Base RI'!A57</f>
        <v>5486</v>
      </c>
      <c r="B55" s="32" t="str">
        <f>'A) Base RI'!B57</f>
        <v>L'Isle</v>
      </c>
      <c r="C55" s="288">
        <f>'B) D RI'!U57</f>
        <v>35667.648026315794</v>
      </c>
      <c r="D55" s="32">
        <f>'B) D RI'!AA57</f>
        <v>1011</v>
      </c>
      <c r="E55" s="205">
        <f t="shared" si="2"/>
        <v>35.279572726326208</v>
      </c>
      <c r="F55" s="364">
        <f t="shared" si="3"/>
        <v>0.74864251530322889</v>
      </c>
      <c r="G55" s="375">
        <f t="shared" si="4"/>
        <v>0</v>
      </c>
      <c r="H55" s="372">
        <f t="shared" si="5"/>
        <v>0</v>
      </c>
      <c r="I55" s="375">
        <f t="shared" si="6"/>
        <v>0</v>
      </c>
      <c r="J55" s="372">
        <f t="shared" si="7"/>
        <v>0</v>
      </c>
      <c r="K55" s="367">
        <f t="shared" si="8"/>
        <v>0</v>
      </c>
      <c r="L55" s="371">
        <f t="shared" si="9"/>
        <v>0</v>
      </c>
      <c r="M55" s="118">
        <f>L55*D55*'B) D RI'!S57</f>
        <v>0</v>
      </c>
    </row>
    <row r="56" spans="1:13" x14ac:dyDescent="0.25">
      <c r="A56" s="290">
        <f>'A) Base RI'!A58</f>
        <v>5487</v>
      </c>
      <c r="B56" s="32" t="str">
        <f>'A) Base RI'!B58</f>
        <v>Lussery-Villars</v>
      </c>
      <c r="C56" s="288">
        <f>'B) D RI'!U58</f>
        <v>15504.095066666665</v>
      </c>
      <c r="D56" s="32">
        <f>'B) D RI'!AA58</f>
        <v>459</v>
      </c>
      <c r="E56" s="205">
        <f t="shared" si="2"/>
        <v>33.777984894698619</v>
      </c>
      <c r="F56" s="364">
        <f t="shared" si="3"/>
        <v>0.7167783966547755</v>
      </c>
      <c r="G56" s="375">
        <f t="shared" si="4"/>
        <v>0</v>
      </c>
      <c r="H56" s="372">
        <f t="shared" si="5"/>
        <v>0</v>
      </c>
      <c r="I56" s="375">
        <f t="shared" si="6"/>
        <v>0</v>
      </c>
      <c r="J56" s="372">
        <f t="shared" si="7"/>
        <v>0</v>
      </c>
      <c r="K56" s="367">
        <f t="shared" si="8"/>
        <v>0</v>
      </c>
      <c r="L56" s="371">
        <f t="shared" si="9"/>
        <v>0</v>
      </c>
      <c r="M56" s="118">
        <f>L56*D56*'B) D RI'!S58</f>
        <v>0</v>
      </c>
    </row>
    <row r="57" spans="1:13" x14ac:dyDescent="0.25">
      <c r="A57" s="290">
        <f>'A) Base RI'!A59</f>
        <v>5488</v>
      </c>
      <c r="B57" s="32" t="str">
        <f>'A) Base RI'!B59</f>
        <v>Mauraz</v>
      </c>
      <c r="C57" s="288">
        <f>'B) D RI'!U59</f>
        <v>1751.8621794871794</v>
      </c>
      <c r="D57" s="32">
        <f>'B) D RI'!AA59</f>
        <v>57</v>
      </c>
      <c r="E57" s="205">
        <f t="shared" si="2"/>
        <v>30.734424201529464</v>
      </c>
      <c r="F57" s="364">
        <f t="shared" si="3"/>
        <v>0.65219317759649842</v>
      </c>
      <c r="G57" s="375">
        <f t="shared" si="4"/>
        <v>0</v>
      </c>
      <c r="H57" s="372">
        <f t="shared" si="5"/>
        <v>0</v>
      </c>
      <c r="I57" s="375">
        <f t="shared" si="6"/>
        <v>0</v>
      </c>
      <c r="J57" s="372">
        <f t="shared" si="7"/>
        <v>0</v>
      </c>
      <c r="K57" s="367">
        <f t="shared" si="8"/>
        <v>0</v>
      </c>
      <c r="L57" s="371">
        <f t="shared" si="9"/>
        <v>0</v>
      </c>
      <c r="M57" s="118">
        <f>L57*D57*'B) D RI'!S59</f>
        <v>0</v>
      </c>
    </row>
    <row r="58" spans="1:13" x14ac:dyDescent="0.25">
      <c r="A58" s="290">
        <f>'A) Base RI'!A60</f>
        <v>5489</v>
      </c>
      <c r="B58" s="32" t="str">
        <f>'A) Base RI'!B60</f>
        <v>Mex</v>
      </c>
      <c r="C58" s="288">
        <f>'B) D RI'!U60</f>
        <v>62953.268196721314</v>
      </c>
      <c r="D58" s="32">
        <f>'B) D RI'!AA60</f>
        <v>718</v>
      </c>
      <c r="E58" s="205">
        <f t="shared" si="2"/>
        <v>87.678646513539434</v>
      </c>
      <c r="F58" s="364">
        <f t="shared" si="3"/>
        <v>1.8605656869335383</v>
      </c>
      <c r="G58" s="375">
        <f t="shared" si="4"/>
        <v>40.553921420900757</v>
      </c>
      <c r="H58" s="372">
        <f t="shared" si="5"/>
        <v>31.12897640237302</v>
      </c>
      <c r="I58" s="375">
        <f t="shared" si="6"/>
        <v>16.991558874581415</v>
      </c>
      <c r="J58" s="372">
        <f t="shared" si="7"/>
        <v>0</v>
      </c>
      <c r="K58" s="367">
        <f t="shared" si="8"/>
        <v>0</v>
      </c>
      <c r="L58" s="371">
        <f t="shared" si="9"/>
        <v>12.922837811875596</v>
      </c>
      <c r="M58" s="118">
        <f>L58*D58*'B) D RI'!S60</f>
        <v>565994.45048452739</v>
      </c>
    </row>
    <row r="59" spans="1:13" x14ac:dyDescent="0.25">
      <c r="A59" s="290">
        <f>'A) Base RI'!A61</f>
        <v>5490</v>
      </c>
      <c r="B59" s="32" t="str">
        <f>'A) Base RI'!B61</f>
        <v>Moiry</v>
      </c>
      <c r="C59" s="288">
        <f>'B) D RI'!U61</f>
        <v>8346.3239490445867</v>
      </c>
      <c r="D59" s="32">
        <f>'B) D RI'!AA61</f>
        <v>310</v>
      </c>
      <c r="E59" s="205">
        <f t="shared" si="2"/>
        <v>26.923625642079312</v>
      </c>
      <c r="F59" s="364">
        <f t="shared" si="3"/>
        <v>0.57132695393240684</v>
      </c>
      <c r="G59" s="375">
        <f t="shared" si="4"/>
        <v>0</v>
      </c>
      <c r="H59" s="372">
        <f t="shared" si="5"/>
        <v>0</v>
      </c>
      <c r="I59" s="375">
        <f t="shared" si="6"/>
        <v>0</v>
      </c>
      <c r="J59" s="372">
        <f t="shared" si="7"/>
        <v>0</v>
      </c>
      <c r="K59" s="367">
        <f t="shared" si="8"/>
        <v>0</v>
      </c>
      <c r="L59" s="371">
        <f t="shared" si="9"/>
        <v>0</v>
      </c>
      <c r="M59" s="118">
        <f>L59*D59*'B) D RI'!S61</f>
        <v>0</v>
      </c>
    </row>
    <row r="60" spans="1:13" x14ac:dyDescent="0.25">
      <c r="A60" s="290">
        <f>'A) Base RI'!A62</f>
        <v>5491</v>
      </c>
      <c r="B60" s="32" t="str">
        <f>'A) Base RI'!B62</f>
        <v>Mont-la-Ville</v>
      </c>
      <c r="C60" s="288">
        <f>'B) D RI'!U62</f>
        <v>14105.600657894736</v>
      </c>
      <c r="D60" s="32">
        <f>'B) D RI'!AA62</f>
        <v>478</v>
      </c>
      <c r="E60" s="205">
        <f t="shared" si="2"/>
        <v>29.509624807311162</v>
      </c>
      <c r="F60" s="364">
        <f t="shared" si="3"/>
        <v>0.62620258790476935</v>
      </c>
      <c r="G60" s="375">
        <f t="shared" si="4"/>
        <v>0</v>
      </c>
      <c r="H60" s="372">
        <f t="shared" si="5"/>
        <v>0</v>
      </c>
      <c r="I60" s="375">
        <f t="shared" si="6"/>
        <v>0</v>
      </c>
      <c r="J60" s="372">
        <f t="shared" si="7"/>
        <v>0</v>
      </c>
      <c r="K60" s="367">
        <f t="shared" si="8"/>
        <v>0</v>
      </c>
      <c r="L60" s="371">
        <f t="shared" si="9"/>
        <v>0</v>
      </c>
      <c r="M60" s="118">
        <f>L60*D60*'B) D RI'!S62</f>
        <v>0</v>
      </c>
    </row>
    <row r="61" spans="1:13" x14ac:dyDescent="0.25">
      <c r="A61" s="290">
        <f>'A) Base RI'!A63</f>
        <v>5492</v>
      </c>
      <c r="B61" s="32" t="str">
        <f>'A) Base RI'!B63</f>
        <v>Montricher</v>
      </c>
      <c r="C61" s="288">
        <f>'B) D RI'!U63</f>
        <v>190092.85661458335</v>
      </c>
      <c r="D61" s="32">
        <f>'B) D RI'!AA63</f>
        <v>964</v>
      </c>
      <c r="E61" s="205">
        <f t="shared" si="2"/>
        <v>197.19175997363416</v>
      </c>
      <c r="F61" s="364">
        <f t="shared" si="3"/>
        <v>4.1844649403469383</v>
      </c>
      <c r="G61" s="375">
        <f t="shared" si="4"/>
        <v>150.06703488099549</v>
      </c>
      <c r="H61" s="372">
        <f t="shared" si="5"/>
        <v>140.64208986246774</v>
      </c>
      <c r="I61" s="375">
        <f t="shared" si="6"/>
        <v>126.50467233467614</v>
      </c>
      <c r="J61" s="372">
        <f t="shared" si="7"/>
        <v>102.94230978835681</v>
      </c>
      <c r="K61" s="367">
        <f t="shared" si="8"/>
        <v>55.817584695718125</v>
      </c>
      <c r="L61" s="371">
        <f t="shared" si="9"/>
        <v>72.604072644320979</v>
      </c>
      <c r="M61" s="118">
        <f>L61*D61*'B) D RI'!S63</f>
        <v>4479380.8658640273</v>
      </c>
    </row>
    <row r="62" spans="1:13" x14ac:dyDescent="0.25">
      <c r="A62" s="290">
        <f>'A) Base RI'!A64</f>
        <v>5493</v>
      </c>
      <c r="B62" s="32" t="str">
        <f>'A) Base RI'!B64</f>
        <v>Orny</v>
      </c>
      <c r="C62" s="288">
        <f>'B) D RI'!U64</f>
        <v>10669.457639620656</v>
      </c>
      <c r="D62" s="32">
        <f>'B) D RI'!AA64</f>
        <v>416</v>
      </c>
      <c r="E62" s="205">
        <f t="shared" si="2"/>
        <v>25.647734710626576</v>
      </c>
      <c r="F62" s="364">
        <f t="shared" si="3"/>
        <v>0.54425218736465353</v>
      </c>
      <c r="G62" s="375">
        <f t="shared" si="4"/>
        <v>0</v>
      </c>
      <c r="H62" s="372">
        <f t="shared" si="5"/>
        <v>0</v>
      </c>
      <c r="I62" s="375">
        <f t="shared" si="6"/>
        <v>0</v>
      </c>
      <c r="J62" s="372">
        <f t="shared" si="7"/>
        <v>0</v>
      </c>
      <c r="K62" s="367">
        <f t="shared" si="8"/>
        <v>0</v>
      </c>
      <c r="L62" s="371">
        <f t="shared" si="9"/>
        <v>0</v>
      </c>
      <c r="M62" s="118">
        <f>L62*D62*'B) D RI'!S64</f>
        <v>0</v>
      </c>
    </row>
    <row r="63" spans="1:13" x14ac:dyDescent="0.25">
      <c r="A63" s="290">
        <f>'A) Base RI'!A65</f>
        <v>5494</v>
      </c>
      <c r="B63" s="32" t="str">
        <f>'A) Base RI'!B65</f>
        <v>Pampigny</v>
      </c>
      <c r="C63" s="288">
        <f>'B) D RI'!U65</f>
        <v>37008.943269841264</v>
      </c>
      <c r="D63" s="32">
        <f>'B) D RI'!AA65</f>
        <v>1103</v>
      </c>
      <c r="E63" s="205">
        <f t="shared" si="2"/>
        <v>33.55298573875001</v>
      </c>
      <c r="F63" s="364">
        <f t="shared" si="3"/>
        <v>0.712003850903977</v>
      </c>
      <c r="G63" s="375">
        <f t="shared" si="4"/>
        <v>0</v>
      </c>
      <c r="H63" s="372">
        <f t="shared" si="5"/>
        <v>0</v>
      </c>
      <c r="I63" s="375">
        <f t="shared" si="6"/>
        <v>0</v>
      </c>
      <c r="J63" s="372">
        <f t="shared" si="7"/>
        <v>0</v>
      </c>
      <c r="K63" s="367">
        <f t="shared" si="8"/>
        <v>0</v>
      </c>
      <c r="L63" s="371">
        <f t="shared" si="9"/>
        <v>0</v>
      </c>
      <c r="M63" s="118">
        <f>L63*D63*'B) D RI'!S65</f>
        <v>0</v>
      </c>
    </row>
    <row r="64" spans="1:13" x14ac:dyDescent="0.25">
      <c r="A64" s="290">
        <f>'A) Base RI'!A66</f>
        <v>5495</v>
      </c>
      <c r="B64" s="32" t="str">
        <f>'A) Base RI'!B66</f>
        <v>Penthalaz</v>
      </c>
      <c r="C64" s="288">
        <f>'B) D RI'!U66</f>
        <v>95334.294459459459</v>
      </c>
      <c r="D64" s="32">
        <f>'B) D RI'!AA66</f>
        <v>3257</v>
      </c>
      <c r="E64" s="205">
        <f t="shared" si="2"/>
        <v>29.270584728111594</v>
      </c>
      <c r="F64" s="364">
        <f t="shared" si="3"/>
        <v>0.62113008978982742</v>
      </c>
      <c r="G64" s="375">
        <f t="shared" si="4"/>
        <v>0</v>
      </c>
      <c r="H64" s="372">
        <f t="shared" si="5"/>
        <v>0</v>
      </c>
      <c r="I64" s="375">
        <f t="shared" si="6"/>
        <v>0</v>
      </c>
      <c r="J64" s="372">
        <f t="shared" si="7"/>
        <v>0</v>
      </c>
      <c r="K64" s="367">
        <f t="shared" si="8"/>
        <v>0</v>
      </c>
      <c r="L64" s="371">
        <f t="shared" si="9"/>
        <v>0</v>
      </c>
      <c r="M64" s="118">
        <f>L64*D64*'B) D RI'!S66</f>
        <v>0</v>
      </c>
    </row>
    <row r="65" spans="1:13" x14ac:dyDescent="0.25">
      <c r="A65" s="290">
        <f>'A) Base RI'!A67</f>
        <v>5496</v>
      </c>
      <c r="B65" s="32" t="str">
        <f>'A) Base RI'!B67</f>
        <v>Penthaz</v>
      </c>
      <c r="C65" s="288">
        <f>'B) D RI'!U67</f>
        <v>59470.759859154932</v>
      </c>
      <c r="D65" s="32">
        <f>'B) D RI'!AA67</f>
        <v>1760</v>
      </c>
      <c r="E65" s="205">
        <f t="shared" si="2"/>
        <v>33.790204465428936</v>
      </c>
      <c r="F65" s="364">
        <f t="shared" si="3"/>
        <v>0.71703769940309492</v>
      </c>
      <c r="G65" s="375">
        <f t="shared" si="4"/>
        <v>0</v>
      </c>
      <c r="H65" s="372">
        <f t="shared" si="5"/>
        <v>0</v>
      </c>
      <c r="I65" s="375">
        <f t="shared" si="6"/>
        <v>0</v>
      </c>
      <c r="J65" s="372">
        <f t="shared" si="7"/>
        <v>0</v>
      </c>
      <c r="K65" s="367">
        <f t="shared" si="8"/>
        <v>0</v>
      </c>
      <c r="L65" s="371">
        <f t="shared" si="9"/>
        <v>0</v>
      </c>
      <c r="M65" s="118">
        <f>L65*D65*'B) D RI'!S67</f>
        <v>0</v>
      </c>
    </row>
    <row r="66" spans="1:13" x14ac:dyDescent="0.25">
      <c r="A66" s="290">
        <f>'A) Base RI'!A68</f>
        <v>5497</v>
      </c>
      <c r="B66" s="32" t="str">
        <f>'A) Base RI'!B68</f>
        <v>Pompaples</v>
      </c>
      <c r="C66" s="288">
        <f>'B) D RI'!U68</f>
        <v>22300.858484848486</v>
      </c>
      <c r="D66" s="32">
        <f>'B) D RI'!AA68</f>
        <v>851</v>
      </c>
      <c r="E66" s="205">
        <f t="shared" si="2"/>
        <v>26.205474130256739</v>
      </c>
      <c r="F66" s="364">
        <f t="shared" si="3"/>
        <v>0.55608757565676026</v>
      </c>
      <c r="G66" s="375">
        <f t="shared" si="4"/>
        <v>0</v>
      </c>
      <c r="H66" s="372">
        <f t="shared" si="5"/>
        <v>0</v>
      </c>
      <c r="I66" s="375">
        <f t="shared" si="6"/>
        <v>0</v>
      </c>
      <c r="J66" s="372">
        <f t="shared" si="7"/>
        <v>0</v>
      </c>
      <c r="K66" s="367">
        <f t="shared" si="8"/>
        <v>0</v>
      </c>
      <c r="L66" s="371">
        <f t="shared" si="9"/>
        <v>0</v>
      </c>
      <c r="M66" s="118">
        <f>L66*D66*'B) D RI'!S68</f>
        <v>0</v>
      </c>
    </row>
    <row r="67" spans="1:13" x14ac:dyDescent="0.25">
      <c r="A67" s="290">
        <f>'A) Base RI'!A69</f>
        <v>5498</v>
      </c>
      <c r="B67" s="32" t="str">
        <f>'A) Base RI'!B69</f>
        <v>La Sarraz</v>
      </c>
      <c r="C67" s="288">
        <f>'B) D RI'!U69</f>
        <v>77649.398333333345</v>
      </c>
      <c r="D67" s="32">
        <f>'B) D RI'!AA69</f>
        <v>2651</v>
      </c>
      <c r="E67" s="205">
        <f t="shared" si="2"/>
        <v>29.29060668929964</v>
      </c>
      <c r="F67" s="364">
        <f t="shared" si="3"/>
        <v>0.62155496147127887</v>
      </c>
      <c r="G67" s="375">
        <f t="shared" si="4"/>
        <v>0</v>
      </c>
      <c r="H67" s="372">
        <f t="shared" si="5"/>
        <v>0</v>
      </c>
      <c r="I67" s="375">
        <f t="shared" si="6"/>
        <v>0</v>
      </c>
      <c r="J67" s="372">
        <f t="shared" si="7"/>
        <v>0</v>
      </c>
      <c r="K67" s="367">
        <f t="shared" si="8"/>
        <v>0</v>
      </c>
      <c r="L67" s="371">
        <f t="shared" si="9"/>
        <v>0</v>
      </c>
      <c r="M67" s="118">
        <f>L67*D67*'B) D RI'!S69</f>
        <v>0</v>
      </c>
    </row>
    <row r="68" spans="1:13" x14ac:dyDescent="0.25">
      <c r="A68" s="290">
        <f>'A) Base RI'!A70</f>
        <v>5499</v>
      </c>
      <c r="B68" s="32" t="str">
        <f>'A) Base RI'!B70</f>
        <v>Senarclens</v>
      </c>
      <c r="C68" s="288">
        <f>'B) D RI'!U70</f>
        <v>19517.373430656935</v>
      </c>
      <c r="D68" s="32">
        <f>'B) D RI'!AA70</f>
        <v>477</v>
      </c>
      <c r="E68" s="205">
        <f t="shared" si="2"/>
        <v>40.916925431146616</v>
      </c>
      <c r="F68" s="364">
        <f t="shared" si="3"/>
        <v>0.86826873473980692</v>
      </c>
      <c r="G68" s="375">
        <f t="shared" si="4"/>
        <v>0</v>
      </c>
      <c r="H68" s="372">
        <f t="shared" si="5"/>
        <v>0</v>
      </c>
      <c r="I68" s="375">
        <f t="shared" si="6"/>
        <v>0</v>
      </c>
      <c r="J68" s="372">
        <f t="shared" si="7"/>
        <v>0</v>
      </c>
      <c r="K68" s="367">
        <f t="shared" si="8"/>
        <v>0</v>
      </c>
      <c r="L68" s="371">
        <f t="shared" si="9"/>
        <v>0</v>
      </c>
      <c r="M68" s="118">
        <f>L68*D68*'B) D RI'!S70</f>
        <v>0</v>
      </c>
    </row>
    <row r="69" spans="1:13" x14ac:dyDescent="0.25">
      <c r="A69" s="290">
        <f>'A) Base RI'!A71</f>
        <v>5500</v>
      </c>
      <c r="B69" s="32" t="str">
        <f>'A) Base RI'!B71</f>
        <v>Sévery</v>
      </c>
      <c r="C69" s="288">
        <f>'B) D RI'!U71</f>
        <v>6999.0248888888891</v>
      </c>
      <c r="D69" s="32">
        <f>'B) D RI'!AA71</f>
        <v>227</v>
      </c>
      <c r="E69" s="205">
        <f t="shared" si="2"/>
        <v>30.832708761625064</v>
      </c>
      <c r="F69" s="364">
        <f t="shared" si="3"/>
        <v>0.65427880377049497</v>
      </c>
      <c r="G69" s="375">
        <f t="shared" si="4"/>
        <v>0</v>
      </c>
      <c r="H69" s="372">
        <f t="shared" si="5"/>
        <v>0</v>
      </c>
      <c r="I69" s="375">
        <f t="shared" si="6"/>
        <v>0</v>
      </c>
      <c r="J69" s="372">
        <f t="shared" si="7"/>
        <v>0</v>
      </c>
      <c r="K69" s="367">
        <f t="shared" si="8"/>
        <v>0</v>
      </c>
      <c r="L69" s="371">
        <f t="shared" si="9"/>
        <v>0</v>
      </c>
      <c r="M69" s="118">
        <f>L69*D69*'B) D RI'!S71</f>
        <v>0</v>
      </c>
    </row>
    <row r="70" spans="1:13" x14ac:dyDescent="0.25">
      <c r="A70" s="290">
        <f>'A) Base RI'!A72</f>
        <v>5501</v>
      </c>
      <c r="B70" s="32" t="str">
        <f>'A) Base RI'!B72</f>
        <v>Sullens</v>
      </c>
      <c r="C70" s="288">
        <f>'B) D RI'!U72</f>
        <v>40473.718571428566</v>
      </c>
      <c r="D70" s="32">
        <f>'B) D RI'!AA72</f>
        <v>1035</v>
      </c>
      <c r="E70" s="205">
        <f t="shared" ref="E70:E133" si="10">C70/D70</f>
        <v>39.105042097998613</v>
      </c>
      <c r="F70" s="364">
        <f t="shared" ref="F70:F133" si="11">E70/$E$314</f>
        <v>0.82982005775365653</v>
      </c>
      <c r="G70" s="375">
        <f t="shared" ref="G70:G133" si="12">IF(E70-$G$2&lt;0,0,E70-$G$2)</f>
        <v>0</v>
      </c>
      <c r="H70" s="372">
        <f t="shared" ref="H70:H133" si="13">IF(E70-$H$2&lt;0,0,E70-$H$2)</f>
        <v>0</v>
      </c>
      <c r="I70" s="375">
        <f t="shared" ref="I70:I133" si="14">IF(E70-$I$2&lt;0,0,E70-$I$2)</f>
        <v>0</v>
      </c>
      <c r="J70" s="372">
        <f t="shared" ref="J70:J133" si="15">IF(E70-$J$2&lt;0,0,E70-$J$2)</f>
        <v>0</v>
      </c>
      <c r="K70" s="367">
        <f t="shared" ref="K70:K133" si="16">IF(E70-$K$2&lt;0,0,E70-$K$2)</f>
        <v>0</v>
      </c>
      <c r="L70" s="371">
        <f t="shared" ref="L70:L133" si="17">(G70-H70)*$G$3+(H70-I70)*$H$3+(I70-J70)*$I$3+(J70-K70)*$J$3+(K70*$K$3)</f>
        <v>0</v>
      </c>
      <c r="M70" s="118">
        <f>L70*D70*'B) D RI'!S72</f>
        <v>0</v>
      </c>
    </row>
    <row r="71" spans="1:13" x14ac:dyDescent="0.25">
      <c r="A71" s="290">
        <f>'A) Base RI'!A73</f>
        <v>5503</v>
      </c>
      <c r="B71" s="32" t="str">
        <f>'A) Base RI'!B73</f>
        <v>Vufflens-la-Ville</v>
      </c>
      <c r="C71" s="288">
        <f>'B) D RI'!U73</f>
        <v>87926.416417910455</v>
      </c>
      <c r="D71" s="32">
        <f>'B) D RI'!AA73</f>
        <v>1295</v>
      </c>
      <c r="E71" s="205">
        <f t="shared" si="10"/>
        <v>67.896846654757113</v>
      </c>
      <c r="F71" s="364">
        <f t="shared" si="11"/>
        <v>1.4407902968406543</v>
      </c>
      <c r="G71" s="375">
        <f t="shared" si="12"/>
        <v>20.772121562118436</v>
      </c>
      <c r="H71" s="372">
        <f t="shared" si="13"/>
        <v>11.347176543590699</v>
      </c>
      <c r="I71" s="375">
        <f t="shared" si="14"/>
        <v>0</v>
      </c>
      <c r="J71" s="372">
        <f t="shared" si="15"/>
        <v>0</v>
      </c>
      <c r="K71" s="367">
        <f t="shared" si="16"/>
        <v>0</v>
      </c>
      <c r="L71" s="371">
        <f t="shared" si="17"/>
        <v>5.2891419667827568</v>
      </c>
      <c r="M71" s="118">
        <f>L71*D71*'B) D RI'!S73</f>
        <v>458912.40274790593</v>
      </c>
    </row>
    <row r="72" spans="1:13" x14ac:dyDescent="0.25">
      <c r="A72" s="290">
        <f>'A) Base RI'!A74</f>
        <v>5511</v>
      </c>
      <c r="B72" s="32" t="str">
        <f>'A) Base RI'!B74</f>
        <v>Assens</v>
      </c>
      <c r="C72" s="288">
        <f>'B) D RI'!U74</f>
        <v>50067.904428571426</v>
      </c>
      <c r="D72" s="32">
        <f>'B) D RI'!AA74</f>
        <v>1074</v>
      </c>
      <c r="E72" s="205">
        <f t="shared" si="10"/>
        <v>46.618160548018089</v>
      </c>
      <c r="F72" s="364">
        <f t="shared" si="11"/>
        <v>0.98925055703508569</v>
      </c>
      <c r="G72" s="375">
        <f t="shared" si="12"/>
        <v>0</v>
      </c>
      <c r="H72" s="372">
        <f t="shared" si="13"/>
        <v>0</v>
      </c>
      <c r="I72" s="375">
        <f t="shared" si="14"/>
        <v>0</v>
      </c>
      <c r="J72" s="372">
        <f t="shared" si="15"/>
        <v>0</v>
      </c>
      <c r="K72" s="367">
        <f t="shared" si="16"/>
        <v>0</v>
      </c>
      <c r="L72" s="371">
        <f t="shared" si="17"/>
        <v>0</v>
      </c>
      <c r="M72" s="118">
        <f>L72*D72*'B) D RI'!S74</f>
        <v>0</v>
      </c>
    </row>
    <row r="73" spans="1:13" x14ac:dyDescent="0.25">
      <c r="A73" s="290">
        <f>'A) Base RI'!A75</f>
        <v>5512</v>
      </c>
      <c r="B73" s="32" t="str">
        <f>'A) Base RI'!B75</f>
        <v>Bercher</v>
      </c>
      <c r="C73" s="288">
        <f>'B) D RI'!U75</f>
        <v>40005.59860759494</v>
      </c>
      <c r="D73" s="32">
        <f>'B) D RI'!AA75</f>
        <v>1280</v>
      </c>
      <c r="E73" s="205">
        <f t="shared" si="10"/>
        <v>31.254373912183546</v>
      </c>
      <c r="F73" s="364">
        <f t="shared" si="11"/>
        <v>0.66322665757186072</v>
      </c>
      <c r="G73" s="375">
        <f t="shared" si="12"/>
        <v>0</v>
      </c>
      <c r="H73" s="372">
        <f t="shared" si="13"/>
        <v>0</v>
      </c>
      <c r="I73" s="375">
        <f t="shared" si="14"/>
        <v>0</v>
      </c>
      <c r="J73" s="372">
        <f t="shared" si="15"/>
        <v>0</v>
      </c>
      <c r="K73" s="367">
        <f t="shared" si="16"/>
        <v>0</v>
      </c>
      <c r="L73" s="371">
        <f t="shared" si="17"/>
        <v>0</v>
      </c>
      <c r="M73" s="118">
        <f>L73*D73*'B) D RI'!S75</f>
        <v>0</v>
      </c>
    </row>
    <row r="74" spans="1:13" x14ac:dyDescent="0.25">
      <c r="A74" s="290">
        <f>'A) Base RI'!A76</f>
        <v>5513</v>
      </c>
      <c r="B74" s="32" t="str">
        <f>'A) Base RI'!B76</f>
        <v>Bioley-Orjulaz</v>
      </c>
      <c r="C74" s="288">
        <f>'B) D RI'!U76</f>
        <v>22037.146176470589</v>
      </c>
      <c r="D74" s="32">
        <f>'B) D RI'!AA76</f>
        <v>521</v>
      </c>
      <c r="E74" s="205">
        <f t="shared" si="10"/>
        <v>42.297785367505931</v>
      </c>
      <c r="F74" s="364">
        <f t="shared" si="11"/>
        <v>0.89757097329175173</v>
      </c>
      <c r="G74" s="375">
        <f t="shared" si="12"/>
        <v>0</v>
      </c>
      <c r="H74" s="372">
        <f t="shared" si="13"/>
        <v>0</v>
      </c>
      <c r="I74" s="375">
        <f t="shared" si="14"/>
        <v>0</v>
      </c>
      <c r="J74" s="372">
        <f t="shared" si="15"/>
        <v>0</v>
      </c>
      <c r="K74" s="367">
        <f t="shared" si="16"/>
        <v>0</v>
      </c>
      <c r="L74" s="371">
        <f t="shared" si="17"/>
        <v>0</v>
      </c>
      <c r="M74" s="118">
        <f>L74*D74*'B) D RI'!S76</f>
        <v>0</v>
      </c>
    </row>
    <row r="75" spans="1:13" x14ac:dyDescent="0.25">
      <c r="A75" s="290">
        <f>'A) Base RI'!A77</f>
        <v>5514</v>
      </c>
      <c r="B75" s="32" t="str">
        <f>'A) Base RI'!B77</f>
        <v>Bottens</v>
      </c>
      <c r="C75" s="288">
        <f>'B) D RI'!U77</f>
        <v>40784.156621621616</v>
      </c>
      <c r="D75" s="32">
        <f>'B) D RI'!AA77</f>
        <v>1299</v>
      </c>
      <c r="E75" s="205">
        <f t="shared" si="10"/>
        <v>31.396579385390005</v>
      </c>
      <c r="F75" s="364">
        <f t="shared" si="11"/>
        <v>0.666244297949113</v>
      </c>
      <c r="G75" s="375">
        <f t="shared" si="12"/>
        <v>0</v>
      </c>
      <c r="H75" s="372">
        <f t="shared" si="13"/>
        <v>0</v>
      </c>
      <c r="I75" s="375">
        <f t="shared" si="14"/>
        <v>0</v>
      </c>
      <c r="J75" s="372">
        <f t="shared" si="15"/>
        <v>0</v>
      </c>
      <c r="K75" s="367">
        <f t="shared" si="16"/>
        <v>0</v>
      </c>
      <c r="L75" s="371">
        <f t="shared" si="17"/>
        <v>0</v>
      </c>
      <c r="M75" s="118">
        <f>L75*D75*'B) D RI'!S77</f>
        <v>0</v>
      </c>
    </row>
    <row r="76" spans="1:13" x14ac:dyDescent="0.25">
      <c r="A76" s="290">
        <f>'A) Base RI'!A78</f>
        <v>5515</v>
      </c>
      <c r="B76" s="32" t="str">
        <f>'A) Base RI'!B78</f>
        <v>Bretigny-sur-Morrens</v>
      </c>
      <c r="C76" s="288">
        <f>'B) D RI'!U78</f>
        <v>28825.846790123462</v>
      </c>
      <c r="D76" s="32">
        <f>'B) D RI'!AA78</f>
        <v>861</v>
      </c>
      <c r="E76" s="205">
        <f t="shared" si="10"/>
        <v>33.479496852640487</v>
      </c>
      <c r="F76" s="364">
        <f t="shared" si="11"/>
        <v>0.71044439594768682</v>
      </c>
      <c r="G76" s="375">
        <f t="shared" si="12"/>
        <v>0</v>
      </c>
      <c r="H76" s="372">
        <f t="shared" si="13"/>
        <v>0</v>
      </c>
      <c r="I76" s="375">
        <f t="shared" si="14"/>
        <v>0</v>
      </c>
      <c r="J76" s="372">
        <f t="shared" si="15"/>
        <v>0</v>
      </c>
      <c r="K76" s="367">
        <f t="shared" si="16"/>
        <v>0</v>
      </c>
      <c r="L76" s="371">
        <f t="shared" si="17"/>
        <v>0</v>
      </c>
      <c r="M76" s="118">
        <f>L76*D76*'B) D RI'!S78</f>
        <v>0</v>
      </c>
    </row>
    <row r="77" spans="1:13" x14ac:dyDescent="0.25">
      <c r="A77" s="290">
        <f>'A) Base RI'!A79</f>
        <v>5516</v>
      </c>
      <c r="B77" s="32" t="str">
        <f>'A) Base RI'!B79</f>
        <v>Cugy</v>
      </c>
      <c r="C77" s="288">
        <f>'B) D RI'!U79</f>
        <v>111163.080491453</v>
      </c>
      <c r="D77" s="32">
        <f>'B) D RI'!AA79</f>
        <v>2768</v>
      </c>
      <c r="E77" s="205">
        <f t="shared" si="10"/>
        <v>40.160072431883307</v>
      </c>
      <c r="F77" s="364">
        <f t="shared" si="11"/>
        <v>0.85220809995041624</v>
      </c>
      <c r="G77" s="375">
        <f t="shared" si="12"/>
        <v>0</v>
      </c>
      <c r="H77" s="372">
        <f t="shared" si="13"/>
        <v>0</v>
      </c>
      <c r="I77" s="375">
        <f t="shared" si="14"/>
        <v>0</v>
      </c>
      <c r="J77" s="372">
        <f t="shared" si="15"/>
        <v>0</v>
      </c>
      <c r="K77" s="367">
        <f t="shared" si="16"/>
        <v>0</v>
      </c>
      <c r="L77" s="371">
        <f t="shared" si="17"/>
        <v>0</v>
      </c>
      <c r="M77" s="118">
        <f>L77*D77*'B) D RI'!S79</f>
        <v>0</v>
      </c>
    </row>
    <row r="78" spans="1:13" x14ac:dyDescent="0.25">
      <c r="A78" s="290">
        <f>'A) Base RI'!A80</f>
        <v>5518</v>
      </c>
      <c r="B78" s="32" t="str">
        <f>'A) Base RI'!B80</f>
        <v>Echallens</v>
      </c>
      <c r="C78" s="288">
        <f>'B) D RI'!U80</f>
        <v>187816.41499999998</v>
      </c>
      <c r="D78" s="32">
        <f>'B) D RI'!AA80</f>
        <v>5725</v>
      </c>
      <c r="E78" s="205">
        <f t="shared" si="10"/>
        <v>32.80636069868995</v>
      </c>
      <c r="F78" s="364">
        <f t="shared" si="11"/>
        <v>0.69616025630279188</v>
      </c>
      <c r="G78" s="375">
        <f t="shared" si="12"/>
        <v>0</v>
      </c>
      <c r="H78" s="372">
        <f t="shared" si="13"/>
        <v>0</v>
      </c>
      <c r="I78" s="375">
        <f t="shared" si="14"/>
        <v>0</v>
      </c>
      <c r="J78" s="372">
        <f t="shared" si="15"/>
        <v>0</v>
      </c>
      <c r="K78" s="367">
        <f t="shared" si="16"/>
        <v>0</v>
      </c>
      <c r="L78" s="371">
        <f t="shared" si="17"/>
        <v>0</v>
      </c>
      <c r="M78" s="118">
        <f>L78*D78*'B) D RI'!S80</f>
        <v>0</v>
      </c>
    </row>
    <row r="79" spans="1:13" x14ac:dyDescent="0.25">
      <c r="A79" s="290">
        <f>'A) Base RI'!A81</f>
        <v>5520</v>
      </c>
      <c r="B79" s="32" t="str">
        <f>'A) Base RI'!B81</f>
        <v>Essertines-sur-Yverdon</v>
      </c>
      <c r="C79" s="288">
        <f>'B) D RI'!U81</f>
        <v>29858.34041095891</v>
      </c>
      <c r="D79" s="32">
        <f>'B) D RI'!AA81</f>
        <v>1030</v>
      </c>
      <c r="E79" s="205">
        <f t="shared" si="10"/>
        <v>28.988680010639719</v>
      </c>
      <c r="F79" s="364">
        <f t="shared" si="11"/>
        <v>0.61514799192256764</v>
      </c>
      <c r="G79" s="375">
        <f t="shared" si="12"/>
        <v>0</v>
      </c>
      <c r="H79" s="372">
        <f t="shared" si="13"/>
        <v>0</v>
      </c>
      <c r="I79" s="375">
        <f t="shared" si="14"/>
        <v>0</v>
      </c>
      <c r="J79" s="372">
        <f t="shared" si="15"/>
        <v>0</v>
      </c>
      <c r="K79" s="367">
        <f t="shared" si="16"/>
        <v>0</v>
      </c>
      <c r="L79" s="371">
        <f t="shared" si="17"/>
        <v>0</v>
      </c>
      <c r="M79" s="118">
        <f>L79*D79*'B) D RI'!S81</f>
        <v>0</v>
      </c>
    </row>
    <row r="80" spans="1:13" x14ac:dyDescent="0.25">
      <c r="A80" s="290">
        <f>'A) Base RI'!A82</f>
        <v>5521</v>
      </c>
      <c r="B80" s="32" t="str">
        <f>'A) Base RI'!B82</f>
        <v>Etagnières</v>
      </c>
      <c r="C80" s="288">
        <f>'B) D RI'!U82</f>
        <v>48278.723150684935</v>
      </c>
      <c r="D80" s="32">
        <f>'B) D RI'!AA82</f>
        <v>1143</v>
      </c>
      <c r="E80" s="205">
        <f t="shared" si="10"/>
        <v>42.23860293148288</v>
      </c>
      <c r="F80" s="364">
        <f t="shared" si="11"/>
        <v>0.89631510525418312</v>
      </c>
      <c r="G80" s="375">
        <f t="shared" si="12"/>
        <v>0</v>
      </c>
      <c r="H80" s="372">
        <f t="shared" si="13"/>
        <v>0</v>
      </c>
      <c r="I80" s="375">
        <f t="shared" si="14"/>
        <v>0</v>
      </c>
      <c r="J80" s="372">
        <f t="shared" si="15"/>
        <v>0</v>
      </c>
      <c r="K80" s="367">
        <f t="shared" si="16"/>
        <v>0</v>
      </c>
      <c r="L80" s="371">
        <f t="shared" si="17"/>
        <v>0</v>
      </c>
      <c r="M80" s="118">
        <f>L80*D80*'B) D RI'!S82</f>
        <v>0</v>
      </c>
    </row>
    <row r="81" spans="1:13" x14ac:dyDescent="0.25">
      <c r="A81" s="290">
        <f>'A) Base RI'!A83</f>
        <v>5522</v>
      </c>
      <c r="B81" s="32" t="str">
        <f>'A) Base RI'!B83</f>
        <v>Fey</v>
      </c>
      <c r="C81" s="288">
        <f>'B) D RI'!U83</f>
        <v>22727.539066666664</v>
      </c>
      <c r="D81" s="32">
        <f>'B) D RI'!AA83</f>
        <v>751</v>
      </c>
      <c r="E81" s="205">
        <f t="shared" si="10"/>
        <v>30.263034709276518</v>
      </c>
      <c r="F81" s="364">
        <f t="shared" si="11"/>
        <v>0.64219015919530287</v>
      </c>
      <c r="G81" s="375">
        <f t="shared" si="12"/>
        <v>0</v>
      </c>
      <c r="H81" s="372">
        <f t="shared" si="13"/>
        <v>0</v>
      </c>
      <c r="I81" s="375">
        <f t="shared" si="14"/>
        <v>0</v>
      </c>
      <c r="J81" s="372">
        <f t="shared" si="15"/>
        <v>0</v>
      </c>
      <c r="K81" s="367">
        <f t="shared" si="16"/>
        <v>0</v>
      </c>
      <c r="L81" s="371">
        <f t="shared" si="17"/>
        <v>0</v>
      </c>
      <c r="M81" s="118">
        <f>L81*D81*'B) D RI'!S83</f>
        <v>0</v>
      </c>
    </row>
    <row r="82" spans="1:13" x14ac:dyDescent="0.25">
      <c r="A82" s="290">
        <f>'A) Base RI'!A84</f>
        <v>5523</v>
      </c>
      <c r="B82" s="32" t="str">
        <f>'A) Base RI'!B84</f>
        <v>Froideville</v>
      </c>
      <c r="C82" s="288">
        <f>'B) D RI'!U84</f>
        <v>89231.727236842082</v>
      </c>
      <c r="D82" s="32">
        <f>'B) D RI'!AA84</f>
        <v>2638</v>
      </c>
      <c r="E82" s="205">
        <f t="shared" si="10"/>
        <v>33.82552207613422</v>
      </c>
      <c r="F82" s="364">
        <f t="shared" si="11"/>
        <v>0.71778714909507413</v>
      </c>
      <c r="G82" s="375">
        <f t="shared" si="12"/>
        <v>0</v>
      </c>
      <c r="H82" s="372">
        <f t="shared" si="13"/>
        <v>0</v>
      </c>
      <c r="I82" s="375">
        <f t="shared" si="14"/>
        <v>0</v>
      </c>
      <c r="J82" s="372">
        <f t="shared" si="15"/>
        <v>0</v>
      </c>
      <c r="K82" s="367">
        <f t="shared" si="16"/>
        <v>0</v>
      </c>
      <c r="L82" s="371">
        <f t="shared" si="17"/>
        <v>0</v>
      </c>
      <c r="M82" s="118">
        <f>L82*D82*'B) D RI'!S84</f>
        <v>0</v>
      </c>
    </row>
    <row r="83" spans="1:13" x14ac:dyDescent="0.25">
      <c r="A83" s="290">
        <f>'A) Base RI'!A85</f>
        <v>5527</v>
      </c>
      <c r="B83" s="32" t="str">
        <f>'A) Base RI'!B85</f>
        <v>Morrens</v>
      </c>
      <c r="C83" s="288">
        <f>'B) D RI'!U85</f>
        <v>40137.160945945958</v>
      </c>
      <c r="D83" s="32">
        <f>'B) D RI'!AA85</f>
        <v>1126</v>
      </c>
      <c r="E83" s="205">
        <f t="shared" si="10"/>
        <v>35.645791248619858</v>
      </c>
      <c r="F83" s="364">
        <f t="shared" si="11"/>
        <v>0.75641377596467008</v>
      </c>
      <c r="G83" s="375">
        <f t="shared" si="12"/>
        <v>0</v>
      </c>
      <c r="H83" s="372">
        <f t="shared" si="13"/>
        <v>0</v>
      </c>
      <c r="I83" s="375">
        <f t="shared" si="14"/>
        <v>0</v>
      </c>
      <c r="J83" s="372">
        <f t="shared" si="15"/>
        <v>0</v>
      </c>
      <c r="K83" s="367">
        <f t="shared" si="16"/>
        <v>0</v>
      </c>
      <c r="L83" s="371">
        <f t="shared" si="17"/>
        <v>0</v>
      </c>
      <c r="M83" s="118">
        <f>L83*D83*'B) D RI'!S85</f>
        <v>0</v>
      </c>
    </row>
    <row r="84" spans="1:13" x14ac:dyDescent="0.25">
      <c r="A84" s="290">
        <f>'A) Base RI'!A86</f>
        <v>5529</v>
      </c>
      <c r="B84" s="32" t="str">
        <f>'A) Base RI'!B86</f>
        <v>Oulens-sous-Echallens</v>
      </c>
      <c r="C84" s="288">
        <f>'B) D RI'!U86</f>
        <v>21602.609436619721</v>
      </c>
      <c r="D84" s="32">
        <f>'B) D RI'!AA86</f>
        <v>615</v>
      </c>
      <c r="E84" s="205">
        <f t="shared" si="10"/>
        <v>35.126194205885724</v>
      </c>
      <c r="F84" s="364">
        <f t="shared" si="11"/>
        <v>0.74538777970235337</v>
      </c>
      <c r="G84" s="375">
        <f t="shared" si="12"/>
        <v>0</v>
      </c>
      <c r="H84" s="372">
        <f t="shared" si="13"/>
        <v>0</v>
      </c>
      <c r="I84" s="375">
        <f t="shared" si="14"/>
        <v>0</v>
      </c>
      <c r="J84" s="372">
        <f t="shared" si="15"/>
        <v>0</v>
      </c>
      <c r="K84" s="367">
        <f t="shared" si="16"/>
        <v>0</v>
      </c>
      <c r="L84" s="371">
        <f t="shared" si="17"/>
        <v>0</v>
      </c>
      <c r="M84" s="118">
        <f>L84*D84*'B) D RI'!S86</f>
        <v>0</v>
      </c>
    </row>
    <row r="85" spans="1:13" x14ac:dyDescent="0.25">
      <c r="A85" s="290">
        <f>'A) Base RI'!A87</f>
        <v>5530</v>
      </c>
      <c r="B85" s="32" t="str">
        <f>'A) Base RI'!B87</f>
        <v>Pailly</v>
      </c>
      <c r="C85" s="288">
        <f>'B) D RI'!U87</f>
        <v>17625.052150537631</v>
      </c>
      <c r="D85" s="32">
        <f>'B) D RI'!AA87</f>
        <v>563</v>
      </c>
      <c r="E85" s="205">
        <f t="shared" si="10"/>
        <v>31.305598846425632</v>
      </c>
      <c r="F85" s="364">
        <f t="shared" si="11"/>
        <v>0.6643136651701308</v>
      </c>
      <c r="G85" s="375">
        <f t="shared" si="12"/>
        <v>0</v>
      </c>
      <c r="H85" s="372">
        <f t="shared" si="13"/>
        <v>0</v>
      </c>
      <c r="I85" s="375">
        <f t="shared" si="14"/>
        <v>0</v>
      </c>
      <c r="J85" s="372">
        <f t="shared" si="15"/>
        <v>0</v>
      </c>
      <c r="K85" s="367">
        <f t="shared" si="16"/>
        <v>0</v>
      </c>
      <c r="L85" s="371">
        <f t="shared" si="17"/>
        <v>0</v>
      </c>
      <c r="M85" s="118">
        <f>L85*D85*'B) D RI'!S87</f>
        <v>0</v>
      </c>
    </row>
    <row r="86" spans="1:13" x14ac:dyDescent="0.25">
      <c r="A86" s="290">
        <f>'A) Base RI'!A88</f>
        <v>5531</v>
      </c>
      <c r="B86" s="32" t="str">
        <f>'A) Base RI'!B88</f>
        <v>Penthéréaz</v>
      </c>
      <c r="C86" s="288">
        <f>'B) D RI'!U88</f>
        <v>14653.782435897439</v>
      </c>
      <c r="D86" s="32">
        <f>'B) D RI'!AA88</f>
        <v>421</v>
      </c>
      <c r="E86" s="205">
        <f t="shared" si="10"/>
        <v>34.807084170777763</v>
      </c>
      <c r="F86" s="364">
        <f t="shared" si="11"/>
        <v>0.73861617446793248</v>
      </c>
      <c r="G86" s="375">
        <f t="shared" si="12"/>
        <v>0</v>
      </c>
      <c r="H86" s="372">
        <f t="shared" si="13"/>
        <v>0</v>
      </c>
      <c r="I86" s="375">
        <f t="shared" si="14"/>
        <v>0</v>
      </c>
      <c r="J86" s="372">
        <f t="shared" si="15"/>
        <v>0</v>
      </c>
      <c r="K86" s="367">
        <f t="shared" si="16"/>
        <v>0</v>
      </c>
      <c r="L86" s="371">
        <f t="shared" si="17"/>
        <v>0</v>
      </c>
      <c r="M86" s="118">
        <f>L86*D86*'B) D RI'!S88</f>
        <v>0</v>
      </c>
    </row>
    <row r="87" spans="1:13" x14ac:dyDescent="0.25">
      <c r="A87" s="290">
        <f>'A) Base RI'!A89</f>
        <v>5533</v>
      </c>
      <c r="B87" s="32" t="str">
        <f>'A) Base RI'!B89</f>
        <v>Poliez-Pittet</v>
      </c>
      <c r="C87" s="288">
        <f>'B) D RI'!U89</f>
        <v>22836.129452054793</v>
      </c>
      <c r="D87" s="32">
        <f>'B) D RI'!AA89</f>
        <v>829</v>
      </c>
      <c r="E87" s="205">
        <f t="shared" si="10"/>
        <v>27.546597650247037</v>
      </c>
      <c r="F87" s="364">
        <f t="shared" si="11"/>
        <v>0.58454659621027849</v>
      </c>
      <c r="G87" s="375">
        <f t="shared" si="12"/>
        <v>0</v>
      </c>
      <c r="H87" s="372">
        <f t="shared" si="13"/>
        <v>0</v>
      </c>
      <c r="I87" s="375">
        <f t="shared" si="14"/>
        <v>0</v>
      </c>
      <c r="J87" s="372">
        <f t="shared" si="15"/>
        <v>0</v>
      </c>
      <c r="K87" s="367">
        <f t="shared" si="16"/>
        <v>0</v>
      </c>
      <c r="L87" s="371">
        <f t="shared" si="17"/>
        <v>0</v>
      </c>
      <c r="M87" s="118">
        <f>L87*D87*'B) D RI'!S89</f>
        <v>0</v>
      </c>
    </row>
    <row r="88" spans="1:13" x14ac:dyDescent="0.25">
      <c r="A88" s="290">
        <f>'A) Base RI'!A90</f>
        <v>5534</v>
      </c>
      <c r="B88" s="32" t="str">
        <f>'A) Base RI'!B90</f>
        <v>Rueyres</v>
      </c>
      <c r="C88" s="288">
        <f>'B) D RI'!U90</f>
        <v>10463.952465753426</v>
      </c>
      <c r="D88" s="32">
        <f>'B) D RI'!AA90</f>
        <v>265</v>
      </c>
      <c r="E88" s="205">
        <f t="shared" si="10"/>
        <v>39.486613078314811</v>
      </c>
      <c r="F88" s="364">
        <f t="shared" si="11"/>
        <v>0.83791710191818158</v>
      </c>
      <c r="G88" s="375">
        <f t="shared" si="12"/>
        <v>0</v>
      </c>
      <c r="H88" s="372">
        <f t="shared" si="13"/>
        <v>0</v>
      </c>
      <c r="I88" s="375">
        <f t="shared" si="14"/>
        <v>0</v>
      </c>
      <c r="J88" s="372">
        <f t="shared" si="15"/>
        <v>0</v>
      </c>
      <c r="K88" s="367">
        <f t="shared" si="16"/>
        <v>0</v>
      </c>
      <c r="L88" s="371">
        <f t="shared" si="17"/>
        <v>0</v>
      </c>
      <c r="M88" s="118">
        <f>L88*D88*'B) D RI'!S90</f>
        <v>0</v>
      </c>
    </row>
    <row r="89" spans="1:13" x14ac:dyDescent="0.25">
      <c r="A89" s="290">
        <f>'A) Base RI'!A91</f>
        <v>5535</v>
      </c>
      <c r="B89" s="32" t="str">
        <f>'A) Base RI'!B91</f>
        <v>Saint-Barthélemy</v>
      </c>
      <c r="C89" s="288">
        <f>'B) D RI'!U91</f>
        <v>22478.945584415589</v>
      </c>
      <c r="D89" s="32">
        <f>'B) D RI'!AA91</f>
        <v>791</v>
      </c>
      <c r="E89" s="205">
        <f t="shared" si="10"/>
        <v>28.41838885513981</v>
      </c>
      <c r="F89" s="364">
        <f t="shared" si="11"/>
        <v>0.60304625224389963</v>
      </c>
      <c r="G89" s="375">
        <f t="shared" si="12"/>
        <v>0</v>
      </c>
      <c r="H89" s="372">
        <f t="shared" si="13"/>
        <v>0</v>
      </c>
      <c r="I89" s="375">
        <f t="shared" si="14"/>
        <v>0</v>
      </c>
      <c r="J89" s="372">
        <f t="shared" si="15"/>
        <v>0</v>
      </c>
      <c r="K89" s="367">
        <f t="shared" si="16"/>
        <v>0</v>
      </c>
      <c r="L89" s="371">
        <f t="shared" si="17"/>
        <v>0</v>
      </c>
      <c r="M89" s="118">
        <f>L89*D89*'B) D RI'!S91</f>
        <v>0</v>
      </c>
    </row>
    <row r="90" spans="1:13" x14ac:dyDescent="0.25">
      <c r="A90" s="290">
        <f>'A) Base RI'!A92</f>
        <v>5537</v>
      </c>
      <c r="B90" s="32" t="str">
        <f>'A) Base RI'!B92</f>
        <v>Villars-le-Terroir</v>
      </c>
      <c r="C90" s="288">
        <f>'B) D RI'!U92</f>
        <v>36268.70386986302</v>
      </c>
      <c r="D90" s="32">
        <f>'B) D RI'!AA92</f>
        <v>1228</v>
      </c>
      <c r="E90" s="205">
        <f t="shared" si="10"/>
        <v>29.534775138324935</v>
      </c>
      <c r="F90" s="364">
        <f t="shared" si="11"/>
        <v>0.62673628504495071</v>
      </c>
      <c r="G90" s="375">
        <f t="shared" si="12"/>
        <v>0</v>
      </c>
      <c r="H90" s="372">
        <f t="shared" si="13"/>
        <v>0</v>
      </c>
      <c r="I90" s="375">
        <f t="shared" si="14"/>
        <v>0</v>
      </c>
      <c r="J90" s="372">
        <f t="shared" si="15"/>
        <v>0</v>
      </c>
      <c r="K90" s="367">
        <f t="shared" si="16"/>
        <v>0</v>
      </c>
      <c r="L90" s="371">
        <f t="shared" si="17"/>
        <v>0</v>
      </c>
      <c r="M90" s="118">
        <f>L90*D90*'B) D RI'!S92</f>
        <v>0</v>
      </c>
    </row>
    <row r="91" spans="1:13" x14ac:dyDescent="0.25">
      <c r="A91" s="290">
        <f>'A) Base RI'!A93</f>
        <v>5539</v>
      </c>
      <c r="B91" s="32" t="str">
        <f>'A) Base RI'!B93</f>
        <v>Vuarrens</v>
      </c>
      <c r="C91" s="288">
        <f>'B) D RI'!U93</f>
        <v>30000.607399999997</v>
      </c>
      <c r="D91" s="32">
        <f>'B) D RI'!AA93</f>
        <v>1054</v>
      </c>
      <c r="E91" s="205">
        <f t="shared" si="10"/>
        <v>28.463574383301705</v>
      </c>
      <c r="F91" s="364">
        <f t="shared" si="11"/>
        <v>0.60400510193635015</v>
      </c>
      <c r="G91" s="375">
        <f t="shared" si="12"/>
        <v>0</v>
      </c>
      <c r="H91" s="372">
        <f t="shared" si="13"/>
        <v>0</v>
      </c>
      <c r="I91" s="375">
        <f t="shared" si="14"/>
        <v>0</v>
      </c>
      <c r="J91" s="372">
        <f t="shared" si="15"/>
        <v>0</v>
      </c>
      <c r="K91" s="367">
        <f t="shared" si="16"/>
        <v>0</v>
      </c>
      <c r="L91" s="371">
        <f t="shared" si="17"/>
        <v>0</v>
      </c>
      <c r="M91" s="118">
        <f>L91*D91*'B) D RI'!S93</f>
        <v>0</v>
      </c>
    </row>
    <row r="92" spans="1:13" x14ac:dyDescent="0.25">
      <c r="A92" s="290">
        <f>'A) Base RI'!A94</f>
        <v>5540</v>
      </c>
      <c r="B92" s="32" t="str">
        <f>'A) Base RI'!B94</f>
        <v>Montilliez</v>
      </c>
      <c r="C92" s="288">
        <f>'B) D RI'!U94</f>
        <v>64761.783243243241</v>
      </c>
      <c r="D92" s="32">
        <f>'B) D RI'!AA94</f>
        <v>1819</v>
      </c>
      <c r="E92" s="205">
        <f t="shared" si="10"/>
        <v>35.602959452030369</v>
      </c>
      <c r="F92" s="364">
        <f t="shared" si="11"/>
        <v>0.75550487312215397</v>
      </c>
      <c r="G92" s="375">
        <f t="shared" si="12"/>
        <v>0</v>
      </c>
      <c r="H92" s="372">
        <f t="shared" si="13"/>
        <v>0</v>
      </c>
      <c r="I92" s="375">
        <f t="shared" si="14"/>
        <v>0</v>
      </c>
      <c r="J92" s="372">
        <f t="shared" si="15"/>
        <v>0</v>
      </c>
      <c r="K92" s="367">
        <f t="shared" si="16"/>
        <v>0</v>
      </c>
      <c r="L92" s="371">
        <f t="shared" si="17"/>
        <v>0</v>
      </c>
      <c r="M92" s="118">
        <f>L92*D92*'B) D RI'!S94</f>
        <v>0</v>
      </c>
    </row>
    <row r="93" spans="1:13" x14ac:dyDescent="0.25">
      <c r="A93" s="290">
        <f>'A) Base RI'!A95</f>
        <v>5541</v>
      </c>
      <c r="B93" s="32" t="str">
        <f>'A) Base RI'!B95</f>
        <v>Goumoëns</v>
      </c>
      <c r="C93" s="288">
        <f>'B) D RI'!U95</f>
        <v>37389.402987012982</v>
      </c>
      <c r="D93" s="32">
        <f>'B) D RI'!AA95</f>
        <v>1140</v>
      </c>
      <c r="E93" s="205">
        <f t="shared" si="10"/>
        <v>32.797721918432437</v>
      </c>
      <c r="F93" s="364">
        <f t="shared" si="11"/>
        <v>0.69597693894145918</v>
      </c>
      <c r="G93" s="375">
        <f t="shared" si="12"/>
        <v>0</v>
      </c>
      <c r="H93" s="372">
        <f t="shared" si="13"/>
        <v>0</v>
      </c>
      <c r="I93" s="375">
        <f t="shared" si="14"/>
        <v>0</v>
      </c>
      <c r="J93" s="372">
        <f t="shared" si="15"/>
        <v>0</v>
      </c>
      <c r="K93" s="367">
        <f t="shared" si="16"/>
        <v>0</v>
      </c>
      <c r="L93" s="371">
        <f t="shared" si="17"/>
        <v>0</v>
      </c>
      <c r="M93" s="118">
        <f>L93*D93*'B) D RI'!S95</f>
        <v>0</v>
      </c>
    </row>
    <row r="94" spans="1:13" x14ac:dyDescent="0.25">
      <c r="A94" s="290">
        <f>'A) Base RI'!A96</f>
        <v>5551</v>
      </c>
      <c r="B94" s="32" t="str">
        <f>'A) Base RI'!B96</f>
        <v>Bonvillars</v>
      </c>
      <c r="C94" s="288">
        <f>'B) D RI'!U96</f>
        <v>18282.205818181821</v>
      </c>
      <c r="D94" s="32">
        <f>'B) D RI'!AA96</f>
        <v>490</v>
      </c>
      <c r="E94" s="205">
        <f t="shared" si="10"/>
        <v>37.31062411873841</v>
      </c>
      <c r="F94" s="364">
        <f t="shared" si="11"/>
        <v>0.79174200051867627</v>
      </c>
      <c r="G94" s="375">
        <f t="shared" si="12"/>
        <v>0</v>
      </c>
      <c r="H94" s="372">
        <f t="shared" si="13"/>
        <v>0</v>
      </c>
      <c r="I94" s="375">
        <f t="shared" si="14"/>
        <v>0</v>
      </c>
      <c r="J94" s="372">
        <f t="shared" si="15"/>
        <v>0</v>
      </c>
      <c r="K94" s="367">
        <f t="shared" si="16"/>
        <v>0</v>
      </c>
      <c r="L94" s="371">
        <f t="shared" si="17"/>
        <v>0</v>
      </c>
      <c r="M94" s="118">
        <f>L94*D94*'B) D RI'!S96</f>
        <v>0</v>
      </c>
    </row>
    <row r="95" spans="1:13" x14ac:dyDescent="0.25">
      <c r="A95" s="290">
        <f>'A) Base RI'!A97</f>
        <v>5552</v>
      </c>
      <c r="B95" s="32" t="str">
        <f>'A) Base RI'!B97</f>
        <v>Bullet</v>
      </c>
      <c r="C95" s="288">
        <f>'B) D RI'!U97</f>
        <v>18372.474931506851</v>
      </c>
      <c r="D95" s="32">
        <f>'B) D RI'!AA97</f>
        <v>657</v>
      </c>
      <c r="E95" s="205">
        <f t="shared" si="10"/>
        <v>27.964193198640565</v>
      </c>
      <c r="F95" s="364">
        <f t="shared" si="11"/>
        <v>0.59340809190224508</v>
      </c>
      <c r="G95" s="375">
        <f t="shared" si="12"/>
        <v>0</v>
      </c>
      <c r="H95" s="372">
        <f t="shared" si="13"/>
        <v>0</v>
      </c>
      <c r="I95" s="375">
        <f t="shared" si="14"/>
        <v>0</v>
      </c>
      <c r="J95" s="372">
        <f t="shared" si="15"/>
        <v>0</v>
      </c>
      <c r="K95" s="367">
        <f t="shared" si="16"/>
        <v>0</v>
      </c>
      <c r="L95" s="371">
        <f t="shared" si="17"/>
        <v>0</v>
      </c>
      <c r="M95" s="118">
        <f>L95*D95*'B) D RI'!S97</f>
        <v>0</v>
      </c>
    </row>
    <row r="96" spans="1:13" x14ac:dyDescent="0.25">
      <c r="A96" s="290">
        <f>'A) Base RI'!A98</f>
        <v>5553</v>
      </c>
      <c r="B96" s="32" t="str">
        <f>'A) Base RI'!B98</f>
        <v>Champagne</v>
      </c>
      <c r="C96" s="288">
        <f>'B) D RI'!U98</f>
        <v>37695.100615384617</v>
      </c>
      <c r="D96" s="32">
        <f>'B) D RI'!AA98</f>
        <v>1059</v>
      </c>
      <c r="E96" s="205">
        <f t="shared" si="10"/>
        <v>35.594995859664415</v>
      </c>
      <c r="F96" s="364">
        <f t="shared" si="11"/>
        <v>0.75533588343891866</v>
      </c>
      <c r="G96" s="375">
        <f t="shared" si="12"/>
        <v>0</v>
      </c>
      <c r="H96" s="372">
        <f t="shared" si="13"/>
        <v>0</v>
      </c>
      <c r="I96" s="375">
        <f t="shared" si="14"/>
        <v>0</v>
      </c>
      <c r="J96" s="372">
        <f t="shared" si="15"/>
        <v>0</v>
      </c>
      <c r="K96" s="367">
        <f t="shared" si="16"/>
        <v>0</v>
      </c>
      <c r="L96" s="371">
        <f t="shared" si="17"/>
        <v>0</v>
      </c>
      <c r="M96" s="118">
        <f>L96*D96*'B) D RI'!S98</f>
        <v>0</v>
      </c>
    </row>
    <row r="97" spans="1:13" x14ac:dyDescent="0.25">
      <c r="A97" s="290">
        <f>'A) Base RI'!A99</f>
        <v>5554</v>
      </c>
      <c r="B97" s="32" t="str">
        <f>'A) Base RI'!B99</f>
        <v>Concise</v>
      </c>
      <c r="C97" s="288">
        <f>'B) D RI'!U99</f>
        <v>33287.826000000008</v>
      </c>
      <c r="D97" s="32">
        <f>'B) D RI'!AA99</f>
        <v>1025</v>
      </c>
      <c r="E97" s="205">
        <f t="shared" si="10"/>
        <v>32.475927804878054</v>
      </c>
      <c r="F97" s="364">
        <f t="shared" si="11"/>
        <v>0.68914837680296825</v>
      </c>
      <c r="G97" s="375">
        <f t="shared" si="12"/>
        <v>0</v>
      </c>
      <c r="H97" s="372">
        <f t="shared" si="13"/>
        <v>0</v>
      </c>
      <c r="I97" s="375">
        <f t="shared" si="14"/>
        <v>0</v>
      </c>
      <c r="J97" s="372">
        <f t="shared" si="15"/>
        <v>0</v>
      </c>
      <c r="K97" s="367">
        <f t="shared" si="16"/>
        <v>0</v>
      </c>
      <c r="L97" s="371">
        <f t="shared" si="17"/>
        <v>0</v>
      </c>
      <c r="M97" s="118">
        <f>L97*D97*'B) D RI'!S99</f>
        <v>0</v>
      </c>
    </row>
    <row r="98" spans="1:13" x14ac:dyDescent="0.25">
      <c r="A98" s="290">
        <f>'A) Base RI'!A100</f>
        <v>5555</v>
      </c>
      <c r="B98" s="32" t="str">
        <f>'A) Base RI'!B100</f>
        <v>Corcelles-près-Concise</v>
      </c>
      <c r="C98" s="288">
        <f>'B) D RI'!U100</f>
        <v>13538.992394366198</v>
      </c>
      <c r="D98" s="32">
        <f>'B) D RI'!AA100</f>
        <v>401</v>
      </c>
      <c r="E98" s="205">
        <f t="shared" si="10"/>
        <v>33.763073302658846</v>
      </c>
      <c r="F98" s="364">
        <f t="shared" si="11"/>
        <v>0.71646196845258525</v>
      </c>
      <c r="G98" s="375">
        <f t="shared" si="12"/>
        <v>0</v>
      </c>
      <c r="H98" s="372">
        <f t="shared" si="13"/>
        <v>0</v>
      </c>
      <c r="I98" s="375">
        <f t="shared" si="14"/>
        <v>0</v>
      </c>
      <c r="J98" s="372">
        <f t="shared" si="15"/>
        <v>0</v>
      </c>
      <c r="K98" s="367">
        <f t="shared" si="16"/>
        <v>0</v>
      </c>
      <c r="L98" s="371">
        <f t="shared" si="17"/>
        <v>0</v>
      </c>
      <c r="M98" s="118">
        <f>L98*D98*'B) D RI'!S100</f>
        <v>0</v>
      </c>
    </row>
    <row r="99" spans="1:13" x14ac:dyDescent="0.25">
      <c r="A99" s="290">
        <f>'A) Base RI'!A101</f>
        <v>5556</v>
      </c>
      <c r="B99" s="32" t="str">
        <f>'A) Base RI'!B101</f>
        <v>Fiez</v>
      </c>
      <c r="C99" s="288">
        <f>'B) D RI'!U101</f>
        <v>13049.601497584543</v>
      </c>
      <c r="D99" s="32">
        <f>'B) D RI'!AA101</f>
        <v>445</v>
      </c>
      <c r="E99" s="205">
        <f t="shared" si="10"/>
        <v>29.324947185583241</v>
      </c>
      <c r="F99" s="364">
        <f t="shared" si="11"/>
        <v>0.62228367651876382</v>
      </c>
      <c r="G99" s="375">
        <f t="shared" si="12"/>
        <v>0</v>
      </c>
      <c r="H99" s="372">
        <f t="shared" si="13"/>
        <v>0</v>
      </c>
      <c r="I99" s="375">
        <f t="shared" si="14"/>
        <v>0</v>
      </c>
      <c r="J99" s="372">
        <f t="shared" si="15"/>
        <v>0</v>
      </c>
      <c r="K99" s="367">
        <f t="shared" si="16"/>
        <v>0</v>
      </c>
      <c r="L99" s="371">
        <f t="shared" si="17"/>
        <v>0</v>
      </c>
      <c r="M99" s="118">
        <f>L99*D99*'B) D RI'!S101</f>
        <v>0</v>
      </c>
    </row>
    <row r="100" spans="1:13" x14ac:dyDescent="0.25">
      <c r="A100" s="290">
        <f>'A) Base RI'!A102</f>
        <v>5557</v>
      </c>
      <c r="B100" s="32" t="str">
        <f>'A) Base RI'!B102</f>
        <v>Fontaines-sur-Grandson</v>
      </c>
      <c r="C100" s="288">
        <f>'B) D RI'!U102</f>
        <v>6546.22</v>
      </c>
      <c r="D100" s="32">
        <f>'B) D RI'!AA102</f>
        <v>215</v>
      </c>
      <c r="E100" s="205">
        <f t="shared" si="10"/>
        <v>30.44753488372093</v>
      </c>
      <c r="F100" s="364">
        <f t="shared" si="11"/>
        <v>0.64610530509974518</v>
      </c>
      <c r="G100" s="375">
        <f t="shared" si="12"/>
        <v>0</v>
      </c>
      <c r="H100" s="372">
        <f t="shared" si="13"/>
        <v>0</v>
      </c>
      <c r="I100" s="375">
        <f t="shared" si="14"/>
        <v>0</v>
      </c>
      <c r="J100" s="372">
        <f t="shared" si="15"/>
        <v>0</v>
      </c>
      <c r="K100" s="367">
        <f t="shared" si="16"/>
        <v>0</v>
      </c>
      <c r="L100" s="371">
        <f t="shared" si="17"/>
        <v>0</v>
      </c>
      <c r="M100" s="118">
        <f>L100*D100*'B) D RI'!S102</f>
        <v>0</v>
      </c>
    </row>
    <row r="101" spans="1:13" x14ac:dyDescent="0.25">
      <c r="A101" s="290">
        <f>'A) Base RI'!A103</f>
        <v>5559</v>
      </c>
      <c r="B101" s="32" t="str">
        <f>'A) Base RI'!B103</f>
        <v>Giez</v>
      </c>
      <c r="C101" s="288">
        <f>'B) D RI'!U103</f>
        <v>20822.479090909092</v>
      </c>
      <c r="D101" s="32">
        <f>'B) D RI'!AA103</f>
        <v>414</v>
      </c>
      <c r="E101" s="205">
        <f t="shared" si="10"/>
        <v>50.29584321475626</v>
      </c>
      <c r="F101" s="364">
        <f t="shared" si="11"/>
        <v>1.0672920237918362</v>
      </c>
      <c r="G101" s="375">
        <f t="shared" si="12"/>
        <v>3.1711181221175835</v>
      </c>
      <c r="H101" s="372">
        <f t="shared" si="13"/>
        <v>0</v>
      </c>
      <c r="I101" s="375">
        <f t="shared" si="14"/>
        <v>0</v>
      </c>
      <c r="J101" s="372">
        <f t="shared" si="15"/>
        <v>0</v>
      </c>
      <c r="K101" s="367">
        <f t="shared" si="16"/>
        <v>0</v>
      </c>
      <c r="L101" s="371">
        <f t="shared" si="17"/>
        <v>0.63422362442351676</v>
      </c>
      <c r="M101" s="118">
        <f>L101*D101*'B) D RI'!S103</f>
        <v>17329.526313748171</v>
      </c>
    </row>
    <row r="102" spans="1:13" x14ac:dyDescent="0.25">
      <c r="A102" s="290">
        <f>'A) Base RI'!A104</f>
        <v>5560</v>
      </c>
      <c r="B102" s="32" t="str">
        <f>'A) Base RI'!B104</f>
        <v>Grandevent</v>
      </c>
      <c r="C102" s="288">
        <f>'B) D RI'!U104</f>
        <v>7406.141029411765</v>
      </c>
      <c r="D102" s="32">
        <f>'B) D RI'!AA104</f>
        <v>222</v>
      </c>
      <c r="E102" s="205">
        <f t="shared" si="10"/>
        <v>33.360995627980927</v>
      </c>
      <c r="F102" s="364">
        <f t="shared" si="11"/>
        <v>0.70792976643151229</v>
      </c>
      <c r="G102" s="375">
        <f t="shared" si="12"/>
        <v>0</v>
      </c>
      <c r="H102" s="372">
        <f t="shared" si="13"/>
        <v>0</v>
      </c>
      <c r="I102" s="375">
        <f t="shared" si="14"/>
        <v>0</v>
      </c>
      <c r="J102" s="372">
        <f t="shared" si="15"/>
        <v>0</v>
      </c>
      <c r="K102" s="367">
        <f t="shared" si="16"/>
        <v>0</v>
      </c>
      <c r="L102" s="371">
        <f t="shared" si="17"/>
        <v>0</v>
      </c>
      <c r="M102" s="118">
        <f>L102*D102*'B) D RI'!S104</f>
        <v>0</v>
      </c>
    </row>
    <row r="103" spans="1:13" x14ac:dyDescent="0.25">
      <c r="A103" s="290">
        <f>'A) Base RI'!A105</f>
        <v>5561</v>
      </c>
      <c r="B103" s="32" t="str">
        <f>'A) Base RI'!B105</f>
        <v>Grandson</v>
      </c>
      <c r="C103" s="288">
        <f>'B) D RI'!U105</f>
        <v>113542.57695652173</v>
      </c>
      <c r="D103" s="32">
        <f>'B) D RI'!AA105</f>
        <v>3340</v>
      </c>
      <c r="E103" s="205">
        <f t="shared" si="10"/>
        <v>33.994783519916687</v>
      </c>
      <c r="F103" s="364">
        <f t="shared" si="11"/>
        <v>0.72137892482320265</v>
      </c>
      <c r="G103" s="375">
        <f t="shared" si="12"/>
        <v>0</v>
      </c>
      <c r="H103" s="372">
        <f t="shared" si="13"/>
        <v>0</v>
      </c>
      <c r="I103" s="375">
        <f t="shared" si="14"/>
        <v>0</v>
      </c>
      <c r="J103" s="372">
        <f t="shared" si="15"/>
        <v>0</v>
      </c>
      <c r="K103" s="367">
        <f t="shared" si="16"/>
        <v>0</v>
      </c>
      <c r="L103" s="371">
        <f t="shared" si="17"/>
        <v>0</v>
      </c>
      <c r="M103" s="118">
        <f>L103*D103*'B) D RI'!S105</f>
        <v>0</v>
      </c>
    </row>
    <row r="104" spans="1:13" x14ac:dyDescent="0.25">
      <c r="A104" s="290">
        <f>'A) Base RI'!A106</f>
        <v>5562</v>
      </c>
      <c r="B104" s="32" t="str">
        <f>'A) Base RI'!B106</f>
        <v>Mauborget</v>
      </c>
      <c r="C104" s="288">
        <f>'B) D RI'!U106</f>
        <v>5487.2855</v>
      </c>
      <c r="D104" s="32">
        <f>'B) D RI'!AA106</f>
        <v>120</v>
      </c>
      <c r="E104" s="205">
        <f t="shared" si="10"/>
        <v>45.727379166666665</v>
      </c>
      <c r="F104" s="364">
        <f t="shared" si="11"/>
        <v>0.97034792408390536</v>
      </c>
      <c r="G104" s="375">
        <f t="shared" si="12"/>
        <v>0</v>
      </c>
      <c r="H104" s="372">
        <f t="shared" si="13"/>
        <v>0</v>
      </c>
      <c r="I104" s="375">
        <f t="shared" si="14"/>
        <v>0</v>
      </c>
      <c r="J104" s="372">
        <f t="shared" si="15"/>
        <v>0</v>
      </c>
      <c r="K104" s="367">
        <f t="shared" si="16"/>
        <v>0</v>
      </c>
      <c r="L104" s="371">
        <f t="shared" si="17"/>
        <v>0</v>
      </c>
      <c r="M104" s="118">
        <f>L104*D104*'B) D RI'!S106</f>
        <v>0</v>
      </c>
    </row>
    <row r="105" spans="1:13" x14ac:dyDescent="0.25">
      <c r="A105" s="290">
        <f>'A) Base RI'!A107</f>
        <v>5563</v>
      </c>
      <c r="B105" s="32" t="str">
        <f>'A) Base RI'!B107</f>
        <v>Mutrux</v>
      </c>
      <c r="C105" s="288">
        <f>'B) D RI'!U107</f>
        <v>4022.9622499999991</v>
      </c>
      <c r="D105" s="32">
        <f>'B) D RI'!AA107</f>
        <v>153</v>
      </c>
      <c r="E105" s="205">
        <f t="shared" si="10"/>
        <v>26.293870915032674</v>
      </c>
      <c r="F105" s="364">
        <f t="shared" si="11"/>
        <v>0.55796338044081284</v>
      </c>
      <c r="G105" s="375">
        <f t="shared" si="12"/>
        <v>0</v>
      </c>
      <c r="H105" s="372">
        <f t="shared" si="13"/>
        <v>0</v>
      </c>
      <c r="I105" s="375">
        <f t="shared" si="14"/>
        <v>0</v>
      </c>
      <c r="J105" s="372">
        <f t="shared" si="15"/>
        <v>0</v>
      </c>
      <c r="K105" s="367">
        <f t="shared" si="16"/>
        <v>0</v>
      </c>
      <c r="L105" s="371">
        <f t="shared" si="17"/>
        <v>0</v>
      </c>
      <c r="M105" s="118">
        <f>L105*D105*'B) D RI'!S107</f>
        <v>0</v>
      </c>
    </row>
    <row r="106" spans="1:13" x14ac:dyDescent="0.25">
      <c r="A106" s="290">
        <f>'A) Base RI'!A108</f>
        <v>5564</v>
      </c>
      <c r="B106" s="32" t="str">
        <f>'A) Base RI'!B108</f>
        <v>Novalles</v>
      </c>
      <c r="C106" s="288">
        <f>'B) D RI'!U108</f>
        <v>2263.2775657894736</v>
      </c>
      <c r="D106" s="32">
        <f>'B) D RI'!AA108</f>
        <v>100</v>
      </c>
      <c r="E106" s="205">
        <f t="shared" si="10"/>
        <v>22.632775657894737</v>
      </c>
      <c r="F106" s="364">
        <f t="shared" si="11"/>
        <v>0.48027390320904362</v>
      </c>
      <c r="G106" s="375">
        <f t="shared" si="12"/>
        <v>0</v>
      </c>
      <c r="H106" s="372">
        <f t="shared" si="13"/>
        <v>0</v>
      </c>
      <c r="I106" s="375">
        <f t="shared" si="14"/>
        <v>0</v>
      </c>
      <c r="J106" s="372">
        <f t="shared" si="15"/>
        <v>0</v>
      </c>
      <c r="K106" s="367">
        <f t="shared" si="16"/>
        <v>0</v>
      </c>
      <c r="L106" s="371">
        <f t="shared" si="17"/>
        <v>0</v>
      </c>
      <c r="M106" s="118">
        <f>L106*D106*'B) D RI'!S108</f>
        <v>0</v>
      </c>
    </row>
    <row r="107" spans="1:13" x14ac:dyDescent="0.25">
      <c r="A107" s="290">
        <f>'A) Base RI'!A109</f>
        <v>5565</v>
      </c>
      <c r="B107" s="32" t="str">
        <f>'A) Base RI'!B109</f>
        <v>Onnens</v>
      </c>
      <c r="C107" s="288">
        <f>'B) D RI'!U109</f>
        <v>18486.800307692305</v>
      </c>
      <c r="D107" s="32">
        <f>'B) D RI'!AA109</f>
        <v>497</v>
      </c>
      <c r="E107" s="205">
        <f t="shared" si="10"/>
        <v>37.196781303203835</v>
      </c>
      <c r="F107" s="364">
        <f t="shared" si="11"/>
        <v>0.78932622376219064</v>
      </c>
      <c r="G107" s="375">
        <f t="shared" si="12"/>
        <v>0</v>
      </c>
      <c r="H107" s="372">
        <f t="shared" si="13"/>
        <v>0</v>
      </c>
      <c r="I107" s="375">
        <f t="shared" si="14"/>
        <v>0</v>
      </c>
      <c r="J107" s="372">
        <f t="shared" si="15"/>
        <v>0</v>
      </c>
      <c r="K107" s="367">
        <f t="shared" si="16"/>
        <v>0</v>
      </c>
      <c r="L107" s="371">
        <f t="shared" si="17"/>
        <v>0</v>
      </c>
      <c r="M107" s="118">
        <f>L107*D107*'B) D RI'!S109</f>
        <v>0</v>
      </c>
    </row>
    <row r="108" spans="1:13" x14ac:dyDescent="0.25">
      <c r="A108" s="290">
        <f>'A) Base RI'!A110</f>
        <v>5566</v>
      </c>
      <c r="B108" s="32" t="str">
        <f>'A) Base RI'!B110</f>
        <v>Provence</v>
      </c>
      <c r="C108" s="288">
        <f>'B) D RI'!U110</f>
        <v>8488.3012345678999</v>
      </c>
      <c r="D108" s="32">
        <f>'B) D RI'!AA110</f>
        <v>379</v>
      </c>
      <c r="E108" s="205">
        <f t="shared" si="10"/>
        <v>22.396573178279418</v>
      </c>
      <c r="F108" s="364">
        <f t="shared" si="11"/>
        <v>0.47526161976015374</v>
      </c>
      <c r="G108" s="375">
        <f t="shared" si="12"/>
        <v>0</v>
      </c>
      <c r="H108" s="372">
        <f t="shared" si="13"/>
        <v>0</v>
      </c>
      <c r="I108" s="375">
        <f t="shared" si="14"/>
        <v>0</v>
      </c>
      <c r="J108" s="372">
        <f t="shared" si="15"/>
        <v>0</v>
      </c>
      <c r="K108" s="367">
        <f t="shared" si="16"/>
        <v>0</v>
      </c>
      <c r="L108" s="371">
        <f t="shared" si="17"/>
        <v>0</v>
      </c>
      <c r="M108" s="118">
        <f>L108*D108*'B) D RI'!S110</f>
        <v>0</v>
      </c>
    </row>
    <row r="109" spans="1:13" x14ac:dyDescent="0.25">
      <c r="A109" s="290">
        <f>'A) Base RI'!A111</f>
        <v>5568</v>
      </c>
      <c r="B109" s="32" t="str">
        <f>'A) Base RI'!B111</f>
        <v>Sainte-Croix</v>
      </c>
      <c r="C109" s="288">
        <f>'B) D RI'!U111</f>
        <v>109300.43271428571</v>
      </c>
      <c r="D109" s="32">
        <f>'B) D RI'!AA111</f>
        <v>4888</v>
      </c>
      <c r="E109" s="205">
        <f t="shared" si="10"/>
        <v>22.360972322889875</v>
      </c>
      <c r="F109" s="364">
        <f t="shared" si="11"/>
        <v>0.47450615953583286</v>
      </c>
      <c r="G109" s="375">
        <f t="shared" si="12"/>
        <v>0</v>
      </c>
      <c r="H109" s="372">
        <f t="shared" si="13"/>
        <v>0</v>
      </c>
      <c r="I109" s="375">
        <f t="shared" si="14"/>
        <v>0</v>
      </c>
      <c r="J109" s="372">
        <f t="shared" si="15"/>
        <v>0</v>
      </c>
      <c r="K109" s="367">
        <f t="shared" si="16"/>
        <v>0</v>
      </c>
      <c r="L109" s="371">
        <f t="shared" si="17"/>
        <v>0</v>
      </c>
      <c r="M109" s="118">
        <f>L109*D109*'B) D RI'!S111</f>
        <v>0</v>
      </c>
    </row>
    <row r="110" spans="1:13" x14ac:dyDescent="0.25">
      <c r="A110" s="290">
        <f>'A) Base RI'!A112</f>
        <v>5571</v>
      </c>
      <c r="B110" s="32" t="str">
        <f>'A) Base RI'!B112</f>
        <v>Tévenon</v>
      </c>
      <c r="C110" s="288">
        <f>'B) D RI'!U112</f>
        <v>24815.960251141551</v>
      </c>
      <c r="D110" s="32">
        <f>'B) D RI'!AA112</f>
        <v>896</v>
      </c>
      <c r="E110" s="205">
        <f t="shared" si="10"/>
        <v>27.696384208863339</v>
      </c>
      <c r="F110" s="364">
        <f t="shared" si="11"/>
        <v>0.58772510936493028</v>
      </c>
      <c r="G110" s="375">
        <f t="shared" si="12"/>
        <v>0</v>
      </c>
      <c r="H110" s="372">
        <f t="shared" si="13"/>
        <v>0</v>
      </c>
      <c r="I110" s="375">
        <f t="shared" si="14"/>
        <v>0</v>
      </c>
      <c r="J110" s="372">
        <f t="shared" si="15"/>
        <v>0</v>
      </c>
      <c r="K110" s="367">
        <f t="shared" si="16"/>
        <v>0</v>
      </c>
      <c r="L110" s="371">
        <f t="shared" si="17"/>
        <v>0</v>
      </c>
      <c r="M110" s="118">
        <f>L110*D110*'B) D RI'!S112</f>
        <v>0</v>
      </c>
    </row>
    <row r="111" spans="1:13" x14ac:dyDescent="0.25">
      <c r="A111" s="290">
        <f>'A) Base RI'!A113</f>
        <v>5581</v>
      </c>
      <c r="B111" s="32" t="str">
        <f>'A) Base RI'!B113</f>
        <v>Belmont-sur-Lausanne</v>
      </c>
      <c r="C111" s="288">
        <f>'B) D RI'!U113</f>
        <v>187774.68592592591</v>
      </c>
      <c r="D111" s="32">
        <f>'B) D RI'!AA113</f>
        <v>3773</v>
      </c>
      <c r="E111" s="205">
        <f t="shared" si="10"/>
        <v>49.768005811271109</v>
      </c>
      <c r="F111" s="364">
        <f t="shared" si="11"/>
        <v>1.0560911647428441</v>
      </c>
      <c r="G111" s="375">
        <f t="shared" si="12"/>
        <v>2.6432807186324325</v>
      </c>
      <c r="H111" s="372">
        <f t="shared" si="13"/>
        <v>0</v>
      </c>
      <c r="I111" s="375">
        <f t="shared" si="14"/>
        <v>0</v>
      </c>
      <c r="J111" s="372">
        <f t="shared" si="15"/>
        <v>0</v>
      </c>
      <c r="K111" s="367">
        <f t="shared" si="16"/>
        <v>0</v>
      </c>
      <c r="L111" s="371">
        <f t="shared" si="17"/>
        <v>0.5286561437264865</v>
      </c>
      <c r="M111" s="118">
        <f>L111*D111*'B) D RI'!S113</f>
        <v>143612.61338016242</v>
      </c>
    </row>
    <row r="112" spans="1:13" x14ac:dyDescent="0.25">
      <c r="A112" s="290">
        <f>'A) Base RI'!A114</f>
        <v>5582</v>
      </c>
      <c r="B112" s="32" t="str">
        <f>'A) Base RI'!B114</f>
        <v>Cheseaux-sur-Lausanne</v>
      </c>
      <c r="C112" s="288">
        <f>'B) D RI'!U114</f>
        <v>167195.61731543625</v>
      </c>
      <c r="D112" s="32">
        <f>'B) D RI'!AA114</f>
        <v>4339</v>
      </c>
      <c r="E112" s="205">
        <f t="shared" si="10"/>
        <v>38.53321440779817</v>
      </c>
      <c r="F112" s="364">
        <f t="shared" si="11"/>
        <v>0.81768571237389387</v>
      </c>
      <c r="G112" s="375">
        <f t="shared" si="12"/>
        <v>0</v>
      </c>
      <c r="H112" s="372">
        <f t="shared" si="13"/>
        <v>0</v>
      </c>
      <c r="I112" s="375">
        <f t="shared" si="14"/>
        <v>0</v>
      </c>
      <c r="J112" s="372">
        <f t="shared" si="15"/>
        <v>0</v>
      </c>
      <c r="K112" s="367">
        <f t="shared" si="16"/>
        <v>0</v>
      </c>
      <c r="L112" s="371">
        <f t="shared" si="17"/>
        <v>0</v>
      </c>
      <c r="M112" s="118">
        <f>L112*D112*'B) D RI'!S114</f>
        <v>0</v>
      </c>
    </row>
    <row r="113" spans="1:13" x14ac:dyDescent="0.25">
      <c r="A113" s="290">
        <f>'A) Base RI'!A115</f>
        <v>5583</v>
      </c>
      <c r="B113" s="32" t="str">
        <f>'A) Base RI'!B115</f>
        <v>Crissier</v>
      </c>
      <c r="C113" s="288">
        <f>'B) D RI'!U115</f>
        <v>313349.85476923082</v>
      </c>
      <c r="D113" s="32">
        <f>'B) D RI'!AA115</f>
        <v>7944</v>
      </c>
      <c r="E113" s="205">
        <f t="shared" si="10"/>
        <v>39.444845766519492</v>
      </c>
      <c r="F113" s="364">
        <f t="shared" si="11"/>
        <v>0.8370307877441846</v>
      </c>
      <c r="G113" s="375">
        <f t="shared" si="12"/>
        <v>0</v>
      </c>
      <c r="H113" s="372">
        <f t="shared" si="13"/>
        <v>0</v>
      </c>
      <c r="I113" s="375">
        <f t="shared" si="14"/>
        <v>0</v>
      </c>
      <c r="J113" s="372">
        <f t="shared" si="15"/>
        <v>0</v>
      </c>
      <c r="K113" s="367">
        <f t="shared" si="16"/>
        <v>0</v>
      </c>
      <c r="L113" s="371">
        <f t="shared" si="17"/>
        <v>0</v>
      </c>
      <c r="M113" s="118">
        <f>L113*D113*'B) D RI'!S115</f>
        <v>0</v>
      </c>
    </row>
    <row r="114" spans="1:13" x14ac:dyDescent="0.25">
      <c r="A114" s="290">
        <f>'A) Base RI'!A116</f>
        <v>5584</v>
      </c>
      <c r="B114" s="32" t="str">
        <f>'A) Base RI'!B116</f>
        <v>Epalinges</v>
      </c>
      <c r="C114" s="288">
        <f>'B) D RI'!U116</f>
        <v>475091.38424242428</v>
      </c>
      <c r="D114" s="32">
        <f>'B) D RI'!AA116</f>
        <v>9701</v>
      </c>
      <c r="E114" s="205">
        <f t="shared" si="10"/>
        <v>48.973444412166195</v>
      </c>
      <c r="F114" s="364">
        <f t="shared" si="11"/>
        <v>1.0392303470395481</v>
      </c>
      <c r="G114" s="375">
        <f t="shared" si="12"/>
        <v>1.8487193195275182</v>
      </c>
      <c r="H114" s="372">
        <f t="shared" si="13"/>
        <v>0</v>
      </c>
      <c r="I114" s="375">
        <f t="shared" si="14"/>
        <v>0</v>
      </c>
      <c r="J114" s="372">
        <f t="shared" si="15"/>
        <v>0</v>
      </c>
      <c r="K114" s="367">
        <f t="shared" si="16"/>
        <v>0</v>
      </c>
      <c r="L114" s="371">
        <f t="shared" si="17"/>
        <v>0.36974386390550368</v>
      </c>
      <c r="M114" s="118">
        <f>L114*D114*'B) D RI'!S116</f>
        <v>236734.42476732121</v>
      </c>
    </row>
    <row r="115" spans="1:13" x14ac:dyDescent="0.25">
      <c r="A115" s="290">
        <f>'A) Base RI'!A117</f>
        <v>5585</v>
      </c>
      <c r="B115" s="32" t="str">
        <f>'A) Base RI'!B117</f>
        <v>Jouxtens-Mézery</v>
      </c>
      <c r="C115" s="288">
        <f>'B) D RI'!U117</f>
        <v>229695.06966101698</v>
      </c>
      <c r="D115" s="32">
        <f>'B) D RI'!AA117</f>
        <v>1423</v>
      </c>
      <c r="E115" s="205">
        <f t="shared" si="10"/>
        <v>161.41607144133309</v>
      </c>
      <c r="F115" s="364">
        <f t="shared" si="11"/>
        <v>3.4252947072692375</v>
      </c>
      <c r="G115" s="375">
        <f t="shared" si="12"/>
        <v>114.29134634869442</v>
      </c>
      <c r="H115" s="372">
        <f t="shared" si="13"/>
        <v>104.86640133016667</v>
      </c>
      <c r="I115" s="375">
        <f t="shared" si="14"/>
        <v>90.728983802375069</v>
      </c>
      <c r="J115" s="372">
        <f t="shared" si="15"/>
        <v>67.166621256055734</v>
      </c>
      <c r="K115" s="367">
        <f t="shared" si="16"/>
        <v>20.04189616341705</v>
      </c>
      <c r="L115" s="371">
        <f t="shared" si="17"/>
        <v>51.138659524940337</v>
      </c>
      <c r="M115" s="118">
        <f>L115*D115*'B) D RI'!S117</f>
        <v>4293448.437735416</v>
      </c>
    </row>
    <row r="116" spans="1:13" x14ac:dyDescent="0.25">
      <c r="A116" s="290">
        <f>'A) Base RI'!A118</f>
        <v>5586</v>
      </c>
      <c r="B116" s="32" t="str">
        <f>'A) Base RI'!B118</f>
        <v>Lausanne</v>
      </c>
      <c r="C116" s="288">
        <f>'B) D RI'!U118</f>
        <v>6038274.9810970454</v>
      </c>
      <c r="D116" s="32">
        <f>'B) D RI'!AA118</f>
        <v>139726</v>
      </c>
      <c r="E116" s="205">
        <f t="shared" si="10"/>
        <v>43.215113730422722</v>
      </c>
      <c r="F116" s="364">
        <f t="shared" si="11"/>
        <v>0.91703694070298836</v>
      </c>
      <c r="G116" s="375">
        <f t="shared" si="12"/>
        <v>0</v>
      </c>
      <c r="H116" s="372">
        <f t="shared" si="13"/>
        <v>0</v>
      </c>
      <c r="I116" s="375">
        <f t="shared" si="14"/>
        <v>0</v>
      </c>
      <c r="J116" s="372">
        <f t="shared" si="15"/>
        <v>0</v>
      </c>
      <c r="K116" s="367">
        <f t="shared" si="16"/>
        <v>0</v>
      </c>
      <c r="L116" s="371">
        <f t="shared" si="17"/>
        <v>0</v>
      </c>
      <c r="M116" s="118">
        <f>L116*D116*'B) D RI'!S118</f>
        <v>0</v>
      </c>
    </row>
    <row r="117" spans="1:13" x14ac:dyDescent="0.25">
      <c r="A117" s="290">
        <f>'A) Base RI'!A119</f>
        <v>5587</v>
      </c>
      <c r="B117" s="32" t="str">
        <f>'A) Base RI'!B119</f>
        <v>Le Mont-sur-Lausanne</v>
      </c>
      <c r="C117" s="288">
        <f>'B) D RI'!U119</f>
        <v>437426.32075555553</v>
      </c>
      <c r="D117" s="32">
        <f>'B) D RI'!AA119</f>
        <v>8991</v>
      </c>
      <c r="E117" s="205">
        <f t="shared" si="10"/>
        <v>48.651576104499561</v>
      </c>
      <c r="F117" s="364">
        <f t="shared" si="11"/>
        <v>1.0324002104810028</v>
      </c>
      <c r="G117" s="375">
        <f t="shared" si="12"/>
        <v>1.5268510118608845</v>
      </c>
      <c r="H117" s="372">
        <f t="shared" si="13"/>
        <v>0</v>
      </c>
      <c r="I117" s="375">
        <f t="shared" si="14"/>
        <v>0</v>
      </c>
      <c r="J117" s="372">
        <f t="shared" si="15"/>
        <v>0</v>
      </c>
      <c r="K117" s="367">
        <f t="shared" si="16"/>
        <v>0</v>
      </c>
      <c r="L117" s="371">
        <f t="shared" si="17"/>
        <v>0.30537020237217694</v>
      </c>
      <c r="M117" s="118">
        <f>L117*D117*'B) D RI'!S119</f>
        <v>205918.76171461822</v>
      </c>
    </row>
    <row r="118" spans="1:13" x14ac:dyDescent="0.25">
      <c r="A118" s="290">
        <f>'A) Base RI'!A120</f>
        <v>5588</v>
      </c>
      <c r="B118" s="32" t="str">
        <f>'A) Base RI'!B120</f>
        <v>Paudex</v>
      </c>
      <c r="C118" s="288">
        <f>'B) D RI'!U120</f>
        <v>134588.09264705883</v>
      </c>
      <c r="D118" s="32">
        <f>'B) D RI'!AA120</f>
        <v>1532</v>
      </c>
      <c r="E118" s="205">
        <f t="shared" si="10"/>
        <v>87.851235409307336</v>
      </c>
      <c r="F118" s="364">
        <f t="shared" si="11"/>
        <v>1.8642280721342717</v>
      </c>
      <c r="G118" s="375">
        <f t="shared" si="12"/>
        <v>40.726510316668659</v>
      </c>
      <c r="H118" s="372">
        <f t="shared" si="13"/>
        <v>31.301565298140922</v>
      </c>
      <c r="I118" s="375">
        <f t="shared" si="14"/>
        <v>17.164147770349317</v>
      </c>
      <c r="J118" s="372">
        <f t="shared" si="15"/>
        <v>0</v>
      </c>
      <c r="K118" s="367">
        <f t="shared" si="16"/>
        <v>0</v>
      </c>
      <c r="L118" s="371">
        <f t="shared" si="17"/>
        <v>12.991873370182756</v>
      </c>
      <c r="M118" s="118">
        <f>L118*D118*'B) D RI'!S120</f>
        <v>1353441.4002121587</v>
      </c>
    </row>
    <row r="119" spans="1:13" x14ac:dyDescent="0.25">
      <c r="A119" s="290">
        <f>'A) Base RI'!A121</f>
        <v>5589</v>
      </c>
      <c r="B119" s="32" t="str">
        <f>'A) Base RI'!B121</f>
        <v>Prilly</v>
      </c>
      <c r="C119" s="288">
        <f>'B) D RI'!U121</f>
        <v>418113.86360020924</v>
      </c>
      <c r="D119" s="32">
        <f>'B) D RI'!AA121</f>
        <v>12423</v>
      </c>
      <c r="E119" s="205">
        <f t="shared" si="10"/>
        <v>33.656432713532098</v>
      </c>
      <c r="F119" s="364">
        <f t="shared" si="11"/>
        <v>0.71419902497828147</v>
      </c>
      <c r="G119" s="375">
        <f t="shared" si="12"/>
        <v>0</v>
      </c>
      <c r="H119" s="372">
        <f t="shared" si="13"/>
        <v>0</v>
      </c>
      <c r="I119" s="375">
        <f t="shared" si="14"/>
        <v>0</v>
      </c>
      <c r="J119" s="372">
        <f t="shared" si="15"/>
        <v>0</v>
      </c>
      <c r="K119" s="367">
        <f t="shared" si="16"/>
        <v>0</v>
      </c>
      <c r="L119" s="371">
        <f t="shared" si="17"/>
        <v>0</v>
      </c>
      <c r="M119" s="118">
        <f>L119*D119*'B) D RI'!S121</f>
        <v>0</v>
      </c>
    </row>
    <row r="120" spans="1:13" x14ac:dyDescent="0.25">
      <c r="A120" s="290">
        <f>'A) Base RI'!A122</f>
        <v>5590</v>
      </c>
      <c r="B120" s="32" t="str">
        <f>'A) Base RI'!B122</f>
        <v>Pully</v>
      </c>
      <c r="C120" s="288">
        <f>'B) D RI'!U122</f>
        <v>1533094.7704683845</v>
      </c>
      <c r="D120" s="32">
        <f>'B) D RI'!AA122</f>
        <v>18495</v>
      </c>
      <c r="E120" s="205">
        <f t="shared" si="10"/>
        <v>82.892390941788832</v>
      </c>
      <c r="F120" s="364">
        <f t="shared" si="11"/>
        <v>1.7589999894712893</v>
      </c>
      <c r="G120" s="375">
        <f t="shared" si="12"/>
        <v>35.767665849150156</v>
      </c>
      <c r="H120" s="372">
        <f t="shared" si="13"/>
        <v>26.342720830622419</v>
      </c>
      <c r="I120" s="375">
        <f t="shared" si="14"/>
        <v>12.205303302830814</v>
      </c>
      <c r="J120" s="372">
        <f t="shared" si="15"/>
        <v>0</v>
      </c>
      <c r="K120" s="367">
        <f t="shared" si="16"/>
        <v>0</v>
      </c>
      <c r="L120" s="371">
        <f t="shared" si="17"/>
        <v>11.008335583175354</v>
      </c>
      <c r="M120" s="118">
        <f>L120*D120*'B) D RI'!S122</f>
        <v>12419549.163260518</v>
      </c>
    </row>
    <row r="121" spans="1:13" x14ac:dyDescent="0.25">
      <c r="A121" s="290">
        <f>'A) Base RI'!A123</f>
        <v>5591</v>
      </c>
      <c r="B121" s="32" t="str">
        <f>'A) Base RI'!B123</f>
        <v>Renens</v>
      </c>
      <c r="C121" s="288">
        <f>'B) D RI'!U123</f>
        <v>563128.30316651508</v>
      </c>
      <c r="D121" s="32">
        <f>'B) D RI'!AA123</f>
        <v>20928</v>
      </c>
      <c r="E121" s="205">
        <f t="shared" si="10"/>
        <v>26.90788910390458</v>
      </c>
      <c r="F121" s="364">
        <f t="shared" si="11"/>
        <v>0.57099302013982134</v>
      </c>
      <c r="G121" s="375">
        <f t="shared" si="12"/>
        <v>0</v>
      </c>
      <c r="H121" s="372">
        <f t="shared" si="13"/>
        <v>0</v>
      </c>
      <c r="I121" s="375">
        <f t="shared" si="14"/>
        <v>0</v>
      </c>
      <c r="J121" s="372">
        <f t="shared" si="15"/>
        <v>0</v>
      </c>
      <c r="K121" s="367">
        <f t="shared" si="16"/>
        <v>0</v>
      </c>
      <c r="L121" s="371">
        <f t="shared" si="17"/>
        <v>0</v>
      </c>
      <c r="M121" s="118">
        <f>L121*D121*'B) D RI'!S123</f>
        <v>0</v>
      </c>
    </row>
    <row r="122" spans="1:13" x14ac:dyDescent="0.25">
      <c r="A122" s="290">
        <f>'A) Base RI'!A124</f>
        <v>5592</v>
      </c>
      <c r="B122" s="32" t="str">
        <f>'A) Base RI'!B124</f>
        <v>Romanel-sur-Lausanne</v>
      </c>
      <c r="C122" s="288">
        <f>'B) D RI'!U124</f>
        <v>113674.73902777777</v>
      </c>
      <c r="D122" s="32">
        <f>'B) D RI'!AA124</f>
        <v>3294</v>
      </c>
      <c r="E122" s="205">
        <f t="shared" si="10"/>
        <v>34.509635406125618</v>
      </c>
      <c r="F122" s="364">
        <f t="shared" si="11"/>
        <v>0.73230422752145341</v>
      </c>
      <c r="G122" s="375">
        <f t="shared" si="12"/>
        <v>0</v>
      </c>
      <c r="H122" s="372">
        <f t="shared" si="13"/>
        <v>0</v>
      </c>
      <c r="I122" s="375">
        <f t="shared" si="14"/>
        <v>0</v>
      </c>
      <c r="J122" s="372">
        <f t="shared" si="15"/>
        <v>0</v>
      </c>
      <c r="K122" s="367">
        <f t="shared" si="16"/>
        <v>0</v>
      </c>
      <c r="L122" s="371">
        <f t="shared" si="17"/>
        <v>0</v>
      </c>
      <c r="M122" s="118">
        <f>L122*D122*'B) D RI'!S124</f>
        <v>0</v>
      </c>
    </row>
    <row r="123" spans="1:13" x14ac:dyDescent="0.25">
      <c r="A123" s="290">
        <f>'A) Base RI'!A125</f>
        <v>5601</v>
      </c>
      <c r="B123" s="32" t="str">
        <f>'A) Base RI'!B125</f>
        <v>Chexbres</v>
      </c>
      <c r="C123" s="288">
        <f>'B) D RI'!U125</f>
        <v>103470.98536231882</v>
      </c>
      <c r="D123" s="32">
        <f>'B) D RI'!AA125</f>
        <v>2235</v>
      </c>
      <c r="E123" s="205">
        <f t="shared" si="10"/>
        <v>46.295742891417817</v>
      </c>
      <c r="F123" s="364">
        <f t="shared" si="11"/>
        <v>0.98240876313673486</v>
      </c>
      <c r="G123" s="375">
        <f t="shared" si="12"/>
        <v>0</v>
      </c>
      <c r="H123" s="372">
        <f t="shared" si="13"/>
        <v>0</v>
      </c>
      <c r="I123" s="375">
        <f t="shared" si="14"/>
        <v>0</v>
      </c>
      <c r="J123" s="372">
        <f t="shared" si="15"/>
        <v>0</v>
      </c>
      <c r="K123" s="367">
        <f t="shared" si="16"/>
        <v>0</v>
      </c>
      <c r="L123" s="371">
        <f t="shared" si="17"/>
        <v>0</v>
      </c>
      <c r="M123" s="118">
        <f>L123*D123*'B) D RI'!S125</f>
        <v>0</v>
      </c>
    </row>
    <row r="124" spans="1:13" x14ac:dyDescent="0.25">
      <c r="A124" s="290">
        <f>'A) Base RI'!A126</f>
        <v>5604</v>
      </c>
      <c r="B124" s="32" t="str">
        <f>'A) Base RI'!B126</f>
        <v>Forel (Lavaux)</v>
      </c>
      <c r="C124" s="288">
        <f>'B) D RI'!U126</f>
        <v>73971.129714285707</v>
      </c>
      <c r="D124" s="32">
        <f>'B) D RI'!AA126</f>
        <v>2064</v>
      </c>
      <c r="E124" s="205">
        <f t="shared" si="10"/>
        <v>35.838725636766334</v>
      </c>
      <c r="F124" s="364">
        <f t="shared" si="11"/>
        <v>0.76050789827025811</v>
      </c>
      <c r="G124" s="375">
        <f t="shared" si="12"/>
        <v>0</v>
      </c>
      <c r="H124" s="372">
        <f t="shared" si="13"/>
        <v>0</v>
      </c>
      <c r="I124" s="375">
        <f t="shared" si="14"/>
        <v>0</v>
      </c>
      <c r="J124" s="372">
        <f t="shared" si="15"/>
        <v>0</v>
      </c>
      <c r="K124" s="367">
        <f t="shared" si="16"/>
        <v>0</v>
      </c>
      <c r="L124" s="371">
        <f t="shared" si="17"/>
        <v>0</v>
      </c>
      <c r="M124" s="118">
        <f>L124*D124*'B) D RI'!S126</f>
        <v>0</v>
      </c>
    </row>
    <row r="125" spans="1:13" x14ac:dyDescent="0.25">
      <c r="A125" s="290">
        <f>'A) Base RI'!A127</f>
        <v>5606</v>
      </c>
      <c r="B125" s="32" t="str">
        <f>'A) Base RI'!B127</f>
        <v>Lutry</v>
      </c>
      <c r="C125" s="288">
        <f>'B) D RI'!U127</f>
        <v>806998.35454311455</v>
      </c>
      <c r="D125" s="32">
        <f>'B) D RI'!AA127</f>
        <v>10357</v>
      </c>
      <c r="E125" s="205">
        <f t="shared" si="10"/>
        <v>77.918157240814381</v>
      </c>
      <c r="F125" s="364">
        <f t="shared" si="11"/>
        <v>1.6534453429201208</v>
      </c>
      <c r="G125" s="375">
        <f t="shared" si="12"/>
        <v>30.793432148175704</v>
      </c>
      <c r="H125" s="372">
        <f t="shared" si="13"/>
        <v>21.368487129647967</v>
      </c>
      <c r="I125" s="375">
        <f t="shared" si="14"/>
        <v>7.2310696018563618</v>
      </c>
      <c r="J125" s="372">
        <f t="shared" si="15"/>
        <v>0</v>
      </c>
      <c r="K125" s="367">
        <f t="shared" si="16"/>
        <v>0</v>
      </c>
      <c r="L125" s="371">
        <f t="shared" si="17"/>
        <v>9.0186421027855737</v>
      </c>
      <c r="M125" s="118">
        <f>L125*D125*'B) D RI'!S127</f>
        <v>5184037.2323495345</v>
      </c>
    </row>
    <row r="126" spans="1:13" x14ac:dyDescent="0.25">
      <c r="A126" s="290">
        <f>'A) Base RI'!A128</f>
        <v>5607</v>
      </c>
      <c r="B126" s="32" t="str">
        <f>'A) Base RI'!B128</f>
        <v>Puidoux</v>
      </c>
      <c r="C126" s="288">
        <f>'B) D RI'!U128</f>
        <v>100918.13995031056</v>
      </c>
      <c r="D126" s="32">
        <f>'B) D RI'!AA128</f>
        <v>2881</v>
      </c>
      <c r="E126" s="205">
        <f t="shared" si="10"/>
        <v>35.028858018157088</v>
      </c>
      <c r="F126" s="364">
        <f t="shared" si="11"/>
        <v>0.74332227825831754</v>
      </c>
      <c r="G126" s="375">
        <f t="shared" si="12"/>
        <v>0</v>
      </c>
      <c r="H126" s="372">
        <f t="shared" si="13"/>
        <v>0</v>
      </c>
      <c r="I126" s="375">
        <f t="shared" si="14"/>
        <v>0</v>
      </c>
      <c r="J126" s="372">
        <f t="shared" si="15"/>
        <v>0</v>
      </c>
      <c r="K126" s="367">
        <f t="shared" si="16"/>
        <v>0</v>
      </c>
      <c r="L126" s="371">
        <f t="shared" si="17"/>
        <v>0</v>
      </c>
      <c r="M126" s="118">
        <f>L126*D126*'B) D RI'!S128</f>
        <v>0</v>
      </c>
    </row>
    <row r="127" spans="1:13" x14ac:dyDescent="0.25">
      <c r="A127" s="290">
        <f>'A) Base RI'!A129</f>
        <v>5609</v>
      </c>
      <c r="B127" s="32" t="str">
        <f>'A) Base RI'!B129</f>
        <v>Rivaz</v>
      </c>
      <c r="C127" s="288">
        <f>'B) D RI'!U129</f>
        <v>13641.583779527558</v>
      </c>
      <c r="D127" s="32">
        <f>'B) D RI'!AA129</f>
        <v>342</v>
      </c>
      <c r="E127" s="205">
        <f t="shared" si="10"/>
        <v>39.887671869963619</v>
      </c>
      <c r="F127" s="364">
        <f t="shared" si="11"/>
        <v>0.84642768295309267</v>
      </c>
      <c r="G127" s="375">
        <f t="shared" si="12"/>
        <v>0</v>
      </c>
      <c r="H127" s="372">
        <f t="shared" si="13"/>
        <v>0</v>
      </c>
      <c r="I127" s="375">
        <f t="shared" si="14"/>
        <v>0</v>
      </c>
      <c r="J127" s="372">
        <f t="shared" si="15"/>
        <v>0</v>
      </c>
      <c r="K127" s="367">
        <f t="shared" si="16"/>
        <v>0</v>
      </c>
      <c r="L127" s="371">
        <f t="shared" si="17"/>
        <v>0</v>
      </c>
      <c r="M127" s="118">
        <f>L127*D127*'B) D RI'!S129</f>
        <v>0</v>
      </c>
    </row>
    <row r="128" spans="1:13" x14ac:dyDescent="0.25">
      <c r="A128" s="290">
        <f>'A) Base RI'!A130</f>
        <v>5610</v>
      </c>
      <c r="B128" s="32" t="str">
        <f>'A) Base RI'!B130</f>
        <v>St-Saphorin (Lavaux)</v>
      </c>
      <c r="C128" s="288">
        <f>'B) D RI'!U130</f>
        <v>22278.713000000003</v>
      </c>
      <c r="D128" s="32">
        <f>'B) D RI'!AA130</f>
        <v>384</v>
      </c>
      <c r="E128" s="205">
        <f t="shared" si="10"/>
        <v>58.017481770833342</v>
      </c>
      <c r="F128" s="364">
        <f t="shared" si="11"/>
        <v>1.231147378722772</v>
      </c>
      <c r="G128" s="375">
        <f t="shared" si="12"/>
        <v>10.892756678194665</v>
      </c>
      <c r="H128" s="372">
        <f t="shared" si="13"/>
        <v>1.4678116596669284</v>
      </c>
      <c r="I128" s="375">
        <f t="shared" si="14"/>
        <v>0</v>
      </c>
      <c r="J128" s="372">
        <f t="shared" si="15"/>
        <v>0</v>
      </c>
      <c r="K128" s="367">
        <f t="shared" si="16"/>
        <v>0</v>
      </c>
      <c r="L128" s="371">
        <f t="shared" si="17"/>
        <v>2.3253325016056259</v>
      </c>
      <c r="M128" s="118">
        <f>L128*D128*'B) D RI'!S130</f>
        <v>62504.937643159225</v>
      </c>
    </row>
    <row r="129" spans="1:13" x14ac:dyDescent="0.25">
      <c r="A129" s="290">
        <f>'A) Base RI'!A131</f>
        <v>5611</v>
      </c>
      <c r="B129" s="32" t="str">
        <f>'A) Base RI'!B131</f>
        <v>Savigny</v>
      </c>
      <c r="C129" s="288">
        <f>'B) D RI'!U131</f>
        <v>134929.74355072467</v>
      </c>
      <c r="D129" s="32">
        <f>'B) D RI'!AA131</f>
        <v>3359</v>
      </c>
      <c r="E129" s="205">
        <f t="shared" si="10"/>
        <v>40.169617014208001</v>
      </c>
      <c r="F129" s="364">
        <f t="shared" si="11"/>
        <v>0.85241063868790334</v>
      </c>
      <c r="G129" s="375">
        <f t="shared" si="12"/>
        <v>0</v>
      </c>
      <c r="H129" s="372">
        <f t="shared" si="13"/>
        <v>0</v>
      </c>
      <c r="I129" s="375">
        <f t="shared" si="14"/>
        <v>0</v>
      </c>
      <c r="J129" s="372">
        <f t="shared" si="15"/>
        <v>0</v>
      </c>
      <c r="K129" s="367">
        <f t="shared" si="16"/>
        <v>0</v>
      </c>
      <c r="L129" s="371">
        <f t="shared" si="17"/>
        <v>0</v>
      </c>
      <c r="M129" s="118">
        <f>L129*D129*'B) D RI'!S131</f>
        <v>0</v>
      </c>
    </row>
    <row r="130" spans="1:13" x14ac:dyDescent="0.25">
      <c r="A130" s="290">
        <f>'A) Base RI'!A132</f>
        <v>5613</v>
      </c>
      <c r="B130" s="32" t="str">
        <f>'A) Base RI'!B132</f>
        <v>Bourg-en-Lavaux</v>
      </c>
      <c r="C130" s="288">
        <f>'B) D RI'!U132</f>
        <v>333126.87406250008</v>
      </c>
      <c r="D130" s="32">
        <f>'B) D RI'!AA132</f>
        <v>5345</v>
      </c>
      <c r="E130" s="205">
        <f t="shared" si="10"/>
        <v>62.324953051917696</v>
      </c>
      <c r="F130" s="364">
        <f t="shared" si="11"/>
        <v>1.3225531380692008</v>
      </c>
      <c r="G130" s="375">
        <f t="shared" si="12"/>
        <v>15.200227959279019</v>
      </c>
      <c r="H130" s="372">
        <f t="shared" si="13"/>
        <v>5.775282940751282</v>
      </c>
      <c r="I130" s="375">
        <f t="shared" si="14"/>
        <v>0</v>
      </c>
      <c r="J130" s="372">
        <f t="shared" si="15"/>
        <v>0</v>
      </c>
      <c r="K130" s="367">
        <f t="shared" si="16"/>
        <v>0</v>
      </c>
      <c r="L130" s="371">
        <f t="shared" si="17"/>
        <v>3.6175738859309323</v>
      </c>
      <c r="M130" s="118">
        <f>L130*D130*'B) D RI'!S132</f>
        <v>1237499.6748992533</v>
      </c>
    </row>
    <row r="131" spans="1:13" x14ac:dyDescent="0.25">
      <c r="A131" s="290">
        <f>'A) Base RI'!A133</f>
        <v>5621</v>
      </c>
      <c r="B131" s="32" t="str">
        <f>'A) Base RI'!B133</f>
        <v>Aclens</v>
      </c>
      <c r="C131" s="288">
        <f>'B) D RI'!U133</f>
        <v>27514.906070381232</v>
      </c>
      <c r="D131" s="32">
        <f>'B) D RI'!AA133</f>
        <v>539</v>
      </c>
      <c r="E131" s="205">
        <f t="shared" si="10"/>
        <v>51.04806321035479</v>
      </c>
      <c r="F131" s="364">
        <f t="shared" si="11"/>
        <v>1.083254344932592</v>
      </c>
      <c r="G131" s="375">
        <f t="shared" si="12"/>
        <v>3.9233381177161135</v>
      </c>
      <c r="H131" s="372">
        <f t="shared" si="13"/>
        <v>0</v>
      </c>
      <c r="I131" s="375">
        <f t="shared" si="14"/>
        <v>0</v>
      </c>
      <c r="J131" s="372">
        <f t="shared" si="15"/>
        <v>0</v>
      </c>
      <c r="K131" s="367">
        <f t="shared" si="16"/>
        <v>0</v>
      </c>
      <c r="L131" s="371">
        <f t="shared" si="17"/>
        <v>0.78466762354322273</v>
      </c>
      <c r="M131" s="118">
        <f>L131*D131*'B) D RI'!S133</f>
        <v>26222.022643567416</v>
      </c>
    </row>
    <row r="132" spans="1:13" x14ac:dyDescent="0.25">
      <c r="A132" s="290">
        <f>'A) Base RI'!A134</f>
        <v>5622</v>
      </c>
      <c r="B132" s="32" t="str">
        <f>'A) Base RI'!B134</f>
        <v>Bremblens</v>
      </c>
      <c r="C132" s="288">
        <f>'B) D RI'!U134</f>
        <v>27505.151666666668</v>
      </c>
      <c r="D132" s="32">
        <f>'B) D RI'!AA134</f>
        <v>577</v>
      </c>
      <c r="E132" s="205">
        <f t="shared" si="10"/>
        <v>47.669240323512426</v>
      </c>
      <c r="F132" s="364">
        <f t="shared" si="11"/>
        <v>1.0115547672650256</v>
      </c>
      <c r="G132" s="375">
        <f t="shared" si="12"/>
        <v>0.54451523087374909</v>
      </c>
      <c r="H132" s="372">
        <f t="shared" si="13"/>
        <v>0</v>
      </c>
      <c r="I132" s="375">
        <f t="shared" si="14"/>
        <v>0</v>
      </c>
      <c r="J132" s="372">
        <f t="shared" si="15"/>
        <v>0</v>
      </c>
      <c r="K132" s="367">
        <f t="shared" si="16"/>
        <v>0</v>
      </c>
      <c r="L132" s="371">
        <f t="shared" si="17"/>
        <v>0.10890304617474983</v>
      </c>
      <c r="M132" s="118">
        <f>L132*D132*'B) D RI'!S134</f>
        <v>4147.2458044268233</v>
      </c>
    </row>
    <row r="133" spans="1:13" x14ac:dyDescent="0.25">
      <c r="A133" s="290">
        <f>'A) Base RI'!A135</f>
        <v>5623</v>
      </c>
      <c r="B133" s="32" t="str">
        <f>'A) Base RI'!B135</f>
        <v>Buchillon</v>
      </c>
      <c r="C133" s="288">
        <f>'B) D RI'!U135</f>
        <v>89779.897358490547</v>
      </c>
      <c r="D133" s="32">
        <f>'B) D RI'!AA135</f>
        <v>686</v>
      </c>
      <c r="E133" s="205">
        <f t="shared" si="10"/>
        <v>130.87448594532151</v>
      </c>
      <c r="F133" s="364">
        <f t="shared" si="11"/>
        <v>2.7771936215658757</v>
      </c>
      <c r="G133" s="375">
        <f t="shared" si="12"/>
        <v>83.74976085268284</v>
      </c>
      <c r="H133" s="372">
        <f t="shared" si="13"/>
        <v>74.324815834155089</v>
      </c>
      <c r="I133" s="375">
        <f t="shared" si="14"/>
        <v>60.187398306363491</v>
      </c>
      <c r="J133" s="372">
        <f t="shared" si="15"/>
        <v>36.625035760044156</v>
      </c>
      <c r="K133" s="367">
        <f t="shared" si="16"/>
        <v>0</v>
      </c>
      <c r="L133" s="371">
        <f t="shared" si="17"/>
        <v>33.863677160592843</v>
      </c>
      <c r="M133" s="118">
        <f>L133*D133*'B) D RI'!S135</f>
        <v>1231215.5742048346</v>
      </c>
    </row>
    <row r="134" spans="1:13" x14ac:dyDescent="0.25">
      <c r="A134" s="290">
        <f>'A) Base RI'!A136</f>
        <v>5624</v>
      </c>
      <c r="B134" s="32" t="str">
        <f>'A) Base RI'!B136</f>
        <v>Bussigny</v>
      </c>
      <c r="C134" s="288">
        <f>'B) D RI'!U136</f>
        <v>397950.93625000003</v>
      </c>
      <c r="D134" s="32">
        <f>'B) D RI'!AA136</f>
        <v>8962</v>
      </c>
      <c r="E134" s="205">
        <f t="shared" ref="E134:E197" si="18">C134/D134</f>
        <v>44.404255328051775</v>
      </c>
      <c r="F134" s="364">
        <f t="shared" ref="F134:F197" si="19">E134/$E$314</f>
        <v>0.9422708618620278</v>
      </c>
      <c r="G134" s="375">
        <f t="shared" ref="G134:G197" si="20">IF(E134-$G$2&lt;0,0,E134-$G$2)</f>
        <v>0</v>
      </c>
      <c r="H134" s="372">
        <f t="shared" ref="H134:H197" si="21">IF(E134-$H$2&lt;0,0,E134-$H$2)</f>
        <v>0</v>
      </c>
      <c r="I134" s="375">
        <f t="shared" ref="I134:I197" si="22">IF(E134-$I$2&lt;0,0,E134-$I$2)</f>
        <v>0</v>
      </c>
      <c r="J134" s="372">
        <f t="shared" ref="J134:J197" si="23">IF(E134-$J$2&lt;0,0,E134-$J$2)</f>
        <v>0</v>
      </c>
      <c r="K134" s="367">
        <f t="shared" ref="K134:K197" si="24">IF(E134-$K$2&lt;0,0,E134-$K$2)</f>
        <v>0</v>
      </c>
      <c r="L134" s="371">
        <f t="shared" ref="L134:L197" si="25">(G134-H134)*$G$3+(H134-I134)*$H$3+(I134-J134)*$I$3+(J134-K134)*$J$3+(K134*$K$3)</f>
        <v>0</v>
      </c>
      <c r="M134" s="118">
        <f>L134*D134*'B) D RI'!S136</f>
        <v>0</v>
      </c>
    </row>
    <row r="135" spans="1:13" x14ac:dyDescent="0.25">
      <c r="A135" s="290">
        <f>'A) Base RI'!A137</f>
        <v>5625</v>
      </c>
      <c r="B135" s="32" t="str">
        <f>'A) Base RI'!B137</f>
        <v>Bussy-Chardonney</v>
      </c>
      <c r="C135" s="288">
        <f>'B) D RI'!U137</f>
        <v>16807.989913419911</v>
      </c>
      <c r="D135" s="32">
        <f>'B) D RI'!AA137</f>
        <v>384</v>
      </c>
      <c r="E135" s="205">
        <f t="shared" si="18"/>
        <v>43.770807066197683</v>
      </c>
      <c r="F135" s="364">
        <f t="shared" si="19"/>
        <v>0.92882891051676597</v>
      </c>
      <c r="G135" s="375">
        <f t="shared" si="20"/>
        <v>0</v>
      </c>
      <c r="H135" s="372">
        <f t="shared" si="21"/>
        <v>0</v>
      </c>
      <c r="I135" s="375">
        <f t="shared" si="22"/>
        <v>0</v>
      </c>
      <c r="J135" s="372">
        <f t="shared" si="23"/>
        <v>0</v>
      </c>
      <c r="K135" s="367">
        <f t="shared" si="24"/>
        <v>0</v>
      </c>
      <c r="L135" s="371">
        <f t="shared" si="25"/>
        <v>0</v>
      </c>
      <c r="M135" s="118">
        <f>L135*D135*'B) D RI'!S137</f>
        <v>0</v>
      </c>
    </row>
    <row r="136" spans="1:13" x14ac:dyDescent="0.25">
      <c r="A136" s="290">
        <f>'A) Base RI'!A138</f>
        <v>5627</v>
      </c>
      <c r="B136" s="32" t="str">
        <f>'A) Base RI'!B138</f>
        <v>Chavannes-près-Renens</v>
      </c>
      <c r="C136" s="288">
        <f>'B) D RI'!U138</f>
        <v>211976.34008438818</v>
      </c>
      <c r="D136" s="32">
        <f>'B) D RI'!AA138</f>
        <v>7887</v>
      </c>
      <c r="E136" s="205">
        <f t="shared" si="18"/>
        <v>26.876675552730845</v>
      </c>
      <c r="F136" s="364">
        <f t="shared" si="19"/>
        <v>0.57033065975230979</v>
      </c>
      <c r="G136" s="375">
        <f t="shared" si="20"/>
        <v>0</v>
      </c>
      <c r="H136" s="372">
        <f t="shared" si="21"/>
        <v>0</v>
      </c>
      <c r="I136" s="375">
        <f t="shared" si="22"/>
        <v>0</v>
      </c>
      <c r="J136" s="372">
        <f t="shared" si="23"/>
        <v>0</v>
      </c>
      <c r="K136" s="367">
        <f t="shared" si="24"/>
        <v>0</v>
      </c>
      <c r="L136" s="371">
        <f t="shared" si="25"/>
        <v>0</v>
      </c>
      <c r="M136" s="118">
        <f>L136*D136*'B) D RI'!S138</f>
        <v>0</v>
      </c>
    </row>
    <row r="137" spans="1:13" x14ac:dyDescent="0.25">
      <c r="A137" s="290">
        <f>'A) Base RI'!A139</f>
        <v>5628</v>
      </c>
      <c r="B137" s="32" t="str">
        <f>'A) Base RI'!B139</f>
        <v>Chigny</v>
      </c>
      <c r="C137" s="288">
        <f>'B) D RI'!U139</f>
        <v>22390.960806451614</v>
      </c>
      <c r="D137" s="32">
        <f>'B) D RI'!AA139</f>
        <v>382</v>
      </c>
      <c r="E137" s="205">
        <f t="shared" si="18"/>
        <v>58.615080645161292</v>
      </c>
      <c r="F137" s="364">
        <f t="shared" si="19"/>
        <v>1.2438285959214543</v>
      </c>
      <c r="G137" s="375">
        <f t="shared" si="20"/>
        <v>11.490355552522615</v>
      </c>
      <c r="H137" s="372">
        <f t="shared" si="21"/>
        <v>2.0654105339948785</v>
      </c>
      <c r="I137" s="375">
        <f t="shared" si="22"/>
        <v>0</v>
      </c>
      <c r="J137" s="372">
        <f t="shared" si="23"/>
        <v>0</v>
      </c>
      <c r="K137" s="367">
        <f t="shared" si="24"/>
        <v>0</v>
      </c>
      <c r="L137" s="371">
        <f t="shared" si="25"/>
        <v>2.5046121639040111</v>
      </c>
      <c r="M137" s="118">
        <f>L137*D137*'B) D RI'!S139</f>
        <v>59319.234489902599</v>
      </c>
    </row>
    <row r="138" spans="1:13" x14ac:dyDescent="0.25">
      <c r="A138" s="290">
        <f>'A) Base RI'!A140</f>
        <v>5629</v>
      </c>
      <c r="B138" s="32" t="str">
        <f>'A) Base RI'!B140</f>
        <v>Clarmont</v>
      </c>
      <c r="C138" s="288">
        <f>'B) D RI'!U140</f>
        <v>6767.1243999999997</v>
      </c>
      <c r="D138" s="32">
        <f>'B) D RI'!AA140</f>
        <v>191</v>
      </c>
      <c r="E138" s="205">
        <f t="shared" si="18"/>
        <v>35.429970680628273</v>
      </c>
      <c r="F138" s="364">
        <f t="shared" si="19"/>
        <v>0.75183400244732179</v>
      </c>
      <c r="G138" s="375">
        <f t="shared" si="20"/>
        <v>0</v>
      </c>
      <c r="H138" s="372">
        <f t="shared" si="21"/>
        <v>0</v>
      </c>
      <c r="I138" s="375">
        <f t="shared" si="22"/>
        <v>0</v>
      </c>
      <c r="J138" s="372">
        <f t="shared" si="23"/>
        <v>0</v>
      </c>
      <c r="K138" s="367">
        <f t="shared" si="24"/>
        <v>0</v>
      </c>
      <c r="L138" s="371">
        <f t="shared" si="25"/>
        <v>0</v>
      </c>
      <c r="M138" s="118">
        <f>L138*D138*'B) D RI'!S140</f>
        <v>0</v>
      </c>
    </row>
    <row r="139" spans="1:13" x14ac:dyDescent="0.25">
      <c r="A139" s="290">
        <f>'A) Base RI'!A141</f>
        <v>5631</v>
      </c>
      <c r="B139" s="32" t="str">
        <f>'A) Base RI'!B141</f>
        <v>Denens</v>
      </c>
      <c r="C139" s="288">
        <f>'B) D RI'!U141</f>
        <v>51475.873428571431</v>
      </c>
      <c r="D139" s="32">
        <f>'B) D RI'!AA141</f>
        <v>742</v>
      </c>
      <c r="E139" s="205">
        <f t="shared" si="18"/>
        <v>69.374492491336156</v>
      </c>
      <c r="F139" s="364">
        <f t="shared" si="19"/>
        <v>1.4721463595799968</v>
      </c>
      <c r="G139" s="375">
        <f t="shared" si="20"/>
        <v>22.249767398697479</v>
      </c>
      <c r="H139" s="372">
        <f t="shared" si="21"/>
        <v>12.824822380169742</v>
      </c>
      <c r="I139" s="375">
        <f t="shared" si="22"/>
        <v>0</v>
      </c>
      <c r="J139" s="372">
        <f t="shared" si="23"/>
        <v>0</v>
      </c>
      <c r="K139" s="367">
        <f t="shared" si="24"/>
        <v>0</v>
      </c>
      <c r="L139" s="371">
        <f t="shared" si="25"/>
        <v>5.73243571775647</v>
      </c>
      <c r="M139" s="118">
        <f>L139*D139*'B) D RI'!S141</f>
        <v>297742.71118027106</v>
      </c>
    </row>
    <row r="140" spans="1:13" x14ac:dyDescent="0.25">
      <c r="A140" s="290">
        <f>'A) Base RI'!A142</f>
        <v>5632</v>
      </c>
      <c r="B140" s="32" t="str">
        <f>'A) Base RI'!B142</f>
        <v>Denges</v>
      </c>
      <c r="C140" s="288">
        <f>'B) D RI'!U142</f>
        <v>72992.009193548365</v>
      </c>
      <c r="D140" s="32">
        <f>'B) D RI'!AA142</f>
        <v>1609</v>
      </c>
      <c r="E140" s="205">
        <f t="shared" si="18"/>
        <v>45.364828585176113</v>
      </c>
      <c r="F140" s="364">
        <f t="shared" si="19"/>
        <v>0.96265449816411819</v>
      </c>
      <c r="G140" s="375">
        <f t="shared" si="20"/>
        <v>0</v>
      </c>
      <c r="H140" s="372">
        <f t="shared" si="21"/>
        <v>0</v>
      </c>
      <c r="I140" s="375">
        <f t="shared" si="22"/>
        <v>0</v>
      </c>
      <c r="J140" s="372">
        <f t="shared" si="23"/>
        <v>0</v>
      </c>
      <c r="K140" s="367">
        <f t="shared" si="24"/>
        <v>0</v>
      </c>
      <c r="L140" s="371">
        <f t="shared" si="25"/>
        <v>0</v>
      </c>
      <c r="M140" s="118">
        <f>L140*D140*'B) D RI'!S142</f>
        <v>0</v>
      </c>
    </row>
    <row r="141" spans="1:13" x14ac:dyDescent="0.25">
      <c r="A141" s="290">
        <f>'A) Base RI'!A143</f>
        <v>5633</v>
      </c>
      <c r="B141" s="32" t="str">
        <f>'A) Base RI'!B143</f>
        <v>Echandens</v>
      </c>
      <c r="C141" s="288">
        <f>'B) D RI'!U143</f>
        <v>160902.30048387093</v>
      </c>
      <c r="D141" s="32">
        <f>'B) D RI'!AA143</f>
        <v>2739</v>
      </c>
      <c r="E141" s="205">
        <f t="shared" si="18"/>
        <v>58.744907076988291</v>
      </c>
      <c r="F141" s="364">
        <f t="shared" si="19"/>
        <v>1.2465835495380915</v>
      </c>
      <c r="G141" s="375">
        <f t="shared" si="20"/>
        <v>11.620181984349614</v>
      </c>
      <c r="H141" s="372">
        <f t="shared" si="21"/>
        <v>2.1952369658218771</v>
      </c>
      <c r="I141" s="375">
        <f t="shared" si="22"/>
        <v>0</v>
      </c>
      <c r="J141" s="372">
        <f t="shared" si="23"/>
        <v>0</v>
      </c>
      <c r="K141" s="367">
        <f t="shared" si="24"/>
        <v>0</v>
      </c>
      <c r="L141" s="371">
        <f t="shared" si="25"/>
        <v>2.5435600934521103</v>
      </c>
      <c r="M141" s="118">
        <f>L141*D141*'B) D RI'!S143</f>
        <v>431942.28794985049</v>
      </c>
    </row>
    <row r="142" spans="1:13" x14ac:dyDescent="0.25">
      <c r="A142" s="290">
        <f>'A) Base RI'!A144</f>
        <v>5634</v>
      </c>
      <c r="B142" s="32" t="str">
        <f>'A) Base RI'!B144</f>
        <v>Echichens</v>
      </c>
      <c r="C142" s="288">
        <f>'B) D RI'!U144</f>
        <v>173253.00779411764</v>
      </c>
      <c r="D142" s="32">
        <f>'B) D RI'!AA144</f>
        <v>3077</v>
      </c>
      <c r="E142" s="205">
        <f t="shared" si="18"/>
        <v>56.305819887591042</v>
      </c>
      <c r="F142" s="364">
        <f t="shared" si="19"/>
        <v>1.1948254292604146</v>
      </c>
      <c r="G142" s="375">
        <f t="shared" si="20"/>
        <v>9.1810947949523651</v>
      </c>
      <c r="H142" s="372">
        <f t="shared" si="21"/>
        <v>0</v>
      </c>
      <c r="I142" s="375">
        <f t="shared" si="22"/>
        <v>0</v>
      </c>
      <c r="J142" s="372">
        <f t="shared" si="23"/>
        <v>0</v>
      </c>
      <c r="K142" s="367">
        <f t="shared" si="24"/>
        <v>0</v>
      </c>
      <c r="L142" s="371">
        <f t="shared" si="25"/>
        <v>1.8362189589904732</v>
      </c>
      <c r="M142" s="118">
        <f>L142*D142*'B) D RI'!S144</f>
        <v>384203.11010333063</v>
      </c>
    </row>
    <row r="143" spans="1:13" x14ac:dyDescent="0.25">
      <c r="A143" s="290">
        <f>'A) Base RI'!A145</f>
        <v>5635</v>
      </c>
      <c r="B143" s="32" t="str">
        <f>'A) Base RI'!B145</f>
        <v>Ecublens</v>
      </c>
      <c r="C143" s="288">
        <f>'B) D RI'!U145</f>
        <v>489428.14554687496</v>
      </c>
      <c r="D143" s="32">
        <f>'B) D RI'!AA145</f>
        <v>13089</v>
      </c>
      <c r="E143" s="205">
        <f t="shared" si="18"/>
        <v>37.392325276711361</v>
      </c>
      <c r="F143" s="364">
        <f t="shared" si="19"/>
        <v>0.79347572220749973</v>
      </c>
      <c r="G143" s="375">
        <f t="shared" si="20"/>
        <v>0</v>
      </c>
      <c r="H143" s="372">
        <f t="shared" si="21"/>
        <v>0</v>
      </c>
      <c r="I143" s="375">
        <f t="shared" si="22"/>
        <v>0</v>
      </c>
      <c r="J143" s="372">
        <f t="shared" si="23"/>
        <v>0</v>
      </c>
      <c r="K143" s="367">
        <f t="shared" si="24"/>
        <v>0</v>
      </c>
      <c r="L143" s="371">
        <f t="shared" si="25"/>
        <v>0</v>
      </c>
      <c r="M143" s="118">
        <f>L143*D143*'B) D RI'!S145</f>
        <v>0</v>
      </c>
    </row>
    <row r="144" spans="1:13" x14ac:dyDescent="0.25">
      <c r="A144" s="290">
        <f>'A) Base RI'!A146</f>
        <v>5636</v>
      </c>
      <c r="B144" s="32" t="str">
        <f>'A) Base RI'!B146</f>
        <v>Etoy</v>
      </c>
      <c r="C144" s="288">
        <f>'B) D RI'!U146</f>
        <v>176252.1018032787</v>
      </c>
      <c r="D144" s="32">
        <f>'B) D RI'!AA146</f>
        <v>2933</v>
      </c>
      <c r="E144" s="205">
        <f t="shared" si="18"/>
        <v>60.092772520722363</v>
      </c>
      <c r="F144" s="364">
        <f t="shared" si="19"/>
        <v>1.2751856356210218</v>
      </c>
      <c r="G144" s="375">
        <f t="shared" si="20"/>
        <v>12.968047428083686</v>
      </c>
      <c r="H144" s="372">
        <f t="shared" si="21"/>
        <v>3.5431024095559494</v>
      </c>
      <c r="I144" s="375">
        <f t="shared" si="22"/>
        <v>0</v>
      </c>
      <c r="J144" s="372">
        <f t="shared" si="23"/>
        <v>0</v>
      </c>
      <c r="K144" s="367">
        <f t="shared" si="24"/>
        <v>0</v>
      </c>
      <c r="L144" s="371">
        <f t="shared" si="25"/>
        <v>2.9479197265723323</v>
      </c>
      <c r="M144" s="118">
        <f>L144*D144*'B) D RI'!S146</f>
        <v>527421.16204023571</v>
      </c>
    </row>
    <row r="145" spans="1:13" x14ac:dyDescent="0.25">
      <c r="A145" s="290">
        <f>'A) Base RI'!A147</f>
        <v>5637</v>
      </c>
      <c r="B145" s="32" t="str">
        <f>'A) Base RI'!B147</f>
        <v>Lavigny</v>
      </c>
      <c r="C145" s="288">
        <f>'B) D RI'!U147</f>
        <v>37192.899776286358</v>
      </c>
      <c r="D145" s="32">
        <f>'B) D RI'!AA147</f>
        <v>992</v>
      </c>
      <c r="E145" s="205">
        <f t="shared" si="18"/>
        <v>37.492842516417703</v>
      </c>
      <c r="F145" s="364">
        <f t="shared" si="19"/>
        <v>0.79560872647455372</v>
      </c>
      <c r="G145" s="375">
        <f t="shared" si="20"/>
        <v>0</v>
      </c>
      <c r="H145" s="372">
        <f t="shared" si="21"/>
        <v>0</v>
      </c>
      <c r="I145" s="375">
        <f t="shared" si="22"/>
        <v>0</v>
      </c>
      <c r="J145" s="372">
        <f t="shared" si="23"/>
        <v>0</v>
      </c>
      <c r="K145" s="367">
        <f t="shared" si="24"/>
        <v>0</v>
      </c>
      <c r="L145" s="371">
        <f t="shared" si="25"/>
        <v>0</v>
      </c>
      <c r="M145" s="118">
        <f>L145*D145*'B) D RI'!S147</f>
        <v>0</v>
      </c>
    </row>
    <row r="146" spans="1:13" x14ac:dyDescent="0.25">
      <c r="A146" s="290">
        <f>'A) Base RI'!A148</f>
        <v>5638</v>
      </c>
      <c r="B146" s="32" t="str">
        <f>'A) Base RI'!B148</f>
        <v>Lonay</v>
      </c>
      <c r="C146" s="288">
        <f>'B) D RI'!U148</f>
        <v>157137.98454545456</v>
      </c>
      <c r="D146" s="32">
        <f>'B) D RI'!AA148</f>
        <v>2676</v>
      </c>
      <c r="E146" s="205">
        <f t="shared" si="18"/>
        <v>58.72121993477375</v>
      </c>
      <c r="F146" s="364">
        <f t="shared" si="19"/>
        <v>1.2460809016782266</v>
      </c>
      <c r="G146" s="375">
        <f t="shared" si="20"/>
        <v>11.596494842135073</v>
      </c>
      <c r="H146" s="372">
        <f t="shared" si="21"/>
        <v>2.1715498236073358</v>
      </c>
      <c r="I146" s="375">
        <f t="shared" si="22"/>
        <v>0</v>
      </c>
      <c r="J146" s="372">
        <f t="shared" si="23"/>
        <v>0</v>
      </c>
      <c r="K146" s="367">
        <f t="shared" si="24"/>
        <v>0</v>
      </c>
      <c r="L146" s="371">
        <f t="shared" si="25"/>
        <v>2.5364539507877479</v>
      </c>
      <c r="M146" s="118">
        <f>L146*D146*'B) D RI'!S148</f>
        <v>373315.29247694073</v>
      </c>
    </row>
    <row r="147" spans="1:13" x14ac:dyDescent="0.25">
      <c r="A147" s="290">
        <f>'A) Base RI'!A149</f>
        <v>5639</v>
      </c>
      <c r="B147" s="32" t="str">
        <f>'A) Base RI'!B149</f>
        <v>Lully</v>
      </c>
      <c r="C147" s="288">
        <f>'B) D RI'!U149</f>
        <v>47176.43180327869</v>
      </c>
      <c r="D147" s="32">
        <f>'B) D RI'!AA149</f>
        <v>818</v>
      </c>
      <c r="E147" s="205">
        <f t="shared" si="18"/>
        <v>57.672899515010627</v>
      </c>
      <c r="F147" s="364">
        <f t="shared" si="19"/>
        <v>1.2238352457576389</v>
      </c>
      <c r="G147" s="375">
        <f t="shared" si="20"/>
        <v>10.54817442237195</v>
      </c>
      <c r="H147" s="372">
        <f t="shared" si="21"/>
        <v>1.1232294038442134</v>
      </c>
      <c r="I147" s="375">
        <f t="shared" si="22"/>
        <v>0</v>
      </c>
      <c r="J147" s="372">
        <f t="shared" si="23"/>
        <v>0</v>
      </c>
      <c r="K147" s="367">
        <f t="shared" si="24"/>
        <v>0</v>
      </c>
      <c r="L147" s="371">
        <f t="shared" si="25"/>
        <v>2.2219578248588117</v>
      </c>
      <c r="M147" s="118">
        <f>L147*D147*'B) D RI'!S149</f>
        <v>110871.25154480498</v>
      </c>
    </row>
    <row r="148" spans="1:13" x14ac:dyDescent="0.25">
      <c r="A148" s="290">
        <f>'A) Base RI'!A150</f>
        <v>5640</v>
      </c>
      <c r="B148" s="32" t="str">
        <f>'A) Base RI'!B150</f>
        <v>Lussy-sur-Morges</v>
      </c>
      <c r="C148" s="288">
        <f>'B) D RI'!U150</f>
        <v>61400.456666666665</v>
      </c>
      <c r="D148" s="32">
        <f>'B) D RI'!AA150</f>
        <v>696</v>
      </c>
      <c r="E148" s="205">
        <f t="shared" si="18"/>
        <v>88.219046934865901</v>
      </c>
      <c r="F148" s="364">
        <f t="shared" si="19"/>
        <v>1.8720331367757208</v>
      </c>
      <c r="G148" s="375">
        <f t="shared" si="20"/>
        <v>41.094321842227224</v>
      </c>
      <c r="H148" s="372">
        <f t="shared" si="21"/>
        <v>31.669376823699487</v>
      </c>
      <c r="I148" s="375">
        <f t="shared" si="22"/>
        <v>17.531959295907882</v>
      </c>
      <c r="J148" s="372">
        <f t="shared" si="23"/>
        <v>0</v>
      </c>
      <c r="K148" s="367">
        <f t="shared" si="24"/>
        <v>0</v>
      </c>
      <c r="L148" s="371">
        <f t="shared" si="25"/>
        <v>13.138997980406181</v>
      </c>
      <c r="M148" s="118">
        <f>L148*D148*'B) D RI'!S150</f>
        <v>603553.01122793835</v>
      </c>
    </row>
    <row r="149" spans="1:13" x14ac:dyDescent="0.25">
      <c r="A149" s="290">
        <f>'A) Base RI'!A151</f>
        <v>5642</v>
      </c>
      <c r="B149" s="32" t="str">
        <f>'A) Base RI'!B151</f>
        <v>Morges</v>
      </c>
      <c r="C149" s="288">
        <f>'B) D RI'!U151</f>
        <v>842114.79489051085</v>
      </c>
      <c r="D149" s="32">
        <f>'B) D RI'!AA151</f>
        <v>15862</v>
      </c>
      <c r="E149" s="205">
        <f t="shared" si="18"/>
        <v>53.090076591256512</v>
      </c>
      <c r="F149" s="364">
        <f t="shared" si="19"/>
        <v>1.126586446645387</v>
      </c>
      <c r="G149" s="375">
        <f t="shared" si="20"/>
        <v>5.9653514986178351</v>
      </c>
      <c r="H149" s="372">
        <f t="shared" si="21"/>
        <v>0</v>
      </c>
      <c r="I149" s="375">
        <f t="shared" si="22"/>
        <v>0</v>
      </c>
      <c r="J149" s="372">
        <f t="shared" si="23"/>
        <v>0</v>
      </c>
      <c r="K149" s="367">
        <f t="shared" si="24"/>
        <v>0</v>
      </c>
      <c r="L149" s="371">
        <f t="shared" si="25"/>
        <v>1.1930702997235672</v>
      </c>
      <c r="M149" s="118">
        <f>L149*D149*'B) D RI'!S151</f>
        <v>1296326.9549537427</v>
      </c>
    </row>
    <row r="150" spans="1:13" x14ac:dyDescent="0.25">
      <c r="A150" s="290">
        <f>'A) Base RI'!A152</f>
        <v>5643</v>
      </c>
      <c r="B150" s="32" t="str">
        <f>'A) Base RI'!B152</f>
        <v>Préverenges</v>
      </c>
      <c r="C150" s="288">
        <f>'B) D RI'!U152</f>
        <v>259364.760625</v>
      </c>
      <c r="D150" s="32">
        <f>'B) D RI'!AA152</f>
        <v>5243</v>
      </c>
      <c r="E150" s="205">
        <f t="shared" si="18"/>
        <v>49.468769907495705</v>
      </c>
      <c r="F150" s="364">
        <f t="shared" si="19"/>
        <v>1.0497412941985138</v>
      </c>
      <c r="G150" s="375">
        <f t="shared" si="20"/>
        <v>2.3440448148570283</v>
      </c>
      <c r="H150" s="372">
        <f t="shared" si="21"/>
        <v>0</v>
      </c>
      <c r="I150" s="375">
        <f t="shared" si="22"/>
        <v>0</v>
      </c>
      <c r="J150" s="372">
        <f t="shared" si="23"/>
        <v>0</v>
      </c>
      <c r="K150" s="367">
        <f t="shared" si="24"/>
        <v>0</v>
      </c>
      <c r="L150" s="371">
        <f t="shared" si="25"/>
        <v>0.46880896297140567</v>
      </c>
      <c r="M150" s="118">
        <f>L150*D150*'B) D RI'!S152</f>
        <v>157309.78514298113</v>
      </c>
    </row>
    <row r="151" spans="1:13" x14ac:dyDescent="0.25">
      <c r="A151" s="290">
        <f>'A) Base RI'!A153</f>
        <v>5644</v>
      </c>
      <c r="B151" s="32" t="str">
        <f>'A) Base RI'!B153</f>
        <v>Reverolle</v>
      </c>
      <c r="C151" s="288">
        <f>'B) D RI'!U153</f>
        <v>16859.730657894735</v>
      </c>
      <c r="D151" s="32">
        <f>'B) D RI'!AA153</f>
        <v>413</v>
      </c>
      <c r="E151" s="205">
        <f t="shared" si="18"/>
        <v>40.822592391996935</v>
      </c>
      <c r="F151" s="364">
        <f t="shared" si="19"/>
        <v>0.86626696095833156</v>
      </c>
      <c r="G151" s="375">
        <f t="shared" si="20"/>
        <v>0</v>
      </c>
      <c r="H151" s="372">
        <f t="shared" si="21"/>
        <v>0</v>
      </c>
      <c r="I151" s="375">
        <f t="shared" si="22"/>
        <v>0</v>
      </c>
      <c r="J151" s="372">
        <f t="shared" si="23"/>
        <v>0</v>
      </c>
      <c r="K151" s="367">
        <f t="shared" si="24"/>
        <v>0</v>
      </c>
      <c r="L151" s="371">
        <f t="shared" si="25"/>
        <v>0</v>
      </c>
      <c r="M151" s="118">
        <f>L151*D151*'B) D RI'!S153</f>
        <v>0</v>
      </c>
    </row>
    <row r="152" spans="1:13" x14ac:dyDescent="0.25">
      <c r="A152" s="290">
        <f>'A) Base RI'!A154</f>
        <v>5645</v>
      </c>
      <c r="B152" s="32" t="str">
        <f>'A) Base RI'!B154</f>
        <v>Romanel-sur-Morges</v>
      </c>
      <c r="C152" s="288">
        <f>'B) D RI'!U154</f>
        <v>29743.552142857145</v>
      </c>
      <c r="D152" s="32">
        <f>'B) D RI'!AA154</f>
        <v>470</v>
      </c>
      <c r="E152" s="205">
        <f t="shared" si="18"/>
        <v>63.284153495440734</v>
      </c>
      <c r="F152" s="364">
        <f t="shared" si="19"/>
        <v>1.3429076428782458</v>
      </c>
      <c r="G152" s="375">
        <f t="shared" si="20"/>
        <v>16.159428402802057</v>
      </c>
      <c r="H152" s="372">
        <f t="shared" si="21"/>
        <v>6.7344833842743199</v>
      </c>
      <c r="I152" s="375">
        <f t="shared" si="22"/>
        <v>0</v>
      </c>
      <c r="J152" s="372">
        <f t="shared" si="23"/>
        <v>0</v>
      </c>
      <c r="K152" s="367">
        <f t="shared" si="24"/>
        <v>0</v>
      </c>
      <c r="L152" s="371">
        <f t="shared" si="25"/>
        <v>3.9053340189878432</v>
      </c>
      <c r="M152" s="118">
        <f>L152*D152*'B) D RI'!S154</f>
        <v>102788.39137976004</v>
      </c>
    </row>
    <row r="153" spans="1:13" x14ac:dyDescent="0.25">
      <c r="A153" s="290">
        <f>'A) Base RI'!A155</f>
        <v>5646</v>
      </c>
      <c r="B153" s="32" t="str">
        <f>'A) Base RI'!B155</f>
        <v>Saint-Prex</v>
      </c>
      <c r="C153" s="288">
        <f>'B) D RI'!U155</f>
        <v>419083.43709090899</v>
      </c>
      <c r="D153" s="32">
        <f>'B) D RI'!AA155</f>
        <v>5774</v>
      </c>
      <c r="E153" s="205">
        <f t="shared" si="18"/>
        <v>72.581128696035506</v>
      </c>
      <c r="F153" s="364">
        <f t="shared" si="19"/>
        <v>1.5401920871337531</v>
      </c>
      <c r="G153" s="375">
        <f t="shared" si="20"/>
        <v>25.456403603396829</v>
      </c>
      <c r="H153" s="372">
        <f t="shared" si="21"/>
        <v>16.031458584869092</v>
      </c>
      <c r="I153" s="375">
        <f t="shared" si="22"/>
        <v>1.8940410570774873</v>
      </c>
      <c r="J153" s="372">
        <f t="shared" si="23"/>
        <v>0</v>
      </c>
      <c r="K153" s="367">
        <f t="shared" si="24"/>
        <v>0</v>
      </c>
      <c r="L153" s="371">
        <f t="shared" si="25"/>
        <v>6.8838306848740229</v>
      </c>
      <c r="M153" s="118">
        <f>L153*D153*'B) D RI'!S155</f>
        <v>2186098.1105954433</v>
      </c>
    </row>
    <row r="154" spans="1:13" x14ac:dyDescent="0.25">
      <c r="A154" s="290">
        <f>'A) Base RI'!A156</f>
        <v>5648</v>
      </c>
      <c r="B154" s="32" t="str">
        <f>'A) Base RI'!B156</f>
        <v>Saint-Sulpice</v>
      </c>
      <c r="C154" s="288">
        <f>'B) D RI'!U156</f>
        <v>383471.67436363641</v>
      </c>
      <c r="D154" s="32">
        <f>'B) D RI'!AA156</f>
        <v>4717</v>
      </c>
      <c r="E154" s="205">
        <f t="shared" si="18"/>
        <v>81.295669782411792</v>
      </c>
      <c r="F154" s="364">
        <f t="shared" si="19"/>
        <v>1.7251171146908386</v>
      </c>
      <c r="G154" s="375">
        <f t="shared" si="20"/>
        <v>34.170944689773115</v>
      </c>
      <c r="H154" s="372">
        <f t="shared" si="21"/>
        <v>24.745999671245379</v>
      </c>
      <c r="I154" s="375">
        <f t="shared" si="22"/>
        <v>10.608582143453773</v>
      </c>
      <c r="J154" s="372">
        <f t="shared" si="23"/>
        <v>0</v>
      </c>
      <c r="K154" s="367">
        <f t="shared" si="24"/>
        <v>0</v>
      </c>
      <c r="L154" s="371">
        <f t="shared" si="25"/>
        <v>10.369647119424538</v>
      </c>
      <c r="M154" s="118">
        <f>L154*D154*'B) D RI'!S156</f>
        <v>2690249.4004279049</v>
      </c>
    </row>
    <row r="155" spans="1:13" x14ac:dyDescent="0.25">
      <c r="A155" s="290">
        <f>'A) Base RI'!A157</f>
        <v>5649</v>
      </c>
      <c r="B155" s="32" t="str">
        <f>'A) Base RI'!B157</f>
        <v>Tolochenaz</v>
      </c>
      <c r="C155" s="288">
        <f>'B) D RI'!U157</f>
        <v>109794.23076923077</v>
      </c>
      <c r="D155" s="32">
        <f>'B) D RI'!AA157</f>
        <v>1907</v>
      </c>
      <c r="E155" s="205">
        <f t="shared" si="18"/>
        <v>57.574321326287766</v>
      </c>
      <c r="F155" s="364">
        <f t="shared" si="19"/>
        <v>1.2217433887010922</v>
      </c>
      <c r="G155" s="375">
        <f t="shared" si="20"/>
        <v>10.449596233649089</v>
      </c>
      <c r="H155" s="372">
        <f t="shared" si="21"/>
        <v>1.0246512151213523</v>
      </c>
      <c r="I155" s="375">
        <f t="shared" si="22"/>
        <v>0</v>
      </c>
      <c r="J155" s="372">
        <f t="shared" si="23"/>
        <v>0</v>
      </c>
      <c r="K155" s="367">
        <f t="shared" si="24"/>
        <v>0</v>
      </c>
      <c r="L155" s="371">
        <f t="shared" si="25"/>
        <v>2.192384368241953</v>
      </c>
      <c r="M155" s="118">
        <f>L155*D155*'B) D RI'!S157</f>
        <v>271757.00436543126</v>
      </c>
    </row>
    <row r="156" spans="1:13" x14ac:dyDescent="0.25">
      <c r="A156" s="290">
        <f>'A) Base RI'!A158</f>
        <v>5650</v>
      </c>
      <c r="B156" s="32" t="str">
        <f>'A) Base RI'!B158</f>
        <v>Vaux-sur-Morges</v>
      </c>
      <c r="C156" s="288">
        <f>'B) D RI'!U158</f>
        <v>162834.69392857142</v>
      </c>
      <c r="D156" s="32">
        <f>'B) D RI'!AA158</f>
        <v>196</v>
      </c>
      <c r="E156" s="205">
        <f t="shared" si="18"/>
        <v>830.78925473760933</v>
      </c>
      <c r="F156" s="364">
        <f t="shared" si="19"/>
        <v>17.629583050180731</v>
      </c>
      <c r="G156" s="375">
        <f t="shared" si="20"/>
        <v>783.66452964497068</v>
      </c>
      <c r="H156" s="372">
        <f t="shared" si="21"/>
        <v>774.23958462644293</v>
      </c>
      <c r="I156" s="375">
        <f t="shared" si="22"/>
        <v>760.10216709865131</v>
      </c>
      <c r="J156" s="372">
        <f t="shared" si="23"/>
        <v>736.53980455233193</v>
      </c>
      <c r="K156" s="367">
        <f t="shared" si="24"/>
        <v>689.41507945969329</v>
      </c>
      <c r="L156" s="371">
        <f t="shared" si="25"/>
        <v>452.76256950270607</v>
      </c>
      <c r="M156" s="118">
        <f>L156*D156*'B) D RI'!S158</f>
        <v>4969521.9628617018</v>
      </c>
    </row>
    <row r="157" spans="1:13" x14ac:dyDescent="0.25">
      <c r="A157" s="290">
        <f>'A) Base RI'!A159</f>
        <v>5651</v>
      </c>
      <c r="B157" s="32" t="str">
        <f>'A) Base RI'!B159</f>
        <v>Villars-Sainte-Croix</v>
      </c>
      <c r="C157" s="288">
        <f>'B) D RI'!U159</f>
        <v>58682.807419354831</v>
      </c>
      <c r="D157" s="32">
        <f>'B) D RI'!AA159</f>
        <v>973</v>
      </c>
      <c r="E157" s="205">
        <f t="shared" si="18"/>
        <v>60.311210091834361</v>
      </c>
      <c r="F157" s="364">
        <f t="shared" si="19"/>
        <v>1.2798209426850435</v>
      </c>
      <c r="G157" s="375">
        <f t="shared" si="20"/>
        <v>13.186484999195685</v>
      </c>
      <c r="H157" s="372">
        <f t="shared" si="21"/>
        <v>3.7615399806679477</v>
      </c>
      <c r="I157" s="375">
        <f t="shared" si="22"/>
        <v>0</v>
      </c>
      <c r="J157" s="372">
        <f t="shared" si="23"/>
        <v>0</v>
      </c>
      <c r="K157" s="367">
        <f t="shared" si="24"/>
        <v>0</v>
      </c>
      <c r="L157" s="371">
        <f t="shared" si="25"/>
        <v>3.0134509979059318</v>
      </c>
      <c r="M157" s="118">
        <f>L157*D157*'B) D RI'!S159</f>
        <v>181789.44489967322</v>
      </c>
    </row>
    <row r="158" spans="1:13" x14ac:dyDescent="0.25">
      <c r="A158" s="290">
        <f>'A) Base RI'!A160</f>
        <v>5652</v>
      </c>
      <c r="B158" s="32" t="str">
        <f>'A) Base RI'!B160</f>
        <v>Villars-sous-Yens</v>
      </c>
      <c r="C158" s="288">
        <f>'B) D RI'!U160</f>
        <v>32935.200285087711</v>
      </c>
      <c r="D158" s="32">
        <f>'B) D RI'!AA160</f>
        <v>603</v>
      </c>
      <c r="E158" s="205">
        <f t="shared" si="18"/>
        <v>54.618905945419087</v>
      </c>
      <c r="F158" s="364">
        <f t="shared" si="19"/>
        <v>1.1590286381097865</v>
      </c>
      <c r="G158" s="375">
        <f t="shared" si="20"/>
        <v>7.4941808527804099</v>
      </c>
      <c r="H158" s="372">
        <f t="shared" si="21"/>
        <v>0</v>
      </c>
      <c r="I158" s="375">
        <f t="shared" si="22"/>
        <v>0</v>
      </c>
      <c r="J158" s="372">
        <f t="shared" si="23"/>
        <v>0</v>
      </c>
      <c r="K158" s="367">
        <f t="shared" si="24"/>
        <v>0</v>
      </c>
      <c r="L158" s="371">
        <f t="shared" si="25"/>
        <v>1.498836170556082</v>
      </c>
      <c r="M158" s="118">
        <f>L158*D158*'B) D RI'!S160</f>
        <v>68688.664024244121</v>
      </c>
    </row>
    <row r="159" spans="1:13" x14ac:dyDescent="0.25">
      <c r="A159" s="290">
        <f>'A) Base RI'!A161</f>
        <v>5653</v>
      </c>
      <c r="B159" s="32" t="str">
        <f>'A) Base RI'!B161</f>
        <v>Vufflens-le-Château</v>
      </c>
      <c r="C159" s="288">
        <f>'B) D RI'!U161</f>
        <v>71866.827999999994</v>
      </c>
      <c r="D159" s="32">
        <f>'B) D RI'!AA161</f>
        <v>883</v>
      </c>
      <c r="E159" s="205">
        <f t="shared" si="18"/>
        <v>81.389386183465447</v>
      </c>
      <c r="F159" s="364">
        <f t="shared" si="19"/>
        <v>1.7271058032374438</v>
      </c>
      <c r="G159" s="375">
        <f t="shared" si="20"/>
        <v>34.26466109082677</v>
      </c>
      <c r="H159" s="372">
        <f t="shared" si="21"/>
        <v>24.839716072299034</v>
      </c>
      <c r="I159" s="375">
        <f t="shared" si="22"/>
        <v>10.702298544507428</v>
      </c>
      <c r="J159" s="372">
        <f t="shared" si="23"/>
        <v>0</v>
      </c>
      <c r="K159" s="367">
        <f t="shared" si="24"/>
        <v>0</v>
      </c>
      <c r="L159" s="371">
        <f t="shared" si="25"/>
        <v>10.407133679846</v>
      </c>
      <c r="M159" s="118">
        <f>L159*D159*'B) D RI'!S161</f>
        <v>551369.94235824107</v>
      </c>
    </row>
    <row r="160" spans="1:13" x14ac:dyDescent="0.25">
      <c r="A160" s="290">
        <f>'A) Base RI'!A162</f>
        <v>5654</v>
      </c>
      <c r="B160" s="32" t="str">
        <f>'A) Base RI'!B162</f>
        <v>Vullierens</v>
      </c>
      <c r="C160" s="288">
        <f>'B) D RI'!U162</f>
        <v>18067.402499999997</v>
      </c>
      <c r="D160" s="32">
        <f>'B) D RI'!AA162</f>
        <v>513</v>
      </c>
      <c r="E160" s="205">
        <f t="shared" si="18"/>
        <v>35.219108187134495</v>
      </c>
      <c r="F160" s="364">
        <f t="shared" si="19"/>
        <v>0.74735944067366133</v>
      </c>
      <c r="G160" s="375">
        <f t="shared" si="20"/>
        <v>0</v>
      </c>
      <c r="H160" s="372">
        <f t="shared" si="21"/>
        <v>0</v>
      </c>
      <c r="I160" s="375">
        <f t="shared" si="22"/>
        <v>0</v>
      </c>
      <c r="J160" s="372">
        <f t="shared" si="23"/>
        <v>0</v>
      </c>
      <c r="K160" s="367">
        <f t="shared" si="24"/>
        <v>0</v>
      </c>
      <c r="L160" s="371">
        <f t="shared" si="25"/>
        <v>0</v>
      </c>
      <c r="M160" s="118">
        <f>L160*D160*'B) D RI'!S162</f>
        <v>0</v>
      </c>
    </row>
    <row r="161" spans="1:13" x14ac:dyDescent="0.25">
      <c r="A161" s="290">
        <f>'A) Base RI'!A163</f>
        <v>5655</v>
      </c>
      <c r="B161" s="32" t="str">
        <f>'A) Base RI'!B163</f>
        <v>Yens</v>
      </c>
      <c r="C161" s="288">
        <f>'B) D RI'!U163</f>
        <v>77231.578767123297</v>
      </c>
      <c r="D161" s="32">
        <f>'B) D RI'!AA163</f>
        <v>1477</v>
      </c>
      <c r="E161" s="205">
        <f t="shared" si="18"/>
        <v>52.289491379230398</v>
      </c>
      <c r="F161" s="364">
        <f t="shared" si="19"/>
        <v>1.1095978019275174</v>
      </c>
      <c r="G161" s="375">
        <f t="shared" si="20"/>
        <v>5.1647662865917212</v>
      </c>
      <c r="H161" s="372">
        <f t="shared" si="21"/>
        <v>0</v>
      </c>
      <c r="I161" s="375">
        <f t="shared" si="22"/>
        <v>0</v>
      </c>
      <c r="J161" s="372">
        <f t="shared" si="23"/>
        <v>0</v>
      </c>
      <c r="K161" s="367">
        <f t="shared" si="24"/>
        <v>0</v>
      </c>
      <c r="L161" s="371">
        <f t="shared" si="25"/>
        <v>1.0329532573183442</v>
      </c>
      <c r="M161" s="118">
        <f>L161*D161*'B) D RI'!S163</f>
        <v>111374.05315732119</v>
      </c>
    </row>
    <row r="162" spans="1:13" x14ac:dyDescent="0.25">
      <c r="A162" s="290">
        <f>'A) Base RI'!A164</f>
        <v>5661</v>
      </c>
      <c r="B162" s="32" t="str">
        <f>'A) Base RI'!B164</f>
        <v>Boulens</v>
      </c>
      <c r="C162" s="288">
        <f>'B) D RI'!U164</f>
        <v>10067.366438356165</v>
      </c>
      <c r="D162" s="32">
        <f>'B) D RI'!AA164</f>
        <v>361</v>
      </c>
      <c r="E162" s="205">
        <f t="shared" si="18"/>
        <v>27.8874416574963</v>
      </c>
      <c r="F162" s="364">
        <f t="shared" si="19"/>
        <v>0.59177940248297767</v>
      </c>
      <c r="G162" s="375">
        <f t="shared" si="20"/>
        <v>0</v>
      </c>
      <c r="H162" s="372">
        <f t="shared" si="21"/>
        <v>0</v>
      </c>
      <c r="I162" s="375">
        <f t="shared" si="22"/>
        <v>0</v>
      </c>
      <c r="J162" s="372">
        <f t="shared" si="23"/>
        <v>0</v>
      </c>
      <c r="K162" s="367">
        <f t="shared" si="24"/>
        <v>0</v>
      </c>
      <c r="L162" s="371">
        <f t="shared" si="25"/>
        <v>0</v>
      </c>
      <c r="M162" s="118">
        <f>L162*D162*'B) D RI'!S164</f>
        <v>0</v>
      </c>
    </row>
    <row r="163" spans="1:13" x14ac:dyDescent="0.25">
      <c r="A163" s="290">
        <f>'A) Base RI'!A165</f>
        <v>5663</v>
      </c>
      <c r="B163" s="32" t="str">
        <f>'A) Base RI'!B165</f>
        <v>Bussy-sur-Moudon</v>
      </c>
      <c r="C163" s="288">
        <f>'B) D RI'!U165</f>
        <v>6357.5273750000006</v>
      </c>
      <c r="D163" s="32">
        <f>'B) D RI'!AA165</f>
        <v>218</v>
      </c>
      <c r="E163" s="205">
        <f t="shared" si="18"/>
        <v>29.162969610091746</v>
      </c>
      <c r="F163" s="364">
        <f t="shared" si="19"/>
        <v>0.61884646653667752</v>
      </c>
      <c r="G163" s="375">
        <f t="shared" si="20"/>
        <v>0</v>
      </c>
      <c r="H163" s="372">
        <f t="shared" si="21"/>
        <v>0</v>
      </c>
      <c r="I163" s="375">
        <f t="shared" si="22"/>
        <v>0</v>
      </c>
      <c r="J163" s="372">
        <f t="shared" si="23"/>
        <v>0</v>
      </c>
      <c r="K163" s="367">
        <f t="shared" si="24"/>
        <v>0</v>
      </c>
      <c r="L163" s="371">
        <f t="shared" si="25"/>
        <v>0</v>
      </c>
      <c r="M163" s="118">
        <f>L163*D163*'B) D RI'!S165</f>
        <v>0</v>
      </c>
    </row>
    <row r="164" spans="1:13" x14ac:dyDescent="0.25">
      <c r="A164" s="290">
        <f>'A) Base RI'!A166</f>
        <v>5665</v>
      </c>
      <c r="B164" s="32" t="str">
        <f>'A) Base RI'!B166</f>
        <v>Chavannes-sur-Moudon</v>
      </c>
      <c r="C164" s="288">
        <f>'B) D RI'!U166</f>
        <v>4734.8986301369869</v>
      </c>
      <c r="D164" s="32">
        <f>'B) D RI'!AA166</f>
        <v>210</v>
      </c>
      <c r="E164" s="205">
        <f t="shared" si="18"/>
        <v>22.547136333985652</v>
      </c>
      <c r="F164" s="364">
        <f t="shared" si="19"/>
        <v>0.47845661252478533</v>
      </c>
      <c r="G164" s="375">
        <f t="shared" si="20"/>
        <v>0</v>
      </c>
      <c r="H164" s="372">
        <f t="shared" si="21"/>
        <v>0</v>
      </c>
      <c r="I164" s="375">
        <f t="shared" si="22"/>
        <v>0</v>
      </c>
      <c r="J164" s="372">
        <f t="shared" si="23"/>
        <v>0</v>
      </c>
      <c r="K164" s="367">
        <f t="shared" si="24"/>
        <v>0</v>
      </c>
      <c r="L164" s="371">
        <f t="shared" si="25"/>
        <v>0</v>
      </c>
      <c r="M164" s="118">
        <f>L164*D164*'B) D RI'!S166</f>
        <v>0</v>
      </c>
    </row>
    <row r="165" spans="1:13" x14ac:dyDescent="0.25">
      <c r="A165" s="290">
        <f>'A) Base RI'!A167</f>
        <v>5669</v>
      </c>
      <c r="B165" s="32" t="str">
        <f>'A) Base RI'!B167</f>
        <v>Curtilles</v>
      </c>
      <c r="C165" s="288">
        <f>'B) D RI'!U167</f>
        <v>10002.199066666666</v>
      </c>
      <c r="D165" s="32">
        <f>'B) D RI'!AA167</f>
        <v>310</v>
      </c>
      <c r="E165" s="205">
        <f t="shared" si="18"/>
        <v>32.265158279569889</v>
      </c>
      <c r="F165" s="364">
        <f t="shared" si="19"/>
        <v>0.68467578784051109</v>
      </c>
      <c r="G165" s="375">
        <f t="shared" si="20"/>
        <v>0</v>
      </c>
      <c r="H165" s="372">
        <f t="shared" si="21"/>
        <v>0</v>
      </c>
      <c r="I165" s="375">
        <f t="shared" si="22"/>
        <v>0</v>
      </c>
      <c r="J165" s="372">
        <f t="shared" si="23"/>
        <v>0</v>
      </c>
      <c r="K165" s="367">
        <f t="shared" si="24"/>
        <v>0</v>
      </c>
      <c r="L165" s="371">
        <f t="shared" si="25"/>
        <v>0</v>
      </c>
      <c r="M165" s="118">
        <f>L165*D165*'B) D RI'!S167</f>
        <v>0</v>
      </c>
    </row>
    <row r="166" spans="1:13" x14ac:dyDescent="0.25">
      <c r="A166" s="290">
        <f>'A) Base RI'!A168</f>
        <v>5671</v>
      </c>
      <c r="B166" s="32" t="str">
        <f>'A) Base RI'!B168</f>
        <v>Dompierre</v>
      </c>
      <c r="C166" s="288">
        <f>'B) D RI'!U168</f>
        <v>6571.3844999999983</v>
      </c>
      <c r="D166" s="32">
        <f>'B) D RI'!AA168</f>
        <v>232</v>
      </c>
      <c r="E166" s="205">
        <f t="shared" si="18"/>
        <v>28.324933189655166</v>
      </c>
      <c r="F166" s="364">
        <f t="shared" si="19"/>
        <v>0.60106309657984158</v>
      </c>
      <c r="G166" s="375">
        <f t="shared" si="20"/>
        <v>0</v>
      </c>
      <c r="H166" s="372">
        <f t="shared" si="21"/>
        <v>0</v>
      </c>
      <c r="I166" s="375">
        <f t="shared" si="22"/>
        <v>0</v>
      </c>
      <c r="J166" s="372">
        <f t="shared" si="23"/>
        <v>0</v>
      </c>
      <c r="K166" s="367">
        <f t="shared" si="24"/>
        <v>0</v>
      </c>
      <c r="L166" s="371">
        <f t="shared" si="25"/>
        <v>0</v>
      </c>
      <c r="M166" s="118">
        <f>L166*D166*'B) D RI'!S168</f>
        <v>0</v>
      </c>
    </row>
    <row r="167" spans="1:13" x14ac:dyDescent="0.25">
      <c r="A167" s="290">
        <f>'A) Base RI'!A169</f>
        <v>5673</v>
      </c>
      <c r="B167" s="32" t="str">
        <f>'A) Base RI'!B169</f>
        <v>Hermenches</v>
      </c>
      <c r="C167" s="288">
        <f>'B) D RI'!U169</f>
        <v>9909.6989333333331</v>
      </c>
      <c r="D167" s="32">
        <f>'B) D RI'!AA169</f>
        <v>367</v>
      </c>
      <c r="E167" s="205">
        <f t="shared" si="18"/>
        <v>27.001904450499545</v>
      </c>
      <c r="F167" s="364">
        <f t="shared" si="19"/>
        <v>0.5729880523953973</v>
      </c>
      <c r="G167" s="375">
        <f t="shared" si="20"/>
        <v>0</v>
      </c>
      <c r="H167" s="372">
        <f t="shared" si="21"/>
        <v>0</v>
      </c>
      <c r="I167" s="375">
        <f t="shared" si="22"/>
        <v>0</v>
      </c>
      <c r="J167" s="372">
        <f t="shared" si="23"/>
        <v>0</v>
      </c>
      <c r="K167" s="367">
        <f t="shared" si="24"/>
        <v>0</v>
      </c>
      <c r="L167" s="371">
        <f t="shared" si="25"/>
        <v>0</v>
      </c>
      <c r="M167" s="118">
        <f>L167*D167*'B) D RI'!S169</f>
        <v>0</v>
      </c>
    </row>
    <row r="168" spans="1:13" x14ac:dyDescent="0.25">
      <c r="A168" s="290">
        <f>'A) Base RI'!A170</f>
        <v>5674</v>
      </c>
      <c r="B168" s="32" t="str">
        <f>'A) Base RI'!B170</f>
        <v>Lovatens</v>
      </c>
      <c r="C168" s="288">
        <f>'B) D RI'!U170</f>
        <v>3215.0507999999995</v>
      </c>
      <c r="D168" s="32">
        <f>'B) D RI'!AA170</f>
        <v>136</v>
      </c>
      <c r="E168" s="205">
        <f t="shared" si="18"/>
        <v>23.640079411764702</v>
      </c>
      <c r="F168" s="364">
        <f t="shared" si="19"/>
        <v>0.50164917387406693</v>
      </c>
      <c r="G168" s="375">
        <f t="shared" si="20"/>
        <v>0</v>
      </c>
      <c r="H168" s="372">
        <f t="shared" si="21"/>
        <v>0</v>
      </c>
      <c r="I168" s="375">
        <f t="shared" si="22"/>
        <v>0</v>
      </c>
      <c r="J168" s="372">
        <f t="shared" si="23"/>
        <v>0</v>
      </c>
      <c r="K168" s="367">
        <f t="shared" si="24"/>
        <v>0</v>
      </c>
      <c r="L168" s="371">
        <f t="shared" si="25"/>
        <v>0</v>
      </c>
      <c r="M168" s="118">
        <f>L168*D168*'B) D RI'!S170</f>
        <v>0</v>
      </c>
    </row>
    <row r="169" spans="1:13" x14ac:dyDescent="0.25">
      <c r="A169" s="290">
        <f>'A) Base RI'!A171</f>
        <v>5675</v>
      </c>
      <c r="B169" s="32" t="str">
        <f>'A) Base RI'!B171</f>
        <v>Lucens</v>
      </c>
      <c r="C169" s="288">
        <f>'B) D RI'!U171</f>
        <v>97758.400909090895</v>
      </c>
      <c r="D169" s="32">
        <f>'B) D RI'!AA171</f>
        <v>4220</v>
      </c>
      <c r="E169" s="205">
        <f t="shared" si="18"/>
        <v>23.165497845756136</v>
      </c>
      <c r="F169" s="364">
        <f t="shared" si="19"/>
        <v>0.49157841876460734</v>
      </c>
      <c r="G169" s="375">
        <f t="shared" si="20"/>
        <v>0</v>
      </c>
      <c r="H169" s="372">
        <f t="shared" si="21"/>
        <v>0</v>
      </c>
      <c r="I169" s="375">
        <f t="shared" si="22"/>
        <v>0</v>
      </c>
      <c r="J169" s="372">
        <f t="shared" si="23"/>
        <v>0</v>
      </c>
      <c r="K169" s="367">
        <f t="shared" si="24"/>
        <v>0</v>
      </c>
      <c r="L169" s="371">
        <f t="shared" si="25"/>
        <v>0</v>
      </c>
      <c r="M169" s="118">
        <f>L169*D169*'B) D RI'!S171</f>
        <v>0</v>
      </c>
    </row>
    <row r="170" spans="1:13" x14ac:dyDescent="0.25">
      <c r="A170" s="290">
        <f>'A) Base RI'!A172</f>
        <v>5678</v>
      </c>
      <c r="B170" s="32" t="str">
        <f>'A) Base RI'!B172</f>
        <v>Moudon</v>
      </c>
      <c r="C170" s="288">
        <f>'B) D RI'!U172</f>
        <v>126080.27293333331</v>
      </c>
      <c r="D170" s="32">
        <f>'B) D RI'!AA172</f>
        <v>6080</v>
      </c>
      <c r="E170" s="205">
        <f t="shared" si="18"/>
        <v>20.736886995614032</v>
      </c>
      <c r="F170" s="364">
        <f t="shared" si="19"/>
        <v>0.44004260937011447</v>
      </c>
      <c r="G170" s="375">
        <f t="shared" si="20"/>
        <v>0</v>
      </c>
      <c r="H170" s="372">
        <f t="shared" si="21"/>
        <v>0</v>
      </c>
      <c r="I170" s="375">
        <f t="shared" si="22"/>
        <v>0</v>
      </c>
      <c r="J170" s="372">
        <f t="shared" si="23"/>
        <v>0</v>
      </c>
      <c r="K170" s="367">
        <f t="shared" si="24"/>
        <v>0</v>
      </c>
      <c r="L170" s="371">
        <f t="shared" si="25"/>
        <v>0</v>
      </c>
      <c r="M170" s="118">
        <f>L170*D170*'B) D RI'!S172</f>
        <v>0</v>
      </c>
    </row>
    <row r="171" spans="1:13" x14ac:dyDescent="0.25">
      <c r="A171" s="290">
        <f>'A) Base RI'!A173</f>
        <v>5680</v>
      </c>
      <c r="B171" s="32" t="str">
        <f>'A) Base RI'!B173</f>
        <v>Ogens</v>
      </c>
      <c r="C171" s="288">
        <f>'B) D RI'!U173</f>
        <v>6313.5037606837595</v>
      </c>
      <c r="D171" s="32">
        <f>'B) D RI'!AA173</f>
        <v>296</v>
      </c>
      <c r="E171" s="205">
        <f t="shared" si="18"/>
        <v>21.329404596904592</v>
      </c>
      <c r="F171" s="364">
        <f t="shared" si="19"/>
        <v>0.4526160005172411</v>
      </c>
      <c r="G171" s="375">
        <f t="shared" si="20"/>
        <v>0</v>
      </c>
      <c r="H171" s="372">
        <f t="shared" si="21"/>
        <v>0</v>
      </c>
      <c r="I171" s="375">
        <f t="shared" si="22"/>
        <v>0</v>
      </c>
      <c r="J171" s="372">
        <f t="shared" si="23"/>
        <v>0</v>
      </c>
      <c r="K171" s="367">
        <f t="shared" si="24"/>
        <v>0</v>
      </c>
      <c r="L171" s="371">
        <f t="shared" si="25"/>
        <v>0</v>
      </c>
      <c r="M171" s="118">
        <f>L171*D171*'B) D RI'!S173</f>
        <v>0</v>
      </c>
    </row>
    <row r="172" spans="1:13" x14ac:dyDescent="0.25">
      <c r="A172" s="290">
        <f>'A) Base RI'!A174</f>
        <v>5683</v>
      </c>
      <c r="B172" s="32" t="str">
        <f>'A) Base RI'!B174</f>
        <v>Prévonloup</v>
      </c>
      <c r="C172" s="288">
        <f>'B) D RI'!U174</f>
        <v>4589.3872972972958</v>
      </c>
      <c r="D172" s="32">
        <f>'B) D RI'!AA174</f>
        <v>194</v>
      </c>
      <c r="E172" s="205">
        <f t="shared" si="18"/>
        <v>23.656635553078843</v>
      </c>
      <c r="F172" s="364">
        <f t="shared" si="19"/>
        <v>0.50200049987717021</v>
      </c>
      <c r="G172" s="375">
        <f t="shared" si="20"/>
        <v>0</v>
      </c>
      <c r="H172" s="372">
        <f t="shared" si="21"/>
        <v>0</v>
      </c>
      <c r="I172" s="375">
        <f t="shared" si="22"/>
        <v>0</v>
      </c>
      <c r="J172" s="372">
        <f t="shared" si="23"/>
        <v>0</v>
      </c>
      <c r="K172" s="367">
        <f t="shared" si="24"/>
        <v>0</v>
      </c>
      <c r="L172" s="371">
        <f t="shared" si="25"/>
        <v>0</v>
      </c>
      <c r="M172" s="118">
        <f>L172*D172*'B) D RI'!S174</f>
        <v>0</v>
      </c>
    </row>
    <row r="173" spans="1:13" x14ac:dyDescent="0.25">
      <c r="A173" s="290">
        <f>'A) Base RI'!A175</f>
        <v>5684</v>
      </c>
      <c r="B173" s="32" t="str">
        <f>'A) Base RI'!B175</f>
        <v>Rossenges</v>
      </c>
      <c r="C173" s="288">
        <f>'B) D RI'!U175</f>
        <v>3098.721</v>
      </c>
      <c r="D173" s="32">
        <f>'B) D RI'!AA175</f>
        <v>84</v>
      </c>
      <c r="E173" s="205">
        <f t="shared" si="18"/>
        <v>36.889535714285714</v>
      </c>
      <c r="F173" s="364">
        <f t="shared" si="19"/>
        <v>0.78280638543286074</v>
      </c>
      <c r="G173" s="375">
        <f t="shared" si="20"/>
        <v>0</v>
      </c>
      <c r="H173" s="372">
        <f t="shared" si="21"/>
        <v>0</v>
      </c>
      <c r="I173" s="375">
        <f t="shared" si="22"/>
        <v>0</v>
      </c>
      <c r="J173" s="372">
        <f t="shared" si="23"/>
        <v>0</v>
      </c>
      <c r="K173" s="367">
        <f t="shared" si="24"/>
        <v>0</v>
      </c>
      <c r="L173" s="371">
        <f t="shared" si="25"/>
        <v>0</v>
      </c>
      <c r="M173" s="118">
        <f>L173*D173*'B) D RI'!S175</f>
        <v>0</v>
      </c>
    </row>
    <row r="174" spans="1:13" x14ac:dyDescent="0.25">
      <c r="A174" s="290">
        <f>'A) Base RI'!A176</f>
        <v>5688</v>
      </c>
      <c r="B174" s="32" t="str">
        <f>'A) Base RI'!B176</f>
        <v>Syens</v>
      </c>
      <c r="C174" s="288">
        <f>'B) D RI'!U176</f>
        <v>2742.3284391534398</v>
      </c>
      <c r="D174" s="32">
        <f>'B) D RI'!AA176</f>
        <v>155</v>
      </c>
      <c r="E174" s="205">
        <f t="shared" si="18"/>
        <v>17.692441542925419</v>
      </c>
      <c r="F174" s="364">
        <f t="shared" si="19"/>
        <v>0.37543861546449941</v>
      </c>
      <c r="G174" s="375">
        <f t="shared" si="20"/>
        <v>0</v>
      </c>
      <c r="H174" s="372">
        <f t="shared" si="21"/>
        <v>0</v>
      </c>
      <c r="I174" s="375">
        <f t="shared" si="22"/>
        <v>0</v>
      </c>
      <c r="J174" s="372">
        <f t="shared" si="23"/>
        <v>0</v>
      </c>
      <c r="K174" s="367">
        <f t="shared" si="24"/>
        <v>0</v>
      </c>
      <c r="L174" s="371">
        <f t="shared" si="25"/>
        <v>0</v>
      </c>
      <c r="M174" s="118">
        <f>L174*D174*'B) D RI'!S176</f>
        <v>0</v>
      </c>
    </row>
    <row r="175" spans="1:13" x14ac:dyDescent="0.25">
      <c r="A175" s="290">
        <f>'A) Base RI'!A177</f>
        <v>5690</v>
      </c>
      <c r="B175" s="32" t="str">
        <f>'A) Base RI'!B177</f>
        <v>Villars-le-Comte</v>
      </c>
      <c r="C175" s="288">
        <f>'B) D RI'!U177</f>
        <v>3018.1645000000003</v>
      </c>
      <c r="D175" s="32">
        <f>'B) D RI'!AA177</f>
        <v>122</v>
      </c>
      <c r="E175" s="205">
        <f t="shared" si="18"/>
        <v>24.739053278688527</v>
      </c>
      <c r="F175" s="364">
        <f t="shared" si="19"/>
        <v>0.52496971027536032</v>
      </c>
      <c r="G175" s="375">
        <f t="shared" si="20"/>
        <v>0</v>
      </c>
      <c r="H175" s="372">
        <f t="shared" si="21"/>
        <v>0</v>
      </c>
      <c r="I175" s="375">
        <f t="shared" si="22"/>
        <v>0</v>
      </c>
      <c r="J175" s="372">
        <f t="shared" si="23"/>
        <v>0</v>
      </c>
      <c r="K175" s="367">
        <f t="shared" si="24"/>
        <v>0</v>
      </c>
      <c r="L175" s="371">
        <f t="shared" si="25"/>
        <v>0</v>
      </c>
      <c r="M175" s="118">
        <f>L175*D175*'B) D RI'!S177</f>
        <v>0</v>
      </c>
    </row>
    <row r="176" spans="1:13" x14ac:dyDescent="0.25">
      <c r="A176" s="290">
        <f>'A) Base RI'!A178</f>
        <v>5692</v>
      </c>
      <c r="B176" s="32" t="str">
        <f>'A) Base RI'!B178</f>
        <v>Vucherens</v>
      </c>
      <c r="C176" s="288">
        <f>'B) D RI'!U178</f>
        <v>16002.190506329114</v>
      </c>
      <c r="D176" s="32">
        <f>'B) D RI'!AA178</f>
        <v>580</v>
      </c>
      <c r="E176" s="205">
        <f t="shared" si="18"/>
        <v>27.589983631601921</v>
      </c>
      <c r="F176" s="364">
        <f t="shared" si="19"/>
        <v>0.58546725901031804</v>
      </c>
      <c r="G176" s="375">
        <f t="shared" si="20"/>
        <v>0</v>
      </c>
      <c r="H176" s="372">
        <f t="shared" si="21"/>
        <v>0</v>
      </c>
      <c r="I176" s="375">
        <f t="shared" si="22"/>
        <v>0</v>
      </c>
      <c r="J176" s="372">
        <f t="shared" si="23"/>
        <v>0</v>
      </c>
      <c r="K176" s="367">
        <f t="shared" si="24"/>
        <v>0</v>
      </c>
      <c r="L176" s="371">
        <f t="shared" si="25"/>
        <v>0</v>
      </c>
      <c r="M176" s="118">
        <f>L176*D176*'B) D RI'!S178</f>
        <v>0</v>
      </c>
    </row>
    <row r="177" spans="1:13" x14ac:dyDescent="0.25">
      <c r="A177" s="290">
        <f>'A) Base RI'!A179</f>
        <v>5693</v>
      </c>
      <c r="B177" s="32" t="str">
        <f>'A) Base RI'!B179</f>
        <v>Montanaire</v>
      </c>
      <c r="C177" s="288">
        <f>'B) D RI'!U179</f>
        <v>70807.212499999965</v>
      </c>
      <c r="D177" s="32">
        <f>'B) D RI'!AA179</f>
        <v>2717</v>
      </c>
      <c r="E177" s="205">
        <f t="shared" si="18"/>
        <v>26.060806956201681</v>
      </c>
      <c r="F177" s="364">
        <f t="shared" si="19"/>
        <v>0.55301769729098371</v>
      </c>
      <c r="G177" s="375">
        <f t="shared" si="20"/>
        <v>0</v>
      </c>
      <c r="H177" s="372">
        <f t="shared" si="21"/>
        <v>0</v>
      </c>
      <c r="I177" s="375">
        <f t="shared" si="22"/>
        <v>0</v>
      </c>
      <c r="J177" s="372">
        <f t="shared" si="23"/>
        <v>0</v>
      </c>
      <c r="K177" s="367">
        <f t="shared" si="24"/>
        <v>0</v>
      </c>
      <c r="L177" s="371">
        <f t="shared" si="25"/>
        <v>0</v>
      </c>
      <c r="M177" s="118">
        <f>L177*D177*'B) D RI'!S179</f>
        <v>0</v>
      </c>
    </row>
    <row r="178" spans="1:13" x14ac:dyDescent="0.25">
      <c r="A178" s="290">
        <f>'A) Base RI'!A180</f>
        <v>5701</v>
      </c>
      <c r="B178" s="32" t="str">
        <f>'A) Base RI'!B180</f>
        <v>Arnex-sur-Nyon</v>
      </c>
      <c r="C178" s="288">
        <f>'B) D RI'!U180</f>
        <v>12068.134285714286</v>
      </c>
      <c r="D178" s="32">
        <f>'B) D RI'!AA180</f>
        <v>229</v>
      </c>
      <c r="E178" s="205">
        <f t="shared" si="18"/>
        <v>52.699276356830943</v>
      </c>
      <c r="F178" s="364">
        <f t="shared" si="19"/>
        <v>1.1182935550973232</v>
      </c>
      <c r="G178" s="375">
        <f t="shared" si="20"/>
        <v>5.5745512641922659</v>
      </c>
      <c r="H178" s="372">
        <f t="shared" si="21"/>
        <v>0</v>
      </c>
      <c r="I178" s="375">
        <f t="shared" si="22"/>
        <v>0</v>
      </c>
      <c r="J178" s="372">
        <f t="shared" si="23"/>
        <v>0</v>
      </c>
      <c r="K178" s="367">
        <f t="shared" si="24"/>
        <v>0</v>
      </c>
      <c r="L178" s="371">
        <f t="shared" si="25"/>
        <v>1.1149102528384531</v>
      </c>
      <c r="M178" s="118">
        <f>L178*D178*'B) D RI'!S180</f>
        <v>17872.011353000406</v>
      </c>
    </row>
    <row r="179" spans="1:13" x14ac:dyDescent="0.25">
      <c r="A179" s="290">
        <f>'A) Base RI'!A181</f>
        <v>5702</v>
      </c>
      <c r="B179" s="32" t="str">
        <f>'A) Base RI'!B181</f>
        <v>Arzier-Le Muids</v>
      </c>
      <c r="C179" s="288">
        <f>'B) D RI'!U181</f>
        <v>173952.76901041667</v>
      </c>
      <c r="D179" s="32">
        <f>'B) D RI'!AA181</f>
        <v>2801</v>
      </c>
      <c r="E179" s="205">
        <f t="shared" si="18"/>
        <v>62.10380900050577</v>
      </c>
      <c r="F179" s="364">
        <f t="shared" si="19"/>
        <v>1.3178603987274393</v>
      </c>
      <c r="G179" s="375">
        <f t="shared" si="20"/>
        <v>14.979083907867093</v>
      </c>
      <c r="H179" s="372">
        <f t="shared" si="21"/>
        <v>5.554138889339356</v>
      </c>
      <c r="I179" s="375">
        <f t="shared" si="22"/>
        <v>0</v>
      </c>
      <c r="J179" s="372">
        <f t="shared" si="23"/>
        <v>0</v>
      </c>
      <c r="K179" s="367">
        <f t="shared" si="24"/>
        <v>0</v>
      </c>
      <c r="L179" s="371">
        <f t="shared" si="25"/>
        <v>3.551230670507354</v>
      </c>
      <c r="M179" s="118">
        <f>L179*D179*'B) D RI'!S181</f>
        <v>636607.81491783028</v>
      </c>
    </row>
    <row r="180" spans="1:13" x14ac:dyDescent="0.25">
      <c r="A180" s="290">
        <f>'A) Base RI'!A182</f>
        <v>5703</v>
      </c>
      <c r="B180" s="32" t="str">
        <f>'A) Base RI'!B182</f>
        <v>Bassins</v>
      </c>
      <c r="C180" s="288">
        <f>'B) D RI'!U182</f>
        <v>58992.28158301158</v>
      </c>
      <c r="D180" s="32">
        <f>'B) D RI'!AA182</f>
        <v>1395</v>
      </c>
      <c r="E180" s="205">
        <f t="shared" si="18"/>
        <v>42.28837389463196</v>
      </c>
      <c r="F180" s="364">
        <f t="shared" si="19"/>
        <v>0.89737125917447103</v>
      </c>
      <c r="G180" s="375">
        <f t="shared" si="20"/>
        <v>0</v>
      </c>
      <c r="H180" s="372">
        <f t="shared" si="21"/>
        <v>0</v>
      </c>
      <c r="I180" s="375">
        <f t="shared" si="22"/>
        <v>0</v>
      </c>
      <c r="J180" s="372">
        <f t="shared" si="23"/>
        <v>0</v>
      </c>
      <c r="K180" s="367">
        <f t="shared" si="24"/>
        <v>0</v>
      </c>
      <c r="L180" s="371">
        <f t="shared" si="25"/>
        <v>0</v>
      </c>
      <c r="M180" s="118">
        <f>L180*D180*'B) D RI'!S182</f>
        <v>0</v>
      </c>
    </row>
    <row r="181" spans="1:13" x14ac:dyDescent="0.25">
      <c r="A181" s="290">
        <f>'A) Base RI'!A183</f>
        <v>5704</v>
      </c>
      <c r="B181" s="32" t="str">
        <f>'A) Base RI'!B183</f>
        <v>Begnins</v>
      </c>
      <c r="C181" s="288">
        <f>'B) D RI'!U183</f>
        <v>129564.85270833333</v>
      </c>
      <c r="D181" s="32">
        <f>'B) D RI'!AA183</f>
        <v>1931</v>
      </c>
      <c r="E181" s="205">
        <f t="shared" si="18"/>
        <v>67.097282604004832</v>
      </c>
      <c r="F181" s="364">
        <f t="shared" si="19"/>
        <v>1.4238233214539442</v>
      </c>
      <c r="G181" s="375">
        <f t="shared" si="20"/>
        <v>19.972557511366155</v>
      </c>
      <c r="H181" s="372">
        <f t="shared" si="21"/>
        <v>10.547612492838418</v>
      </c>
      <c r="I181" s="375">
        <f t="shared" si="22"/>
        <v>0</v>
      </c>
      <c r="J181" s="372">
        <f t="shared" si="23"/>
        <v>0</v>
      </c>
      <c r="K181" s="367">
        <f t="shared" si="24"/>
        <v>0</v>
      </c>
      <c r="L181" s="371">
        <f t="shared" si="25"/>
        <v>5.0492727515570728</v>
      </c>
      <c r="M181" s="118">
        <f>L181*D181*'B) D RI'!S183</f>
        <v>624009.32372842927</v>
      </c>
    </row>
    <row r="182" spans="1:13" x14ac:dyDescent="0.25">
      <c r="A182" s="290">
        <f>'A) Base RI'!A184</f>
        <v>5705</v>
      </c>
      <c r="B182" s="32" t="str">
        <f>'A) Base RI'!B184</f>
        <v>Bogis-Bossey</v>
      </c>
      <c r="C182" s="288">
        <f>'B) D RI'!U184</f>
        <v>47436.61605263158</v>
      </c>
      <c r="D182" s="32">
        <f>'B) D RI'!AA184</f>
        <v>825</v>
      </c>
      <c r="E182" s="205">
        <f t="shared" si="18"/>
        <v>57.498928548644336</v>
      </c>
      <c r="F182" s="364">
        <f t="shared" si="19"/>
        <v>1.220143532627763</v>
      </c>
      <c r="G182" s="375">
        <f t="shared" si="20"/>
        <v>10.37420345600566</v>
      </c>
      <c r="H182" s="372">
        <f t="shared" si="21"/>
        <v>0.94925843747792271</v>
      </c>
      <c r="I182" s="375">
        <f t="shared" si="22"/>
        <v>0</v>
      </c>
      <c r="J182" s="372">
        <f t="shared" si="23"/>
        <v>0</v>
      </c>
      <c r="K182" s="367">
        <f t="shared" si="24"/>
        <v>0</v>
      </c>
      <c r="L182" s="371">
        <f t="shared" si="25"/>
        <v>2.1697665349489244</v>
      </c>
      <c r="M182" s="118">
        <f>L182*D182*'B) D RI'!S184</f>
        <v>136044.36174129756</v>
      </c>
    </row>
    <row r="183" spans="1:13" x14ac:dyDescent="0.25">
      <c r="A183" s="290">
        <f>'A) Base RI'!A185</f>
        <v>5706</v>
      </c>
      <c r="B183" s="32" t="str">
        <f>'A) Base RI'!B185</f>
        <v>Borex</v>
      </c>
      <c r="C183" s="288">
        <f>'B) D RI'!U185</f>
        <v>76683.378793103446</v>
      </c>
      <c r="D183" s="32">
        <f>'B) D RI'!AA185</f>
        <v>1132</v>
      </c>
      <c r="E183" s="205">
        <f t="shared" si="18"/>
        <v>67.741500700621415</v>
      </c>
      <c r="F183" s="364">
        <f t="shared" si="19"/>
        <v>1.4374938117400979</v>
      </c>
      <c r="G183" s="375">
        <f t="shared" si="20"/>
        <v>20.616775607982738</v>
      </c>
      <c r="H183" s="372">
        <f t="shared" si="21"/>
        <v>11.191830589455002</v>
      </c>
      <c r="I183" s="375">
        <f t="shared" si="22"/>
        <v>0</v>
      </c>
      <c r="J183" s="372">
        <f t="shared" si="23"/>
        <v>0</v>
      </c>
      <c r="K183" s="367">
        <f t="shared" si="24"/>
        <v>0</v>
      </c>
      <c r="L183" s="371">
        <f t="shared" si="25"/>
        <v>5.2425381805420477</v>
      </c>
      <c r="M183" s="118">
        <f>L183*D183*'B) D RI'!S185</f>
        <v>344204.08678166871</v>
      </c>
    </row>
    <row r="184" spans="1:13" x14ac:dyDescent="0.25">
      <c r="A184" s="290">
        <f>'A) Base RI'!A186</f>
        <v>5707</v>
      </c>
      <c r="B184" s="32" t="str">
        <f>'A) Base RI'!B186</f>
        <v>Chavannes-de-Bogis</v>
      </c>
      <c r="C184" s="288">
        <f>'B) D RI'!U186</f>
        <v>81307.638983050841</v>
      </c>
      <c r="D184" s="32">
        <f>'B) D RI'!AA186</f>
        <v>1357</v>
      </c>
      <c r="E184" s="205">
        <f t="shared" si="18"/>
        <v>59.917198955822286</v>
      </c>
      <c r="F184" s="364">
        <f t="shared" si="19"/>
        <v>1.2714599148968173</v>
      </c>
      <c r="G184" s="375">
        <f t="shared" si="20"/>
        <v>12.792473863183609</v>
      </c>
      <c r="H184" s="372">
        <f t="shared" si="21"/>
        <v>3.3675288446558724</v>
      </c>
      <c r="I184" s="375">
        <f t="shared" si="22"/>
        <v>0</v>
      </c>
      <c r="J184" s="372">
        <f t="shared" si="23"/>
        <v>0</v>
      </c>
      <c r="K184" s="367">
        <f t="shared" si="24"/>
        <v>0</v>
      </c>
      <c r="L184" s="371">
        <f t="shared" si="25"/>
        <v>2.8952476571023089</v>
      </c>
      <c r="M184" s="118">
        <f>L184*D184*'B) D RI'!S186</f>
        <v>231802.21317058217</v>
      </c>
    </row>
    <row r="185" spans="1:13" x14ac:dyDescent="0.25">
      <c r="A185" s="290">
        <f>'A) Base RI'!A187</f>
        <v>5708</v>
      </c>
      <c r="B185" s="32" t="str">
        <f>'A) Base RI'!B187</f>
        <v>Chavannes-des-Bois</v>
      </c>
      <c r="C185" s="288">
        <f>'B) D RI'!U187</f>
        <v>64704.48911764707</v>
      </c>
      <c r="D185" s="32">
        <f>'B) D RI'!AA187</f>
        <v>960</v>
      </c>
      <c r="E185" s="205">
        <f t="shared" si="18"/>
        <v>67.400509497549038</v>
      </c>
      <c r="F185" s="364">
        <f t="shared" si="19"/>
        <v>1.4302578819303846</v>
      </c>
      <c r="G185" s="375">
        <f t="shared" si="20"/>
        <v>20.275784404910361</v>
      </c>
      <c r="H185" s="372">
        <f t="shared" si="21"/>
        <v>10.850839386382624</v>
      </c>
      <c r="I185" s="375">
        <f t="shared" si="22"/>
        <v>0</v>
      </c>
      <c r="J185" s="372">
        <f t="shared" si="23"/>
        <v>0</v>
      </c>
      <c r="K185" s="367">
        <f t="shared" si="24"/>
        <v>0</v>
      </c>
      <c r="L185" s="371">
        <f t="shared" si="25"/>
        <v>5.1402408196203346</v>
      </c>
      <c r="M185" s="118">
        <f>L185*D185*'B) D RI'!S187</f>
        <v>335554.92070481548</v>
      </c>
    </row>
    <row r="186" spans="1:13" x14ac:dyDescent="0.25">
      <c r="A186" s="290">
        <f>'A) Base RI'!A188</f>
        <v>5709</v>
      </c>
      <c r="B186" s="32" t="str">
        <f>'A) Base RI'!B188</f>
        <v>Chéserex</v>
      </c>
      <c r="C186" s="288">
        <f>'B) D RI'!U188</f>
        <v>99426.699824561394</v>
      </c>
      <c r="D186" s="32">
        <f>'B) D RI'!AA188</f>
        <v>1238</v>
      </c>
      <c r="E186" s="205">
        <f t="shared" si="18"/>
        <v>80.31235850126123</v>
      </c>
      <c r="F186" s="364">
        <f t="shared" si="19"/>
        <v>1.7042509710853841</v>
      </c>
      <c r="G186" s="375">
        <f t="shared" si="20"/>
        <v>33.187633408622553</v>
      </c>
      <c r="H186" s="372">
        <f t="shared" si="21"/>
        <v>23.762688390094816</v>
      </c>
      <c r="I186" s="375">
        <f t="shared" si="22"/>
        <v>9.6252708623032106</v>
      </c>
      <c r="J186" s="372">
        <f t="shared" si="23"/>
        <v>0</v>
      </c>
      <c r="K186" s="367">
        <f t="shared" si="24"/>
        <v>0</v>
      </c>
      <c r="L186" s="371">
        <f t="shared" si="25"/>
        <v>9.9763226069643132</v>
      </c>
      <c r="M186" s="118">
        <f>L186*D186*'B) D RI'!S188</f>
        <v>703989.18108304369</v>
      </c>
    </row>
    <row r="187" spans="1:13" x14ac:dyDescent="0.25">
      <c r="A187" s="290">
        <f>'A) Base RI'!A189</f>
        <v>5710</v>
      </c>
      <c r="B187" s="32" t="str">
        <f>'A) Base RI'!B189</f>
        <v>Coinsins</v>
      </c>
      <c r="C187" s="288">
        <f>'B) D RI'!U189</f>
        <v>112110.92803921571</v>
      </c>
      <c r="D187" s="32">
        <f>'B) D RI'!AA189</f>
        <v>494</v>
      </c>
      <c r="E187" s="205">
        <f t="shared" si="18"/>
        <v>226.94519845995083</v>
      </c>
      <c r="F187" s="364">
        <f t="shared" si="19"/>
        <v>4.8158413235051807</v>
      </c>
      <c r="G187" s="375">
        <f t="shared" si="20"/>
        <v>179.82047336731216</v>
      </c>
      <c r="H187" s="372">
        <f t="shared" si="21"/>
        <v>170.39552834878441</v>
      </c>
      <c r="I187" s="375">
        <f t="shared" si="22"/>
        <v>156.25811082099281</v>
      </c>
      <c r="J187" s="372">
        <f t="shared" si="23"/>
        <v>132.69574827467346</v>
      </c>
      <c r="K187" s="367">
        <f t="shared" si="24"/>
        <v>85.571023182034793</v>
      </c>
      <c r="L187" s="371">
        <f t="shared" si="25"/>
        <v>90.45613573611098</v>
      </c>
      <c r="M187" s="118">
        <f>L187*D187*'B) D RI'!S189</f>
        <v>2278951.8837355799</v>
      </c>
    </row>
    <row r="188" spans="1:13" x14ac:dyDescent="0.25">
      <c r="A188" s="290">
        <f>'A) Base RI'!A190</f>
        <v>5711</v>
      </c>
      <c r="B188" s="32" t="str">
        <f>'A) Base RI'!B190</f>
        <v>Commugny</v>
      </c>
      <c r="C188" s="288">
        <f>'B) D RI'!U190</f>
        <v>257487.27623481784</v>
      </c>
      <c r="D188" s="32">
        <f>'B) D RI'!AA190</f>
        <v>2935</v>
      </c>
      <c r="E188" s="205">
        <f t="shared" si="18"/>
        <v>87.729906723958379</v>
      </c>
      <c r="F188" s="364">
        <f t="shared" si="19"/>
        <v>1.8616534431022624</v>
      </c>
      <c r="G188" s="375">
        <f t="shared" si="20"/>
        <v>40.605181631319702</v>
      </c>
      <c r="H188" s="372">
        <f t="shared" si="21"/>
        <v>31.180236612791965</v>
      </c>
      <c r="I188" s="375">
        <f t="shared" si="22"/>
        <v>17.04281908500036</v>
      </c>
      <c r="J188" s="372">
        <f t="shared" si="23"/>
        <v>0</v>
      </c>
      <c r="K188" s="367">
        <f t="shared" si="24"/>
        <v>0</v>
      </c>
      <c r="L188" s="371">
        <f t="shared" si="25"/>
        <v>12.943341896043172</v>
      </c>
      <c r="M188" s="118">
        <f>L188*D188*'B) D RI'!S190</f>
        <v>2165356.3824985423</v>
      </c>
    </row>
    <row r="189" spans="1:13" x14ac:dyDescent="0.25">
      <c r="A189" s="290">
        <f>'A) Base RI'!A191</f>
        <v>5712</v>
      </c>
      <c r="B189" s="32" t="str">
        <f>'A) Base RI'!B191</f>
        <v>Coppet</v>
      </c>
      <c r="C189" s="288">
        <f>'B) D RI'!U191</f>
        <v>389043.84018867929</v>
      </c>
      <c r="D189" s="32">
        <f>'B) D RI'!AA191</f>
        <v>3211</v>
      </c>
      <c r="E189" s="205">
        <f t="shared" si="18"/>
        <v>121.15971354365595</v>
      </c>
      <c r="F189" s="364">
        <f t="shared" si="19"/>
        <v>2.5710434024915347</v>
      </c>
      <c r="G189" s="375">
        <f t="shared" si="20"/>
        <v>74.034988451017284</v>
      </c>
      <c r="H189" s="372">
        <f t="shared" si="21"/>
        <v>64.610043432489533</v>
      </c>
      <c r="I189" s="375">
        <f t="shared" si="22"/>
        <v>50.472625904697935</v>
      </c>
      <c r="J189" s="372">
        <f t="shared" si="23"/>
        <v>26.9102633583786</v>
      </c>
      <c r="K189" s="367">
        <f t="shared" si="24"/>
        <v>0</v>
      </c>
      <c r="L189" s="371">
        <f t="shared" si="25"/>
        <v>29.006290959760065</v>
      </c>
      <c r="M189" s="118">
        <f>L189*D189*'B) D RI'!S191</f>
        <v>4936377.6144048469</v>
      </c>
    </row>
    <row r="190" spans="1:13" x14ac:dyDescent="0.25">
      <c r="A190" s="290">
        <f>'A) Base RI'!A192</f>
        <v>5713</v>
      </c>
      <c r="B190" s="32" t="str">
        <f>'A) Base RI'!B192</f>
        <v>Crans-près-Céligny</v>
      </c>
      <c r="C190" s="288">
        <f>'B) D RI'!U192</f>
        <v>285689.07035714283</v>
      </c>
      <c r="D190" s="32">
        <f>'B) D RI'!AA192</f>
        <v>2286</v>
      </c>
      <c r="E190" s="205">
        <f t="shared" si="18"/>
        <v>124.97334661292338</v>
      </c>
      <c r="F190" s="364">
        <f t="shared" si="19"/>
        <v>2.651969775255949</v>
      </c>
      <c r="G190" s="375">
        <f t="shared" si="20"/>
        <v>77.848621520284695</v>
      </c>
      <c r="H190" s="372">
        <f t="shared" si="21"/>
        <v>68.423676501756972</v>
      </c>
      <c r="I190" s="375">
        <f t="shared" si="22"/>
        <v>54.28625897396536</v>
      </c>
      <c r="J190" s="372">
        <f t="shared" si="23"/>
        <v>30.723896427646025</v>
      </c>
      <c r="K190" s="367">
        <f t="shared" si="24"/>
        <v>0</v>
      </c>
      <c r="L190" s="371">
        <f t="shared" si="25"/>
        <v>30.913107494393778</v>
      </c>
      <c r="M190" s="118">
        <f>L190*D190*'B) D RI'!S192</f>
        <v>3957372.3690023143</v>
      </c>
    </row>
    <row r="191" spans="1:13" x14ac:dyDescent="0.25">
      <c r="A191" s="290">
        <f>'A) Base RI'!A193</f>
        <v>5714</v>
      </c>
      <c r="B191" s="32" t="str">
        <f>'A) Base RI'!B193</f>
        <v>Crassier</v>
      </c>
      <c r="C191" s="288">
        <f>'B) D RI'!U193</f>
        <v>69757.357205882377</v>
      </c>
      <c r="D191" s="32">
        <f>'B) D RI'!AA193</f>
        <v>1169</v>
      </c>
      <c r="E191" s="205">
        <f t="shared" si="18"/>
        <v>59.67267511196097</v>
      </c>
      <c r="F191" s="364">
        <f t="shared" si="19"/>
        <v>1.2662710497441692</v>
      </c>
      <c r="G191" s="375">
        <f t="shared" si="20"/>
        <v>12.547950019322293</v>
      </c>
      <c r="H191" s="372">
        <f t="shared" si="21"/>
        <v>3.1230050007945565</v>
      </c>
      <c r="I191" s="375">
        <f t="shared" si="22"/>
        <v>0</v>
      </c>
      <c r="J191" s="372">
        <f t="shared" si="23"/>
        <v>0</v>
      </c>
      <c r="K191" s="367">
        <f t="shared" si="24"/>
        <v>0</v>
      </c>
      <c r="L191" s="371">
        <f t="shared" si="25"/>
        <v>2.8218905039439144</v>
      </c>
      <c r="M191" s="118">
        <f>L191*D191*'B) D RI'!S193</f>
        <v>224317.71993950964</v>
      </c>
    </row>
    <row r="192" spans="1:13" x14ac:dyDescent="0.25">
      <c r="A192" s="290">
        <f>'A) Base RI'!A194</f>
        <v>5715</v>
      </c>
      <c r="B192" s="32" t="str">
        <f>'A) Base RI'!B194</f>
        <v>Duillier</v>
      </c>
      <c r="C192" s="288">
        <f>'B) D RI'!U194</f>
        <v>70129.929393939397</v>
      </c>
      <c r="D192" s="32">
        <f>'B) D RI'!AA194</f>
        <v>1090</v>
      </c>
      <c r="E192" s="205">
        <f t="shared" si="18"/>
        <v>64.339384765082016</v>
      </c>
      <c r="F192" s="364">
        <f t="shared" si="19"/>
        <v>1.3652999489886135</v>
      </c>
      <c r="G192" s="375">
        <f t="shared" si="20"/>
        <v>17.214659672443339</v>
      </c>
      <c r="H192" s="372">
        <f t="shared" si="21"/>
        <v>7.7897146539156026</v>
      </c>
      <c r="I192" s="375">
        <f t="shared" si="22"/>
        <v>0</v>
      </c>
      <c r="J192" s="372">
        <f t="shared" si="23"/>
        <v>0</v>
      </c>
      <c r="K192" s="367">
        <f t="shared" si="24"/>
        <v>0</v>
      </c>
      <c r="L192" s="371">
        <f t="shared" si="25"/>
        <v>4.2219033998802278</v>
      </c>
      <c r="M192" s="118">
        <f>L192*D192*'B) D RI'!S194</f>
        <v>303723.73058738356</v>
      </c>
    </row>
    <row r="193" spans="1:13" x14ac:dyDescent="0.25">
      <c r="A193" s="290">
        <f>'A) Base RI'!A195</f>
        <v>5716</v>
      </c>
      <c r="B193" s="32" t="str">
        <f>'A) Base RI'!B195</f>
        <v>Eysins</v>
      </c>
      <c r="C193" s="288">
        <f>'B) D RI'!U195</f>
        <v>206146.61786885248</v>
      </c>
      <c r="D193" s="32">
        <f>'B) D RI'!AA195</f>
        <v>1737</v>
      </c>
      <c r="E193" s="205">
        <f t="shared" si="18"/>
        <v>118.67968789225819</v>
      </c>
      <c r="F193" s="364">
        <f t="shared" si="19"/>
        <v>2.5184165564670224</v>
      </c>
      <c r="G193" s="375">
        <f t="shared" si="20"/>
        <v>71.554962799619517</v>
      </c>
      <c r="H193" s="372">
        <f t="shared" si="21"/>
        <v>62.130017781091773</v>
      </c>
      <c r="I193" s="375">
        <f t="shared" si="22"/>
        <v>47.992600253300168</v>
      </c>
      <c r="J193" s="372">
        <f t="shared" si="23"/>
        <v>24.430237706980833</v>
      </c>
      <c r="K193" s="367">
        <f t="shared" si="24"/>
        <v>0</v>
      </c>
      <c r="L193" s="371">
        <f t="shared" si="25"/>
        <v>27.766278134061182</v>
      </c>
      <c r="M193" s="118">
        <f>L193*D193*'B) D RI'!S195</f>
        <v>2942031.5322507205</v>
      </c>
    </row>
    <row r="194" spans="1:13" x14ac:dyDescent="0.25">
      <c r="A194" s="290">
        <f>'A) Base RI'!A196</f>
        <v>5717</v>
      </c>
      <c r="B194" s="32" t="str">
        <f>'A) Base RI'!B196</f>
        <v>Founex</v>
      </c>
      <c r="C194" s="288">
        <f>'B) D RI'!U196</f>
        <v>344775.19280701759</v>
      </c>
      <c r="D194" s="32">
        <f>'B) D RI'!AA196</f>
        <v>3772</v>
      </c>
      <c r="E194" s="205">
        <f t="shared" si="18"/>
        <v>91.40381569645217</v>
      </c>
      <c r="F194" s="364">
        <f t="shared" si="19"/>
        <v>1.9396148309994132</v>
      </c>
      <c r="G194" s="375">
        <f t="shared" si="20"/>
        <v>44.279090603813493</v>
      </c>
      <c r="H194" s="372">
        <f t="shared" si="21"/>
        <v>34.854145585285757</v>
      </c>
      <c r="I194" s="375">
        <f t="shared" si="22"/>
        <v>20.716728057494151</v>
      </c>
      <c r="J194" s="372">
        <f t="shared" si="23"/>
        <v>0</v>
      </c>
      <c r="K194" s="367">
        <f t="shared" si="24"/>
        <v>0</v>
      </c>
      <c r="L194" s="371">
        <f t="shared" si="25"/>
        <v>14.412905485040689</v>
      </c>
      <c r="M194" s="118">
        <f>L194*D194*'B) D RI'!S196</f>
        <v>3098832.3309056885</v>
      </c>
    </row>
    <row r="195" spans="1:13" x14ac:dyDescent="0.25">
      <c r="A195" s="290">
        <f>'A) Base RI'!A197</f>
        <v>5718</v>
      </c>
      <c r="B195" s="32" t="str">
        <f>'A) Base RI'!B197</f>
        <v>Genolier</v>
      </c>
      <c r="C195" s="288">
        <f>'B) D RI'!U197</f>
        <v>171473.77890909091</v>
      </c>
      <c r="D195" s="32">
        <f>'B) D RI'!AA197</f>
        <v>2000</v>
      </c>
      <c r="E195" s="205">
        <f t="shared" si="18"/>
        <v>85.736889454545448</v>
      </c>
      <c r="F195" s="364">
        <f t="shared" si="19"/>
        <v>1.8193610527382864</v>
      </c>
      <c r="G195" s="375">
        <f t="shared" si="20"/>
        <v>38.612164361906771</v>
      </c>
      <c r="H195" s="372">
        <f t="shared" si="21"/>
        <v>29.187219343379034</v>
      </c>
      <c r="I195" s="375">
        <f t="shared" si="22"/>
        <v>15.049801815587429</v>
      </c>
      <c r="J195" s="372">
        <f t="shared" si="23"/>
        <v>0</v>
      </c>
      <c r="K195" s="367">
        <f t="shared" si="24"/>
        <v>0</v>
      </c>
      <c r="L195" s="371">
        <f t="shared" si="25"/>
        <v>12.146134988278</v>
      </c>
      <c r="M195" s="118">
        <f>L195*D195*'B) D RI'!S197</f>
        <v>1336074.84871058</v>
      </c>
    </row>
    <row r="196" spans="1:13" x14ac:dyDescent="0.25">
      <c r="A196" s="290">
        <f>'A) Base RI'!A198</f>
        <v>5719</v>
      </c>
      <c r="B196" s="32" t="str">
        <f>'A) Base RI'!B198</f>
        <v>Gingins</v>
      </c>
      <c r="C196" s="288">
        <f>'B) D RI'!U198</f>
        <v>142317.67801169588</v>
      </c>
      <c r="D196" s="32">
        <f>'B) D RI'!AA198</f>
        <v>1239</v>
      </c>
      <c r="E196" s="205">
        <f t="shared" si="18"/>
        <v>114.86495400459717</v>
      </c>
      <c r="F196" s="364">
        <f t="shared" si="19"/>
        <v>2.4374668240248289</v>
      </c>
      <c r="G196" s="375">
        <f t="shared" si="20"/>
        <v>67.740228911958496</v>
      </c>
      <c r="H196" s="372">
        <f t="shared" si="21"/>
        <v>58.315283893430752</v>
      </c>
      <c r="I196" s="375">
        <f t="shared" si="22"/>
        <v>44.177866365639147</v>
      </c>
      <c r="J196" s="372">
        <f t="shared" si="23"/>
        <v>20.615503819319812</v>
      </c>
      <c r="K196" s="367">
        <f t="shared" si="24"/>
        <v>0</v>
      </c>
      <c r="L196" s="371">
        <f t="shared" si="25"/>
        <v>25.858911190230671</v>
      </c>
      <c r="M196" s="118">
        <f>L196*D196*'B) D RI'!S198</f>
        <v>1826233.8849876607</v>
      </c>
    </row>
    <row r="197" spans="1:13" x14ac:dyDescent="0.25">
      <c r="A197" s="290">
        <f>'A) Base RI'!A199</f>
        <v>5720</v>
      </c>
      <c r="B197" s="32" t="str">
        <f>'A) Base RI'!B199</f>
        <v>Givrins</v>
      </c>
      <c r="C197" s="288">
        <f>'B) D RI'!U199</f>
        <v>82564.367429519058</v>
      </c>
      <c r="D197" s="32">
        <f>'B) D RI'!AA199</f>
        <v>1032</v>
      </c>
      <c r="E197" s="205">
        <f t="shared" si="18"/>
        <v>80.00423200534793</v>
      </c>
      <c r="F197" s="364">
        <f t="shared" si="19"/>
        <v>1.6977124396603713</v>
      </c>
      <c r="G197" s="375">
        <f t="shared" si="20"/>
        <v>32.879506912709253</v>
      </c>
      <c r="H197" s="372">
        <f t="shared" si="21"/>
        <v>23.454561894181516</v>
      </c>
      <c r="I197" s="375">
        <f t="shared" si="22"/>
        <v>9.3171443663899112</v>
      </c>
      <c r="J197" s="372">
        <f t="shared" si="23"/>
        <v>0</v>
      </c>
      <c r="K197" s="367">
        <f t="shared" si="24"/>
        <v>0</v>
      </c>
      <c r="L197" s="371">
        <f t="shared" si="25"/>
        <v>9.8530720085989927</v>
      </c>
      <c r="M197" s="118">
        <f>L197*D197*'B) D RI'!S199</f>
        <v>681280.81096256874</v>
      </c>
    </row>
    <row r="198" spans="1:13" x14ac:dyDescent="0.25">
      <c r="A198" s="290">
        <f>'A) Base RI'!A200</f>
        <v>5721</v>
      </c>
      <c r="B198" s="32" t="str">
        <f>'A) Base RI'!B200</f>
        <v>Gland</v>
      </c>
      <c r="C198" s="288">
        <f>'B) D RI'!U200</f>
        <v>655037.95408000017</v>
      </c>
      <c r="D198" s="32">
        <f>'B) D RI'!AA200</f>
        <v>13194</v>
      </c>
      <c r="E198" s="205">
        <f t="shared" ref="E198:E261" si="26">C198/D198</f>
        <v>49.646654091253616</v>
      </c>
      <c r="F198" s="364">
        <f t="shared" ref="F198:F261" si="27">E198/$E$314</f>
        <v>1.0535160469086511</v>
      </c>
      <c r="G198" s="375">
        <f t="shared" ref="G198:G261" si="28">IF(E198-$G$2&lt;0,0,E198-$G$2)</f>
        <v>2.5219289986149391</v>
      </c>
      <c r="H198" s="372">
        <f t="shared" ref="H198:H261" si="29">IF(E198-$H$2&lt;0,0,E198-$H$2)</f>
        <v>0</v>
      </c>
      <c r="I198" s="375">
        <f t="shared" ref="I198:I261" si="30">IF(E198-$I$2&lt;0,0,E198-$I$2)</f>
        <v>0</v>
      </c>
      <c r="J198" s="372">
        <f t="shared" ref="J198:J261" si="31">IF(E198-$J$2&lt;0,0,E198-$J$2)</f>
        <v>0</v>
      </c>
      <c r="K198" s="367">
        <f t="shared" ref="K198:K261" si="32">IF(E198-$K$2&lt;0,0,E198-$K$2)</f>
        <v>0</v>
      </c>
      <c r="L198" s="371">
        <f t="shared" ref="L198:L261" si="33">(G198-H198)*$G$3+(H198-I198)*$H$3+(I198-J198)*$I$3+(J198-K198)*$J$3+(K198*$K$3)</f>
        <v>0.5043857997229878</v>
      </c>
      <c r="M198" s="118">
        <f>L198*D198*'B) D RI'!S200</f>
        <v>415929.14009656879</v>
      </c>
    </row>
    <row r="199" spans="1:13" x14ac:dyDescent="0.25">
      <c r="A199" s="290">
        <f>'A) Base RI'!A201</f>
        <v>5722</v>
      </c>
      <c r="B199" s="32" t="str">
        <f>'A) Base RI'!B201</f>
        <v>Grens</v>
      </c>
      <c r="C199" s="288">
        <f>'B) D RI'!U201</f>
        <v>20306.92935483871</v>
      </c>
      <c r="D199" s="32">
        <f>'B) D RI'!AA201</f>
        <v>383</v>
      </c>
      <c r="E199" s="205">
        <f t="shared" si="26"/>
        <v>53.02070327634128</v>
      </c>
      <c r="F199" s="364">
        <f t="shared" si="27"/>
        <v>1.125114325274305</v>
      </c>
      <c r="G199" s="375">
        <f t="shared" si="28"/>
        <v>5.8959781837026028</v>
      </c>
      <c r="H199" s="372">
        <f t="shared" si="29"/>
        <v>0</v>
      </c>
      <c r="I199" s="375">
        <f t="shared" si="30"/>
        <v>0</v>
      </c>
      <c r="J199" s="372">
        <f t="shared" si="31"/>
        <v>0</v>
      </c>
      <c r="K199" s="367">
        <f t="shared" si="32"/>
        <v>0</v>
      </c>
      <c r="L199" s="371">
        <f t="shared" si="33"/>
        <v>1.1791956367405205</v>
      </c>
      <c r="M199" s="118">
        <f>L199*D199*'B) D RI'!S201</f>
        <v>28001.179590040403</v>
      </c>
    </row>
    <row r="200" spans="1:13" x14ac:dyDescent="0.25">
      <c r="A200" s="290">
        <f>'A) Base RI'!A202</f>
        <v>5723</v>
      </c>
      <c r="B200" s="32" t="str">
        <f>'A) Base RI'!B202</f>
        <v>Mies</v>
      </c>
      <c r="C200" s="288">
        <f>'B) D RI'!U202</f>
        <v>571754.57660377375</v>
      </c>
      <c r="D200" s="32">
        <f>'B) D RI'!AA202</f>
        <v>2116</v>
      </c>
      <c r="E200" s="205">
        <f t="shared" si="26"/>
        <v>270.2053764668118</v>
      </c>
      <c r="F200" s="364">
        <f t="shared" si="27"/>
        <v>5.733834540904736</v>
      </c>
      <c r="G200" s="375">
        <f t="shared" si="28"/>
        <v>223.08065137417313</v>
      </c>
      <c r="H200" s="372">
        <f t="shared" si="29"/>
        <v>213.65570635564538</v>
      </c>
      <c r="I200" s="375">
        <f t="shared" si="30"/>
        <v>199.51828882785378</v>
      </c>
      <c r="J200" s="372">
        <f t="shared" si="31"/>
        <v>175.95592628153446</v>
      </c>
      <c r="K200" s="367">
        <f t="shared" si="32"/>
        <v>128.83120118889576</v>
      </c>
      <c r="L200" s="371">
        <f t="shared" si="33"/>
        <v>116.41224254022757</v>
      </c>
      <c r="M200" s="118">
        <f>L200*D200*'B) D RI'!S202</f>
        <v>13055400.176401442</v>
      </c>
    </row>
    <row r="201" spans="1:13" x14ac:dyDescent="0.25">
      <c r="A201" s="290">
        <f>'A) Base RI'!A203</f>
        <v>5724</v>
      </c>
      <c r="B201" s="32" t="str">
        <f>'A) Base RI'!B203</f>
        <v>Nyon</v>
      </c>
      <c r="C201" s="288">
        <f>'B) D RI'!U203</f>
        <v>1403046.442824716</v>
      </c>
      <c r="D201" s="32">
        <f>'B) D RI'!AA203</f>
        <v>21416</v>
      </c>
      <c r="E201" s="205">
        <f t="shared" si="26"/>
        <v>65.513935507317711</v>
      </c>
      <c r="F201" s="364">
        <f t="shared" si="27"/>
        <v>1.3902242480678493</v>
      </c>
      <c r="G201" s="375">
        <f t="shared" si="28"/>
        <v>18.389210414679034</v>
      </c>
      <c r="H201" s="372">
        <f t="shared" si="29"/>
        <v>8.9642653961512977</v>
      </c>
      <c r="I201" s="375">
        <f t="shared" si="30"/>
        <v>0</v>
      </c>
      <c r="J201" s="372">
        <f t="shared" si="31"/>
        <v>0</v>
      </c>
      <c r="K201" s="367">
        <f t="shared" si="32"/>
        <v>0</v>
      </c>
      <c r="L201" s="371">
        <f t="shared" si="33"/>
        <v>4.574268622550937</v>
      </c>
      <c r="M201" s="118">
        <f>L201*D201*'B) D RI'!S203</f>
        <v>5975714.7460536035</v>
      </c>
    </row>
    <row r="202" spans="1:13" x14ac:dyDescent="0.25">
      <c r="A202" s="290">
        <f>'A) Base RI'!A204</f>
        <v>5725</v>
      </c>
      <c r="B202" s="32" t="str">
        <f>'A) Base RI'!B204</f>
        <v>Prangins</v>
      </c>
      <c r="C202" s="288">
        <f>'B) D RI'!U204</f>
        <v>339116.20058673463</v>
      </c>
      <c r="D202" s="32">
        <f>'B) D RI'!AA204</f>
        <v>4088</v>
      </c>
      <c r="E202" s="205">
        <f t="shared" si="26"/>
        <v>82.954060808888116</v>
      </c>
      <c r="F202" s="364">
        <f t="shared" si="27"/>
        <v>1.7603086415000926</v>
      </c>
      <c r="G202" s="375">
        <f t="shared" si="28"/>
        <v>35.829335716249439</v>
      </c>
      <c r="H202" s="372">
        <f t="shared" si="29"/>
        <v>26.404390697721702</v>
      </c>
      <c r="I202" s="375">
        <f t="shared" si="30"/>
        <v>12.266973169930097</v>
      </c>
      <c r="J202" s="372">
        <f t="shared" si="31"/>
        <v>0</v>
      </c>
      <c r="K202" s="367">
        <f t="shared" si="32"/>
        <v>0</v>
      </c>
      <c r="L202" s="371">
        <f t="shared" si="33"/>
        <v>11.033003530015067</v>
      </c>
      <c r="M202" s="118">
        <f>L202*D202*'B) D RI'!S204</f>
        <v>2525763.4321192894</v>
      </c>
    </row>
    <row r="203" spans="1:13" x14ac:dyDescent="0.25">
      <c r="A203" s="290">
        <f>'A) Base RI'!A205</f>
        <v>5726</v>
      </c>
      <c r="B203" s="32" t="str">
        <f>'A) Base RI'!B205</f>
        <v>La Rippe</v>
      </c>
      <c r="C203" s="288">
        <f>'B) D RI'!U205</f>
        <v>61326.535692307698</v>
      </c>
      <c r="D203" s="32">
        <f>'B) D RI'!AA205</f>
        <v>1136</v>
      </c>
      <c r="E203" s="205">
        <f t="shared" si="26"/>
        <v>53.98462648970748</v>
      </c>
      <c r="F203" s="364">
        <f t="shared" si="27"/>
        <v>1.1455690485956891</v>
      </c>
      <c r="G203" s="375">
        <f t="shared" si="28"/>
        <v>6.8599013970688034</v>
      </c>
      <c r="H203" s="372">
        <f t="shared" si="29"/>
        <v>0</v>
      </c>
      <c r="I203" s="375">
        <f t="shared" si="30"/>
        <v>0</v>
      </c>
      <c r="J203" s="372">
        <f t="shared" si="31"/>
        <v>0</v>
      </c>
      <c r="K203" s="367">
        <f t="shared" si="32"/>
        <v>0</v>
      </c>
      <c r="L203" s="371">
        <f t="shared" si="33"/>
        <v>1.3719802794137608</v>
      </c>
      <c r="M203" s="118">
        <f>L203*D203*'B) D RI'!S205</f>
        <v>101307.02383191208</v>
      </c>
    </row>
    <row r="204" spans="1:13" x14ac:dyDescent="0.25">
      <c r="A204" s="290">
        <f>'A) Base RI'!A206</f>
        <v>5727</v>
      </c>
      <c r="B204" s="32" t="str">
        <f>'A) Base RI'!B206</f>
        <v>Saint-Cergue</v>
      </c>
      <c r="C204" s="288">
        <f>'B) D RI'!U206</f>
        <v>96125.190858585862</v>
      </c>
      <c r="D204" s="32">
        <f>'B) D RI'!AA206</f>
        <v>2603</v>
      </c>
      <c r="E204" s="205">
        <f t="shared" si="26"/>
        <v>36.928617310251965</v>
      </c>
      <c r="F204" s="364">
        <f t="shared" si="27"/>
        <v>0.78363570795706483</v>
      </c>
      <c r="G204" s="375">
        <f t="shared" si="28"/>
        <v>0</v>
      </c>
      <c r="H204" s="372">
        <f t="shared" si="29"/>
        <v>0</v>
      </c>
      <c r="I204" s="375">
        <f t="shared" si="30"/>
        <v>0</v>
      </c>
      <c r="J204" s="372">
        <f t="shared" si="31"/>
        <v>0</v>
      </c>
      <c r="K204" s="367">
        <f t="shared" si="32"/>
        <v>0</v>
      </c>
      <c r="L204" s="371">
        <f t="shared" si="33"/>
        <v>0</v>
      </c>
      <c r="M204" s="118">
        <f>L204*D204*'B) D RI'!S206</f>
        <v>0</v>
      </c>
    </row>
    <row r="205" spans="1:13" x14ac:dyDescent="0.25">
      <c r="A205" s="290">
        <f>'A) Base RI'!A207</f>
        <v>5728</v>
      </c>
      <c r="B205" s="32" t="str">
        <f>'A) Base RI'!B207</f>
        <v>Signy-Avenex</v>
      </c>
      <c r="C205" s="288">
        <f>'B) D RI'!U207</f>
        <v>43125.38</v>
      </c>
      <c r="D205" s="32">
        <f>'B) D RI'!AA207</f>
        <v>586</v>
      </c>
      <c r="E205" s="205">
        <f t="shared" si="26"/>
        <v>73.592798634812283</v>
      </c>
      <c r="F205" s="364">
        <f t="shared" si="27"/>
        <v>1.5616600094778732</v>
      </c>
      <c r="G205" s="375">
        <f t="shared" si="28"/>
        <v>26.468073542173606</v>
      </c>
      <c r="H205" s="372">
        <f t="shared" si="29"/>
        <v>17.043128523645869</v>
      </c>
      <c r="I205" s="375">
        <f t="shared" si="30"/>
        <v>2.905710995854264</v>
      </c>
      <c r="J205" s="372">
        <f t="shared" si="31"/>
        <v>0</v>
      </c>
      <c r="K205" s="367">
        <f t="shared" si="32"/>
        <v>0</v>
      </c>
      <c r="L205" s="371">
        <f t="shared" si="33"/>
        <v>7.2884986603847342</v>
      </c>
      <c r="M205" s="118">
        <f>L205*D205*'B) D RI'!S207</f>
        <v>247721.49246915634</v>
      </c>
    </row>
    <row r="206" spans="1:13" x14ac:dyDescent="0.25">
      <c r="A206" s="290">
        <f>'A) Base RI'!A208</f>
        <v>5729</v>
      </c>
      <c r="B206" s="32" t="str">
        <f>'A) Base RI'!B208</f>
        <v>Tannay</v>
      </c>
      <c r="C206" s="288">
        <f>'B) D RI'!U208</f>
        <v>176892.2019125683</v>
      </c>
      <c r="D206" s="32">
        <f>'B) D RI'!AA208</f>
        <v>1600</v>
      </c>
      <c r="E206" s="205">
        <f t="shared" si="26"/>
        <v>110.55762619535518</v>
      </c>
      <c r="F206" s="364">
        <f t="shared" si="27"/>
        <v>2.3460641091914893</v>
      </c>
      <c r="G206" s="375">
        <f t="shared" si="28"/>
        <v>63.432901102716507</v>
      </c>
      <c r="H206" s="372">
        <f t="shared" si="29"/>
        <v>54.00795608418877</v>
      </c>
      <c r="I206" s="375">
        <f t="shared" si="30"/>
        <v>39.870538556397165</v>
      </c>
      <c r="J206" s="372">
        <f t="shared" si="31"/>
        <v>16.30817601007783</v>
      </c>
      <c r="K206" s="367">
        <f t="shared" si="32"/>
        <v>0</v>
      </c>
      <c r="L206" s="371">
        <f t="shared" si="33"/>
        <v>23.70524728560968</v>
      </c>
      <c r="M206" s="118">
        <f>L206*D206*'B) D RI'!S208</f>
        <v>2313632.1350755049</v>
      </c>
    </row>
    <row r="207" spans="1:13" x14ac:dyDescent="0.25">
      <c r="A207" s="290">
        <f>'A) Base RI'!A209</f>
        <v>5730</v>
      </c>
      <c r="B207" s="32" t="str">
        <f>'A) Base RI'!B209</f>
        <v>Trélex</v>
      </c>
      <c r="C207" s="288">
        <f>'B) D RI'!U209</f>
        <v>134482.25955165693</v>
      </c>
      <c r="D207" s="32">
        <f>'B) D RI'!AA209</f>
        <v>1434</v>
      </c>
      <c r="E207" s="205">
        <f t="shared" si="26"/>
        <v>93.781213076469271</v>
      </c>
      <c r="F207" s="364">
        <f t="shared" si="27"/>
        <v>1.9900638760674441</v>
      </c>
      <c r="G207" s="375">
        <f t="shared" si="28"/>
        <v>46.656487983830594</v>
      </c>
      <c r="H207" s="372">
        <f t="shared" si="29"/>
        <v>37.231542965302857</v>
      </c>
      <c r="I207" s="375">
        <f t="shared" si="30"/>
        <v>23.094125437511252</v>
      </c>
      <c r="J207" s="372">
        <f t="shared" si="31"/>
        <v>0</v>
      </c>
      <c r="K207" s="367">
        <f t="shared" si="32"/>
        <v>0</v>
      </c>
      <c r="L207" s="371">
        <f t="shared" si="33"/>
        <v>15.36386443704753</v>
      </c>
      <c r="M207" s="118">
        <f>L207*D207*'B) D RI'!S209</f>
        <v>1255811.551355391</v>
      </c>
    </row>
    <row r="208" spans="1:13" x14ac:dyDescent="0.25">
      <c r="A208" s="290">
        <f>'A) Base RI'!A210</f>
        <v>5731</v>
      </c>
      <c r="B208" s="32" t="str">
        <f>'A) Base RI'!B210</f>
        <v>Le Vaud</v>
      </c>
      <c r="C208" s="288">
        <f>'B) D RI'!U210</f>
        <v>61944.089333333322</v>
      </c>
      <c r="D208" s="32">
        <f>'B) D RI'!AA210</f>
        <v>1362</v>
      </c>
      <c r="E208" s="205">
        <f t="shared" si="26"/>
        <v>45.480241801272633</v>
      </c>
      <c r="F208" s="364">
        <f t="shared" si="27"/>
        <v>0.96510359926485967</v>
      </c>
      <c r="G208" s="375">
        <f t="shared" si="28"/>
        <v>0</v>
      </c>
      <c r="H208" s="372">
        <f t="shared" si="29"/>
        <v>0</v>
      </c>
      <c r="I208" s="375">
        <f t="shared" si="30"/>
        <v>0</v>
      </c>
      <c r="J208" s="372">
        <f t="shared" si="31"/>
        <v>0</v>
      </c>
      <c r="K208" s="367">
        <f t="shared" si="32"/>
        <v>0</v>
      </c>
      <c r="L208" s="371">
        <f t="shared" si="33"/>
        <v>0</v>
      </c>
      <c r="M208" s="118">
        <f>L208*D208*'B) D RI'!S210</f>
        <v>0</v>
      </c>
    </row>
    <row r="209" spans="1:13" x14ac:dyDescent="0.25">
      <c r="A209" s="290">
        <f>'A) Base RI'!A211</f>
        <v>5732</v>
      </c>
      <c r="B209" s="32" t="str">
        <f>'A) Base RI'!B211</f>
        <v>Vich</v>
      </c>
      <c r="C209" s="288">
        <f>'B) D RI'!U211</f>
        <v>63992.408333333333</v>
      </c>
      <c r="D209" s="32">
        <f>'B) D RI'!AA211</f>
        <v>1083</v>
      </c>
      <c r="E209" s="205">
        <f t="shared" si="26"/>
        <v>59.088096337334562</v>
      </c>
      <c r="F209" s="364">
        <f t="shared" si="27"/>
        <v>1.2538661227450785</v>
      </c>
      <c r="G209" s="375">
        <f t="shared" si="28"/>
        <v>11.963371244695885</v>
      </c>
      <c r="H209" s="372">
        <f t="shared" si="29"/>
        <v>2.5384262261681485</v>
      </c>
      <c r="I209" s="375">
        <f t="shared" si="30"/>
        <v>0</v>
      </c>
      <c r="J209" s="372">
        <f t="shared" si="31"/>
        <v>0</v>
      </c>
      <c r="K209" s="367">
        <f t="shared" si="32"/>
        <v>0</v>
      </c>
      <c r="L209" s="371">
        <f t="shared" si="33"/>
        <v>2.6465168715559919</v>
      </c>
      <c r="M209" s="118">
        <f>L209*D209*'B) D RI'!S211</f>
        <v>189167.73294507919</v>
      </c>
    </row>
    <row r="210" spans="1:13" x14ac:dyDescent="0.25">
      <c r="A210" s="290">
        <f>'A) Base RI'!A212</f>
        <v>5741</v>
      </c>
      <c r="B210" s="32" t="str">
        <f>'A) Base RI'!B212</f>
        <v>L'Abergement</v>
      </c>
      <c r="C210" s="288">
        <f>'B) D RI'!U212</f>
        <v>7144.356296296296</v>
      </c>
      <c r="D210" s="32">
        <f>'B) D RI'!AA212</f>
        <v>244</v>
      </c>
      <c r="E210" s="205">
        <f t="shared" si="26"/>
        <v>29.280148755312688</v>
      </c>
      <c r="F210" s="364">
        <f t="shared" si="27"/>
        <v>0.62133304115309351</v>
      </c>
      <c r="G210" s="375">
        <f t="shared" si="28"/>
        <v>0</v>
      </c>
      <c r="H210" s="372">
        <f t="shared" si="29"/>
        <v>0</v>
      </c>
      <c r="I210" s="375">
        <f t="shared" si="30"/>
        <v>0</v>
      </c>
      <c r="J210" s="372">
        <f t="shared" si="31"/>
        <v>0</v>
      </c>
      <c r="K210" s="367">
        <f t="shared" si="32"/>
        <v>0</v>
      </c>
      <c r="L210" s="371">
        <f t="shared" si="33"/>
        <v>0</v>
      </c>
      <c r="M210" s="118">
        <f>L210*D210*'B) D RI'!S212</f>
        <v>0</v>
      </c>
    </row>
    <row r="211" spans="1:13" x14ac:dyDescent="0.25">
      <c r="A211" s="290">
        <f>'A) Base RI'!A213</f>
        <v>5742</v>
      </c>
      <c r="B211" s="32" t="str">
        <f>'A) Base RI'!B213</f>
        <v>Agiez</v>
      </c>
      <c r="C211" s="288">
        <f>'B) D RI'!U213</f>
        <v>9023.5640789473691</v>
      </c>
      <c r="D211" s="32">
        <f>'B) D RI'!AA213</f>
        <v>354</v>
      </c>
      <c r="E211" s="205">
        <f t="shared" si="26"/>
        <v>25.4902940083259</v>
      </c>
      <c r="F211" s="364">
        <f t="shared" si="27"/>
        <v>0.54091125111534544</v>
      </c>
      <c r="G211" s="375">
        <f t="shared" si="28"/>
        <v>0</v>
      </c>
      <c r="H211" s="372">
        <f t="shared" si="29"/>
        <v>0</v>
      </c>
      <c r="I211" s="375">
        <f t="shared" si="30"/>
        <v>0</v>
      </c>
      <c r="J211" s="372">
        <f t="shared" si="31"/>
        <v>0</v>
      </c>
      <c r="K211" s="367">
        <f t="shared" si="32"/>
        <v>0</v>
      </c>
      <c r="L211" s="371">
        <f t="shared" si="33"/>
        <v>0</v>
      </c>
      <c r="M211" s="118">
        <f>L211*D211*'B) D RI'!S213</f>
        <v>0</v>
      </c>
    </row>
    <row r="212" spans="1:13" x14ac:dyDescent="0.25">
      <c r="A212" s="290">
        <f>'A) Base RI'!A214</f>
        <v>5743</v>
      </c>
      <c r="B212" s="32" t="str">
        <f>'A) Base RI'!B214</f>
        <v>Arnex-sur-Orbe</v>
      </c>
      <c r="C212" s="288">
        <f>'B) D RI'!U214</f>
        <v>19009.64441780822</v>
      </c>
      <c r="D212" s="32">
        <f>'B) D RI'!AA214</f>
        <v>633</v>
      </c>
      <c r="E212" s="205">
        <f t="shared" si="26"/>
        <v>30.031033835400031</v>
      </c>
      <c r="F212" s="364">
        <f t="shared" si="27"/>
        <v>0.63726703500899906</v>
      </c>
      <c r="G212" s="375">
        <f t="shared" si="28"/>
        <v>0</v>
      </c>
      <c r="H212" s="372">
        <f t="shared" si="29"/>
        <v>0</v>
      </c>
      <c r="I212" s="375">
        <f t="shared" si="30"/>
        <v>0</v>
      </c>
      <c r="J212" s="372">
        <f t="shared" si="31"/>
        <v>0</v>
      </c>
      <c r="K212" s="367">
        <f t="shared" si="32"/>
        <v>0</v>
      </c>
      <c r="L212" s="371">
        <f t="shared" si="33"/>
        <v>0</v>
      </c>
      <c r="M212" s="118">
        <f>L212*D212*'B) D RI'!S214</f>
        <v>0</v>
      </c>
    </row>
    <row r="213" spans="1:13" x14ac:dyDescent="0.25">
      <c r="A213" s="290">
        <f>'A) Base RI'!A215</f>
        <v>5744</v>
      </c>
      <c r="B213" s="32" t="str">
        <f>'A) Base RI'!B215</f>
        <v>Ballaigues</v>
      </c>
      <c r="C213" s="288">
        <f>'B) D RI'!U215</f>
        <v>63457.136212121215</v>
      </c>
      <c r="D213" s="32">
        <f>'B) D RI'!AA215</f>
        <v>1108</v>
      </c>
      <c r="E213" s="205">
        <f t="shared" si="26"/>
        <v>57.271783584946945</v>
      </c>
      <c r="F213" s="364">
        <f t="shared" si="27"/>
        <v>1.2153234522293974</v>
      </c>
      <c r="G213" s="375">
        <f t="shared" si="28"/>
        <v>10.147058492308268</v>
      </c>
      <c r="H213" s="372">
        <f t="shared" si="29"/>
        <v>0.72211347378053148</v>
      </c>
      <c r="I213" s="375">
        <f t="shared" si="30"/>
        <v>0</v>
      </c>
      <c r="J213" s="372">
        <f t="shared" si="31"/>
        <v>0</v>
      </c>
      <c r="K213" s="367">
        <f t="shared" si="32"/>
        <v>0</v>
      </c>
      <c r="L213" s="371">
        <f t="shared" si="33"/>
        <v>2.1016230458397067</v>
      </c>
      <c r="M213" s="118">
        <f>L213*D213*'B) D RI'!S215</f>
        <v>153687.49009616609</v>
      </c>
    </row>
    <row r="214" spans="1:13" x14ac:dyDescent="0.25">
      <c r="A214" s="290">
        <f>'A) Base RI'!A216</f>
        <v>5745</v>
      </c>
      <c r="B214" s="32" t="str">
        <f>'A) Base RI'!B216</f>
        <v>Baulmes</v>
      </c>
      <c r="C214" s="288">
        <f>'B) D RI'!U216</f>
        <v>27759.177948717952</v>
      </c>
      <c r="D214" s="32">
        <f>'B) D RI'!AA216</f>
        <v>1042</v>
      </c>
      <c r="E214" s="205">
        <f t="shared" si="26"/>
        <v>26.640285939268669</v>
      </c>
      <c r="F214" s="364">
        <f t="shared" si="27"/>
        <v>0.56531440527024168</v>
      </c>
      <c r="G214" s="375">
        <f t="shared" si="28"/>
        <v>0</v>
      </c>
      <c r="H214" s="372">
        <f t="shared" si="29"/>
        <v>0</v>
      </c>
      <c r="I214" s="375">
        <f t="shared" si="30"/>
        <v>0</v>
      </c>
      <c r="J214" s="372">
        <f t="shared" si="31"/>
        <v>0</v>
      </c>
      <c r="K214" s="367">
        <f t="shared" si="32"/>
        <v>0</v>
      </c>
      <c r="L214" s="371">
        <f t="shared" si="33"/>
        <v>0</v>
      </c>
      <c r="M214" s="118">
        <f>L214*D214*'B) D RI'!S216</f>
        <v>0</v>
      </c>
    </row>
    <row r="215" spans="1:13" x14ac:dyDescent="0.25">
      <c r="A215" s="290">
        <f>'A) Base RI'!A217</f>
        <v>5746</v>
      </c>
      <c r="B215" s="32" t="str">
        <f>'A) Base RI'!B217</f>
        <v>Bavois</v>
      </c>
      <c r="C215" s="288">
        <f>'B) D RI'!U217</f>
        <v>26302.981735159818</v>
      </c>
      <c r="D215" s="32">
        <f>'B) D RI'!AA217</f>
        <v>952</v>
      </c>
      <c r="E215" s="205">
        <f t="shared" si="26"/>
        <v>27.629182494915774</v>
      </c>
      <c r="F215" s="364">
        <f t="shared" si="27"/>
        <v>0.58629906998081804</v>
      </c>
      <c r="G215" s="375">
        <f t="shared" si="28"/>
        <v>0</v>
      </c>
      <c r="H215" s="372">
        <f t="shared" si="29"/>
        <v>0</v>
      </c>
      <c r="I215" s="375">
        <f t="shared" si="30"/>
        <v>0</v>
      </c>
      <c r="J215" s="372">
        <f t="shared" si="31"/>
        <v>0</v>
      </c>
      <c r="K215" s="367">
        <f t="shared" si="32"/>
        <v>0</v>
      </c>
      <c r="L215" s="371">
        <f t="shared" si="33"/>
        <v>0</v>
      </c>
      <c r="M215" s="118">
        <f>L215*D215*'B) D RI'!S217</f>
        <v>0</v>
      </c>
    </row>
    <row r="216" spans="1:13" x14ac:dyDescent="0.25">
      <c r="A216" s="290">
        <f>'A) Base RI'!A218</f>
        <v>5747</v>
      </c>
      <c r="B216" s="32" t="str">
        <f>'A) Base RI'!B218</f>
        <v>Bofflens</v>
      </c>
      <c r="C216" s="288">
        <f>'B) D RI'!U218</f>
        <v>5938.7008695652166</v>
      </c>
      <c r="D216" s="32">
        <f>'B) D RI'!AA218</f>
        <v>194</v>
      </c>
      <c r="E216" s="205">
        <f t="shared" si="26"/>
        <v>30.611860152398023</v>
      </c>
      <c r="F216" s="364">
        <f t="shared" si="27"/>
        <v>0.64959233379548953</v>
      </c>
      <c r="G216" s="375">
        <f t="shared" si="28"/>
        <v>0</v>
      </c>
      <c r="H216" s="372">
        <f t="shared" si="29"/>
        <v>0</v>
      </c>
      <c r="I216" s="375">
        <f t="shared" si="30"/>
        <v>0</v>
      </c>
      <c r="J216" s="372">
        <f t="shared" si="31"/>
        <v>0</v>
      </c>
      <c r="K216" s="367">
        <f t="shared" si="32"/>
        <v>0</v>
      </c>
      <c r="L216" s="371">
        <f t="shared" si="33"/>
        <v>0</v>
      </c>
      <c r="M216" s="118">
        <f>L216*D216*'B) D RI'!S218</f>
        <v>0</v>
      </c>
    </row>
    <row r="217" spans="1:13" x14ac:dyDescent="0.25">
      <c r="A217" s="290">
        <f>'A) Base RI'!A219</f>
        <v>5748</v>
      </c>
      <c r="B217" s="32" t="str">
        <f>'A) Base RI'!B219</f>
        <v>Bretonnières</v>
      </c>
      <c r="C217" s="288">
        <f>'B) D RI'!U219</f>
        <v>7318.7627314814808</v>
      </c>
      <c r="D217" s="32">
        <f>'B) D RI'!AA219</f>
        <v>269</v>
      </c>
      <c r="E217" s="205">
        <f t="shared" si="26"/>
        <v>27.207296399559407</v>
      </c>
      <c r="F217" s="364">
        <f t="shared" si="27"/>
        <v>0.57734652766832673</v>
      </c>
      <c r="G217" s="375">
        <f t="shared" si="28"/>
        <v>0</v>
      </c>
      <c r="H217" s="372">
        <f t="shared" si="29"/>
        <v>0</v>
      </c>
      <c r="I217" s="375">
        <f t="shared" si="30"/>
        <v>0</v>
      </c>
      <c r="J217" s="372">
        <f t="shared" si="31"/>
        <v>0</v>
      </c>
      <c r="K217" s="367">
        <f t="shared" si="32"/>
        <v>0</v>
      </c>
      <c r="L217" s="371">
        <f t="shared" si="33"/>
        <v>0</v>
      </c>
      <c r="M217" s="118">
        <f>L217*D217*'B) D RI'!S219</f>
        <v>0</v>
      </c>
    </row>
    <row r="218" spans="1:13" x14ac:dyDescent="0.25">
      <c r="A218" s="290">
        <f>'A) Base RI'!A220</f>
        <v>5749</v>
      </c>
      <c r="B218" s="32" t="str">
        <f>'A) Base RI'!B220</f>
        <v>Chavornay</v>
      </c>
      <c r="C218" s="288">
        <f>'B) D RI'!U220</f>
        <v>133236.15722222222</v>
      </c>
      <c r="D218" s="32">
        <f>'B) D RI'!AA220</f>
        <v>5135</v>
      </c>
      <c r="E218" s="205">
        <f t="shared" si="26"/>
        <v>25.946671318835875</v>
      </c>
      <c r="F218" s="364">
        <f t="shared" si="27"/>
        <v>0.55059570677238789</v>
      </c>
      <c r="G218" s="375">
        <f t="shared" si="28"/>
        <v>0</v>
      </c>
      <c r="H218" s="372">
        <f t="shared" si="29"/>
        <v>0</v>
      </c>
      <c r="I218" s="375">
        <f t="shared" si="30"/>
        <v>0</v>
      </c>
      <c r="J218" s="372">
        <f t="shared" si="31"/>
        <v>0</v>
      </c>
      <c r="K218" s="367">
        <f t="shared" si="32"/>
        <v>0</v>
      </c>
      <c r="L218" s="371">
        <f t="shared" si="33"/>
        <v>0</v>
      </c>
      <c r="M218" s="118">
        <f>L218*D218*'B) D RI'!S220</f>
        <v>0</v>
      </c>
    </row>
    <row r="219" spans="1:13" x14ac:dyDescent="0.25">
      <c r="A219" s="290">
        <f>'A) Base RI'!A221</f>
        <v>5750</v>
      </c>
      <c r="B219" s="32" t="str">
        <f>'A) Base RI'!B221</f>
        <v>Les Clées</v>
      </c>
      <c r="C219" s="288">
        <f>'B) D RI'!U221</f>
        <v>5052.8727083333342</v>
      </c>
      <c r="D219" s="32">
        <f>'B) D RI'!AA221</f>
        <v>185</v>
      </c>
      <c r="E219" s="205">
        <f t="shared" si="26"/>
        <v>27.312825450450454</v>
      </c>
      <c r="F219" s="364">
        <f t="shared" si="27"/>
        <v>0.5795858839867688</v>
      </c>
      <c r="G219" s="375">
        <f t="shared" si="28"/>
        <v>0</v>
      </c>
      <c r="H219" s="372">
        <f t="shared" si="29"/>
        <v>0</v>
      </c>
      <c r="I219" s="375">
        <f t="shared" si="30"/>
        <v>0</v>
      </c>
      <c r="J219" s="372">
        <f t="shared" si="31"/>
        <v>0</v>
      </c>
      <c r="K219" s="367">
        <f t="shared" si="32"/>
        <v>0</v>
      </c>
      <c r="L219" s="371">
        <f t="shared" si="33"/>
        <v>0</v>
      </c>
      <c r="M219" s="118">
        <f>L219*D219*'B) D RI'!S221</f>
        <v>0</v>
      </c>
    </row>
    <row r="220" spans="1:13" x14ac:dyDescent="0.25">
      <c r="A220" s="290">
        <f>'A) Base RI'!A222</f>
        <v>5752</v>
      </c>
      <c r="B220" s="32" t="str">
        <f>'A) Base RI'!B222</f>
        <v>Croy</v>
      </c>
      <c r="C220" s="288">
        <f>'B) D RI'!U222</f>
        <v>9724.9561776061801</v>
      </c>
      <c r="D220" s="32">
        <f>'B) D RI'!AA222</f>
        <v>403</v>
      </c>
      <c r="E220" s="205">
        <f t="shared" si="26"/>
        <v>24.131404907211365</v>
      </c>
      <c r="F220" s="364">
        <f t="shared" si="27"/>
        <v>0.51207523990375314</v>
      </c>
      <c r="G220" s="375">
        <f t="shared" si="28"/>
        <v>0</v>
      </c>
      <c r="H220" s="372">
        <f t="shared" si="29"/>
        <v>0</v>
      </c>
      <c r="I220" s="375">
        <f t="shared" si="30"/>
        <v>0</v>
      </c>
      <c r="J220" s="372">
        <f t="shared" si="31"/>
        <v>0</v>
      </c>
      <c r="K220" s="367">
        <f t="shared" si="32"/>
        <v>0</v>
      </c>
      <c r="L220" s="371">
        <f t="shared" si="33"/>
        <v>0</v>
      </c>
      <c r="M220" s="118">
        <f>L220*D220*'B) D RI'!S222</f>
        <v>0</v>
      </c>
    </row>
    <row r="221" spans="1:13" x14ac:dyDescent="0.25">
      <c r="A221" s="290">
        <f>'A) Base RI'!A223</f>
        <v>5754</v>
      </c>
      <c r="B221" s="32" t="str">
        <f>'A) Base RI'!B223</f>
        <v>Juriens</v>
      </c>
      <c r="C221" s="288">
        <f>'B) D RI'!U223</f>
        <v>9237.2617721518982</v>
      </c>
      <c r="D221" s="32">
        <f>'B) D RI'!AA223</f>
        <v>328</v>
      </c>
      <c r="E221" s="205">
        <f t="shared" si="26"/>
        <v>28.162383451682615</v>
      </c>
      <c r="F221" s="364">
        <f t="shared" si="27"/>
        <v>0.59761374514801879</v>
      </c>
      <c r="G221" s="375">
        <f t="shared" si="28"/>
        <v>0</v>
      </c>
      <c r="H221" s="372">
        <f t="shared" si="29"/>
        <v>0</v>
      </c>
      <c r="I221" s="375">
        <f t="shared" si="30"/>
        <v>0</v>
      </c>
      <c r="J221" s="372">
        <f t="shared" si="31"/>
        <v>0</v>
      </c>
      <c r="K221" s="367">
        <f t="shared" si="32"/>
        <v>0</v>
      </c>
      <c r="L221" s="371">
        <f t="shared" si="33"/>
        <v>0</v>
      </c>
      <c r="M221" s="118">
        <f>L221*D221*'B) D RI'!S223</f>
        <v>0</v>
      </c>
    </row>
    <row r="222" spans="1:13" x14ac:dyDescent="0.25">
      <c r="A222" s="290">
        <f>'A) Base RI'!A224</f>
        <v>5755</v>
      </c>
      <c r="B222" s="32" t="str">
        <f>'A) Base RI'!B224</f>
        <v>Lignerolle</v>
      </c>
      <c r="C222" s="288">
        <f>'B) D RI'!U224</f>
        <v>9846.5387499999997</v>
      </c>
      <c r="D222" s="32">
        <f>'B) D RI'!AA224</f>
        <v>437</v>
      </c>
      <c r="E222" s="205">
        <f t="shared" si="26"/>
        <v>22.53212528604119</v>
      </c>
      <c r="F222" s="364">
        <f t="shared" si="27"/>
        <v>0.47813807384015738</v>
      </c>
      <c r="G222" s="375">
        <f t="shared" si="28"/>
        <v>0</v>
      </c>
      <c r="H222" s="372">
        <f t="shared" si="29"/>
        <v>0</v>
      </c>
      <c r="I222" s="375">
        <f t="shared" si="30"/>
        <v>0</v>
      </c>
      <c r="J222" s="372">
        <f t="shared" si="31"/>
        <v>0</v>
      </c>
      <c r="K222" s="367">
        <f t="shared" si="32"/>
        <v>0</v>
      </c>
      <c r="L222" s="371">
        <f t="shared" si="33"/>
        <v>0</v>
      </c>
      <c r="M222" s="118">
        <f>L222*D222*'B) D RI'!S224</f>
        <v>0</v>
      </c>
    </row>
    <row r="223" spans="1:13" x14ac:dyDescent="0.25">
      <c r="A223" s="290">
        <f>'A) Base RI'!A225</f>
        <v>5756</v>
      </c>
      <c r="B223" s="32" t="str">
        <f>'A) Base RI'!B225</f>
        <v>Montcherand</v>
      </c>
      <c r="C223" s="288">
        <f>'B) D RI'!U225</f>
        <v>16429.064166666663</v>
      </c>
      <c r="D223" s="32">
        <f>'B) D RI'!AA225</f>
        <v>505</v>
      </c>
      <c r="E223" s="205">
        <f t="shared" si="26"/>
        <v>32.532800330032998</v>
      </c>
      <c r="F223" s="364">
        <f t="shared" si="27"/>
        <v>0.69035522787834636</v>
      </c>
      <c r="G223" s="375">
        <f t="shared" si="28"/>
        <v>0</v>
      </c>
      <c r="H223" s="372">
        <f t="shared" si="29"/>
        <v>0</v>
      </c>
      <c r="I223" s="375">
        <f t="shared" si="30"/>
        <v>0</v>
      </c>
      <c r="J223" s="372">
        <f t="shared" si="31"/>
        <v>0</v>
      </c>
      <c r="K223" s="367">
        <f t="shared" si="32"/>
        <v>0</v>
      </c>
      <c r="L223" s="371">
        <f t="shared" si="33"/>
        <v>0</v>
      </c>
      <c r="M223" s="118">
        <f>L223*D223*'B) D RI'!S225</f>
        <v>0</v>
      </c>
    </row>
    <row r="224" spans="1:13" x14ac:dyDescent="0.25">
      <c r="A224" s="290">
        <f>'A) Base RI'!A226</f>
        <v>5757</v>
      </c>
      <c r="B224" s="32" t="str">
        <f>'A) Base RI'!B226</f>
        <v>Orbe</v>
      </c>
      <c r="C224" s="288">
        <f>'B) D RI'!U226</f>
        <v>203622.90168831171</v>
      </c>
      <c r="D224" s="32">
        <f>'B) D RI'!AA226</f>
        <v>7030</v>
      </c>
      <c r="E224" s="205">
        <f t="shared" si="26"/>
        <v>28.964850880271936</v>
      </c>
      <c r="F224" s="364">
        <f t="shared" si="27"/>
        <v>0.61464233103391652</v>
      </c>
      <c r="G224" s="375">
        <f t="shared" si="28"/>
        <v>0</v>
      </c>
      <c r="H224" s="372">
        <f t="shared" si="29"/>
        <v>0</v>
      </c>
      <c r="I224" s="375">
        <f t="shared" si="30"/>
        <v>0</v>
      </c>
      <c r="J224" s="372">
        <f t="shared" si="31"/>
        <v>0</v>
      </c>
      <c r="K224" s="367">
        <f t="shared" si="32"/>
        <v>0</v>
      </c>
      <c r="L224" s="371">
        <f t="shared" si="33"/>
        <v>0</v>
      </c>
      <c r="M224" s="118">
        <f>L224*D224*'B) D RI'!S226</f>
        <v>0</v>
      </c>
    </row>
    <row r="225" spans="1:13" x14ac:dyDescent="0.25">
      <c r="A225" s="290">
        <f>'A) Base RI'!A227</f>
        <v>5758</v>
      </c>
      <c r="B225" s="32" t="str">
        <f>'A) Base RI'!B227</f>
        <v>La Praz</v>
      </c>
      <c r="C225" s="288">
        <f>'B) D RI'!U227</f>
        <v>4513.7940160642565</v>
      </c>
      <c r="D225" s="32">
        <f>'B) D RI'!AA227</f>
        <v>165</v>
      </c>
      <c r="E225" s="205">
        <f t="shared" si="26"/>
        <v>27.356327370086404</v>
      </c>
      <c r="F225" s="364">
        <f t="shared" si="27"/>
        <v>0.58050900702993635</v>
      </c>
      <c r="G225" s="375">
        <f t="shared" si="28"/>
        <v>0</v>
      </c>
      <c r="H225" s="372">
        <f t="shared" si="29"/>
        <v>0</v>
      </c>
      <c r="I225" s="375">
        <f t="shared" si="30"/>
        <v>0</v>
      </c>
      <c r="J225" s="372">
        <f t="shared" si="31"/>
        <v>0</v>
      </c>
      <c r="K225" s="367">
        <f t="shared" si="32"/>
        <v>0</v>
      </c>
      <c r="L225" s="371">
        <f t="shared" si="33"/>
        <v>0</v>
      </c>
      <c r="M225" s="118">
        <f>L225*D225*'B) D RI'!S227</f>
        <v>0</v>
      </c>
    </row>
    <row r="226" spans="1:13" x14ac:dyDescent="0.25">
      <c r="A226" s="290">
        <f>'A) Base RI'!A228</f>
        <v>5759</v>
      </c>
      <c r="B226" s="32" t="str">
        <f>'A) Base RI'!B228</f>
        <v>Premier</v>
      </c>
      <c r="C226" s="288">
        <f>'B) D RI'!U228</f>
        <v>5266.2719753086421</v>
      </c>
      <c r="D226" s="32">
        <f>'B) D RI'!AA228</f>
        <v>215</v>
      </c>
      <c r="E226" s="205">
        <f t="shared" si="26"/>
        <v>24.494288257249497</v>
      </c>
      <c r="F226" s="364">
        <f t="shared" si="27"/>
        <v>0.51977572726627397</v>
      </c>
      <c r="G226" s="375">
        <f t="shared" si="28"/>
        <v>0</v>
      </c>
      <c r="H226" s="372">
        <f t="shared" si="29"/>
        <v>0</v>
      </c>
      <c r="I226" s="375">
        <f t="shared" si="30"/>
        <v>0</v>
      </c>
      <c r="J226" s="372">
        <f t="shared" si="31"/>
        <v>0</v>
      </c>
      <c r="K226" s="367">
        <f t="shared" si="32"/>
        <v>0</v>
      </c>
      <c r="L226" s="371">
        <f t="shared" si="33"/>
        <v>0</v>
      </c>
      <c r="M226" s="118">
        <f>L226*D226*'B) D RI'!S228</f>
        <v>0</v>
      </c>
    </row>
    <row r="227" spans="1:13" x14ac:dyDescent="0.25">
      <c r="A227" s="290">
        <f>'A) Base RI'!A229</f>
        <v>5760</v>
      </c>
      <c r="B227" s="32" t="str">
        <f>'A) Base RI'!B229</f>
        <v>Rances</v>
      </c>
      <c r="C227" s="288">
        <f>'B) D RI'!U229</f>
        <v>12393.154658119658</v>
      </c>
      <c r="D227" s="32">
        <f>'B) D RI'!AA229</f>
        <v>505</v>
      </c>
      <c r="E227" s="205">
        <f t="shared" si="26"/>
        <v>24.540900313108235</v>
      </c>
      <c r="F227" s="364">
        <f t="shared" si="27"/>
        <v>0.52076484828007519</v>
      </c>
      <c r="G227" s="375">
        <f t="shared" si="28"/>
        <v>0</v>
      </c>
      <c r="H227" s="372">
        <f t="shared" si="29"/>
        <v>0</v>
      </c>
      <c r="I227" s="375">
        <f t="shared" si="30"/>
        <v>0</v>
      </c>
      <c r="J227" s="372">
        <f t="shared" si="31"/>
        <v>0</v>
      </c>
      <c r="K227" s="367">
        <f t="shared" si="32"/>
        <v>0</v>
      </c>
      <c r="L227" s="371">
        <f t="shared" si="33"/>
        <v>0</v>
      </c>
      <c r="M227" s="118">
        <f>L227*D227*'B) D RI'!S229</f>
        <v>0</v>
      </c>
    </row>
    <row r="228" spans="1:13" x14ac:dyDescent="0.25">
      <c r="A228" s="290">
        <f>'A) Base RI'!A230</f>
        <v>5761</v>
      </c>
      <c r="B228" s="32" t="str">
        <f>'A) Base RI'!B230</f>
        <v>Romainmôtier-Envy</v>
      </c>
      <c r="C228" s="288">
        <f>'B) D RI'!U230</f>
        <v>12300.346363636363</v>
      </c>
      <c r="D228" s="32">
        <f>'B) D RI'!AA230</f>
        <v>535</v>
      </c>
      <c r="E228" s="205">
        <f t="shared" si="26"/>
        <v>22.991301614273574</v>
      </c>
      <c r="F228" s="364">
        <f t="shared" si="27"/>
        <v>0.48788192544522729</v>
      </c>
      <c r="G228" s="375">
        <f t="shared" si="28"/>
        <v>0</v>
      </c>
      <c r="H228" s="372">
        <f t="shared" si="29"/>
        <v>0</v>
      </c>
      <c r="I228" s="375">
        <f t="shared" si="30"/>
        <v>0</v>
      </c>
      <c r="J228" s="372">
        <f t="shared" si="31"/>
        <v>0</v>
      </c>
      <c r="K228" s="367">
        <f t="shared" si="32"/>
        <v>0</v>
      </c>
      <c r="L228" s="371">
        <f t="shared" si="33"/>
        <v>0</v>
      </c>
      <c r="M228" s="118">
        <f>L228*D228*'B) D RI'!S230</f>
        <v>0</v>
      </c>
    </row>
    <row r="229" spans="1:13" x14ac:dyDescent="0.25">
      <c r="A229" s="290">
        <f>'A) Base RI'!A231</f>
        <v>5762</v>
      </c>
      <c r="B229" s="32" t="str">
        <f>'A) Base RI'!B231</f>
        <v>Sergey</v>
      </c>
      <c r="C229" s="288">
        <f>'B) D RI'!U231</f>
        <v>4008.7221794871789</v>
      </c>
      <c r="D229" s="32">
        <f>'B) D RI'!AA231</f>
        <v>145</v>
      </c>
      <c r="E229" s="205">
        <f t="shared" si="26"/>
        <v>27.646359858532268</v>
      </c>
      <c r="F229" s="364">
        <f t="shared" si="27"/>
        <v>0.58666357849694672</v>
      </c>
      <c r="G229" s="375">
        <f t="shared" si="28"/>
        <v>0</v>
      </c>
      <c r="H229" s="372">
        <f t="shared" si="29"/>
        <v>0</v>
      </c>
      <c r="I229" s="375">
        <f t="shared" si="30"/>
        <v>0</v>
      </c>
      <c r="J229" s="372">
        <f t="shared" si="31"/>
        <v>0</v>
      </c>
      <c r="K229" s="367">
        <f t="shared" si="32"/>
        <v>0</v>
      </c>
      <c r="L229" s="371">
        <f t="shared" si="33"/>
        <v>0</v>
      </c>
      <c r="M229" s="118">
        <f>L229*D229*'B) D RI'!S231</f>
        <v>0</v>
      </c>
    </row>
    <row r="230" spans="1:13" x14ac:dyDescent="0.25">
      <c r="A230" s="290">
        <f>'A) Base RI'!A232</f>
        <v>5763</v>
      </c>
      <c r="B230" s="32" t="str">
        <f>'A) Base RI'!B232</f>
        <v>Valeyres-sous-Rances</v>
      </c>
      <c r="C230" s="288">
        <f>'B) D RI'!U232</f>
        <v>21916.016764705884</v>
      </c>
      <c r="D230" s="32">
        <f>'B) D RI'!AA232</f>
        <v>620</v>
      </c>
      <c r="E230" s="205">
        <f t="shared" si="26"/>
        <v>35.348414136622395</v>
      </c>
      <c r="F230" s="364">
        <f t="shared" si="27"/>
        <v>0.75010334950779689</v>
      </c>
      <c r="G230" s="375">
        <f t="shared" si="28"/>
        <v>0</v>
      </c>
      <c r="H230" s="372">
        <f t="shared" si="29"/>
        <v>0</v>
      </c>
      <c r="I230" s="375">
        <f t="shared" si="30"/>
        <v>0</v>
      </c>
      <c r="J230" s="372">
        <f t="shared" si="31"/>
        <v>0</v>
      </c>
      <c r="K230" s="367">
        <f t="shared" si="32"/>
        <v>0</v>
      </c>
      <c r="L230" s="371">
        <f t="shared" si="33"/>
        <v>0</v>
      </c>
      <c r="M230" s="118">
        <f>L230*D230*'B) D RI'!S232</f>
        <v>0</v>
      </c>
    </row>
    <row r="231" spans="1:13" x14ac:dyDescent="0.25">
      <c r="A231" s="290">
        <f>'A) Base RI'!A233</f>
        <v>5764</v>
      </c>
      <c r="B231" s="32" t="str">
        <f>'A) Base RI'!B233</f>
        <v>Vallorbe</v>
      </c>
      <c r="C231" s="288">
        <f>'B) D RI'!U233</f>
        <v>88041.024794520548</v>
      </c>
      <c r="D231" s="32">
        <f>'B) D RI'!AA233</f>
        <v>3857</v>
      </c>
      <c r="E231" s="205">
        <f t="shared" si="26"/>
        <v>22.826296291034623</v>
      </c>
      <c r="F231" s="364">
        <f t="shared" si="27"/>
        <v>0.48438046579926475</v>
      </c>
      <c r="G231" s="375">
        <f t="shared" si="28"/>
        <v>0</v>
      </c>
      <c r="H231" s="372">
        <f t="shared" si="29"/>
        <v>0</v>
      </c>
      <c r="I231" s="375">
        <f t="shared" si="30"/>
        <v>0</v>
      </c>
      <c r="J231" s="372">
        <f t="shared" si="31"/>
        <v>0</v>
      </c>
      <c r="K231" s="367">
        <f t="shared" si="32"/>
        <v>0</v>
      </c>
      <c r="L231" s="371">
        <f t="shared" si="33"/>
        <v>0</v>
      </c>
      <c r="M231" s="118">
        <f>L231*D231*'B) D RI'!S233</f>
        <v>0</v>
      </c>
    </row>
    <row r="232" spans="1:13" x14ac:dyDescent="0.25">
      <c r="A232" s="290">
        <f>'A) Base RI'!A234</f>
        <v>5765</v>
      </c>
      <c r="B232" s="32" t="str">
        <f>'A) Base RI'!B234</f>
        <v>Vaulion</v>
      </c>
      <c r="C232" s="288">
        <f>'B) D RI'!U234</f>
        <v>11969.433580246912</v>
      </c>
      <c r="D232" s="32">
        <f>'B) D RI'!AA234</f>
        <v>496</v>
      </c>
      <c r="E232" s="205">
        <f t="shared" si="26"/>
        <v>24.131922540820387</v>
      </c>
      <c r="F232" s="364">
        <f t="shared" si="27"/>
        <v>0.51208622423539651</v>
      </c>
      <c r="G232" s="375">
        <f t="shared" si="28"/>
        <v>0</v>
      </c>
      <c r="H232" s="372">
        <f t="shared" si="29"/>
        <v>0</v>
      </c>
      <c r="I232" s="375">
        <f t="shared" si="30"/>
        <v>0</v>
      </c>
      <c r="J232" s="372">
        <f t="shared" si="31"/>
        <v>0</v>
      </c>
      <c r="K232" s="367">
        <f t="shared" si="32"/>
        <v>0</v>
      </c>
      <c r="L232" s="371">
        <f t="shared" si="33"/>
        <v>0</v>
      </c>
      <c r="M232" s="118">
        <f>L232*D232*'B) D RI'!S234</f>
        <v>0</v>
      </c>
    </row>
    <row r="233" spans="1:13" x14ac:dyDescent="0.25">
      <c r="A233" s="290">
        <f>'A) Base RI'!A235</f>
        <v>5766</v>
      </c>
      <c r="B233" s="32" t="str">
        <f>'A) Base RI'!B235</f>
        <v>Vuiteboeuf</v>
      </c>
      <c r="C233" s="288">
        <f>'B) D RI'!U235</f>
        <v>13963.194675324676</v>
      </c>
      <c r="D233" s="32">
        <f>'B) D RI'!AA235</f>
        <v>576</v>
      </c>
      <c r="E233" s="205">
        <f t="shared" si="26"/>
        <v>24.241657422438674</v>
      </c>
      <c r="F233" s="364">
        <f t="shared" si="27"/>
        <v>0.51441482947187411</v>
      </c>
      <c r="G233" s="375">
        <f t="shared" si="28"/>
        <v>0</v>
      </c>
      <c r="H233" s="372">
        <f t="shared" si="29"/>
        <v>0</v>
      </c>
      <c r="I233" s="375">
        <f t="shared" si="30"/>
        <v>0</v>
      </c>
      <c r="J233" s="372">
        <f t="shared" si="31"/>
        <v>0</v>
      </c>
      <c r="K233" s="367">
        <f t="shared" si="32"/>
        <v>0</v>
      </c>
      <c r="L233" s="371">
        <f t="shared" si="33"/>
        <v>0</v>
      </c>
      <c r="M233" s="118">
        <f>L233*D233*'B) D RI'!S235</f>
        <v>0</v>
      </c>
    </row>
    <row r="234" spans="1:13" x14ac:dyDescent="0.25">
      <c r="A234" s="290">
        <f>'A) Base RI'!A236</f>
        <v>5785</v>
      </c>
      <c r="B234" s="32" t="str">
        <f>'A) Base RI'!B236</f>
        <v>Corcelles-le-Jorat</v>
      </c>
      <c r="C234" s="288">
        <f>'B) D RI'!U236</f>
        <v>16982.100779220782</v>
      </c>
      <c r="D234" s="32">
        <f>'B) D RI'!AA236</f>
        <v>458</v>
      </c>
      <c r="E234" s="205">
        <f t="shared" si="26"/>
        <v>37.078822662054108</v>
      </c>
      <c r="F234" s="364">
        <f t="shared" si="27"/>
        <v>0.78682310802161404</v>
      </c>
      <c r="G234" s="375">
        <f t="shared" si="28"/>
        <v>0</v>
      </c>
      <c r="H234" s="372">
        <f t="shared" si="29"/>
        <v>0</v>
      </c>
      <c r="I234" s="375">
        <f t="shared" si="30"/>
        <v>0</v>
      </c>
      <c r="J234" s="372">
        <f t="shared" si="31"/>
        <v>0</v>
      </c>
      <c r="K234" s="367">
        <f t="shared" si="32"/>
        <v>0</v>
      </c>
      <c r="L234" s="371">
        <f t="shared" si="33"/>
        <v>0</v>
      </c>
      <c r="M234" s="118">
        <f>L234*D234*'B) D RI'!S236</f>
        <v>0</v>
      </c>
    </row>
    <row r="235" spans="1:13" x14ac:dyDescent="0.25">
      <c r="A235" s="290">
        <f>'A) Base RI'!A237</f>
        <v>5788</v>
      </c>
      <c r="B235" s="32" t="str">
        <f>'A) Base RI'!B237</f>
        <v>Essertes</v>
      </c>
      <c r="C235" s="288">
        <f>'B) D RI'!U237</f>
        <v>12373.296527777777</v>
      </c>
      <c r="D235" s="32">
        <f>'B) D RI'!AA237</f>
        <v>380</v>
      </c>
      <c r="E235" s="205">
        <f t="shared" si="26"/>
        <v>32.561306652046781</v>
      </c>
      <c r="F235" s="364">
        <f t="shared" si="27"/>
        <v>0.6909601400970965</v>
      </c>
      <c r="G235" s="375">
        <f t="shared" si="28"/>
        <v>0</v>
      </c>
      <c r="H235" s="372">
        <f t="shared" si="29"/>
        <v>0</v>
      </c>
      <c r="I235" s="375">
        <f t="shared" si="30"/>
        <v>0</v>
      </c>
      <c r="J235" s="372">
        <f t="shared" si="31"/>
        <v>0</v>
      </c>
      <c r="K235" s="367">
        <f t="shared" si="32"/>
        <v>0</v>
      </c>
      <c r="L235" s="371">
        <f t="shared" si="33"/>
        <v>0</v>
      </c>
      <c r="M235" s="118">
        <f>L235*D235*'B) D RI'!S237</f>
        <v>0</v>
      </c>
    </row>
    <row r="236" spans="1:13" x14ac:dyDescent="0.25">
      <c r="A236" s="290">
        <f>'A) Base RI'!A238</f>
        <v>5790</v>
      </c>
      <c r="B236" s="32" t="str">
        <f>'A) Base RI'!B238</f>
        <v>Maracon</v>
      </c>
      <c r="C236" s="288">
        <f>'B) D RI'!U238</f>
        <v>14432.888421052632</v>
      </c>
      <c r="D236" s="32">
        <f>'B) D RI'!AA238</f>
        <v>538</v>
      </c>
      <c r="E236" s="205">
        <f t="shared" si="26"/>
        <v>26.82693015065545</v>
      </c>
      <c r="F236" s="364">
        <f t="shared" si="27"/>
        <v>0.56927504824523778</v>
      </c>
      <c r="G236" s="375">
        <f t="shared" si="28"/>
        <v>0</v>
      </c>
      <c r="H236" s="372">
        <f t="shared" si="29"/>
        <v>0</v>
      </c>
      <c r="I236" s="375">
        <f t="shared" si="30"/>
        <v>0</v>
      </c>
      <c r="J236" s="372">
        <f t="shared" si="31"/>
        <v>0</v>
      </c>
      <c r="K236" s="367">
        <f t="shared" si="32"/>
        <v>0</v>
      </c>
      <c r="L236" s="371">
        <f t="shared" si="33"/>
        <v>0</v>
      </c>
      <c r="M236" s="118">
        <f>L236*D236*'B) D RI'!S238</f>
        <v>0</v>
      </c>
    </row>
    <row r="237" spans="1:13" x14ac:dyDescent="0.25">
      <c r="A237" s="290">
        <f>'A) Base RI'!A239</f>
        <v>5792</v>
      </c>
      <c r="B237" s="32" t="str">
        <f>'A) Base RI'!B239</f>
        <v>Montpreveyres</v>
      </c>
      <c r="C237" s="288">
        <f>'B) D RI'!U239</f>
        <v>20144.698311688313</v>
      </c>
      <c r="D237" s="32">
        <f>'B) D RI'!AA239</f>
        <v>657</v>
      </c>
      <c r="E237" s="205">
        <f t="shared" si="26"/>
        <v>30.661641265887845</v>
      </c>
      <c r="F237" s="364">
        <f t="shared" si="27"/>
        <v>0.6506487031088799</v>
      </c>
      <c r="G237" s="375">
        <f t="shared" si="28"/>
        <v>0</v>
      </c>
      <c r="H237" s="372">
        <f t="shared" si="29"/>
        <v>0</v>
      </c>
      <c r="I237" s="375">
        <f t="shared" si="30"/>
        <v>0</v>
      </c>
      <c r="J237" s="372">
        <f t="shared" si="31"/>
        <v>0</v>
      </c>
      <c r="K237" s="367">
        <f t="shared" si="32"/>
        <v>0</v>
      </c>
      <c r="L237" s="371">
        <f t="shared" si="33"/>
        <v>0</v>
      </c>
      <c r="M237" s="118">
        <f>L237*D237*'B) D RI'!S239</f>
        <v>0</v>
      </c>
    </row>
    <row r="238" spans="1:13" x14ac:dyDescent="0.25">
      <c r="A238" s="290">
        <f>'A) Base RI'!A240</f>
        <v>5798</v>
      </c>
      <c r="B238" s="32" t="str">
        <f>'A) Base RI'!B240</f>
        <v>Ropraz</v>
      </c>
      <c r="C238" s="288">
        <f>'B) D RI'!U240</f>
        <v>14372.607741935482</v>
      </c>
      <c r="D238" s="32">
        <f>'B) D RI'!AA240</f>
        <v>488</v>
      </c>
      <c r="E238" s="205">
        <f t="shared" si="26"/>
        <v>29.452065044949759</v>
      </c>
      <c r="F238" s="364">
        <f t="shared" si="27"/>
        <v>0.62498115346142247</v>
      </c>
      <c r="G238" s="375">
        <f t="shared" si="28"/>
        <v>0</v>
      </c>
      <c r="H238" s="372">
        <f t="shared" si="29"/>
        <v>0</v>
      </c>
      <c r="I238" s="375">
        <f t="shared" si="30"/>
        <v>0</v>
      </c>
      <c r="J238" s="372">
        <f t="shared" si="31"/>
        <v>0</v>
      </c>
      <c r="K238" s="367">
        <f t="shared" si="32"/>
        <v>0</v>
      </c>
      <c r="L238" s="371">
        <f t="shared" si="33"/>
        <v>0</v>
      </c>
      <c r="M238" s="118">
        <f>L238*D238*'B) D RI'!S240</f>
        <v>0</v>
      </c>
    </row>
    <row r="239" spans="1:13" x14ac:dyDescent="0.25">
      <c r="A239" s="290">
        <f>'A) Base RI'!A241</f>
        <v>5799</v>
      </c>
      <c r="B239" s="32" t="str">
        <f>'A) Base RI'!B241</f>
        <v>Servion</v>
      </c>
      <c r="C239" s="288">
        <f>'B) D RI'!U241</f>
        <v>71130.218550724647</v>
      </c>
      <c r="D239" s="32">
        <f>'B) D RI'!AA241</f>
        <v>1997</v>
      </c>
      <c r="E239" s="205">
        <f t="shared" si="26"/>
        <v>35.618537080983799</v>
      </c>
      <c r="F239" s="364">
        <f t="shared" si="27"/>
        <v>0.75583543481610138</v>
      </c>
      <c r="G239" s="375">
        <f t="shared" si="28"/>
        <v>0</v>
      </c>
      <c r="H239" s="372">
        <f t="shared" si="29"/>
        <v>0</v>
      </c>
      <c r="I239" s="375">
        <f t="shared" si="30"/>
        <v>0</v>
      </c>
      <c r="J239" s="372">
        <f t="shared" si="31"/>
        <v>0</v>
      </c>
      <c r="K239" s="367">
        <f t="shared" si="32"/>
        <v>0</v>
      </c>
      <c r="L239" s="371">
        <f t="shared" si="33"/>
        <v>0</v>
      </c>
      <c r="M239" s="118">
        <f>L239*D239*'B) D RI'!S241</f>
        <v>0</v>
      </c>
    </row>
    <row r="240" spans="1:13" x14ac:dyDescent="0.25">
      <c r="A240" s="290">
        <f>'A) Base RI'!A242</f>
        <v>5803</v>
      </c>
      <c r="B240" s="32" t="str">
        <f>'A) Base RI'!B242</f>
        <v>Vulliens</v>
      </c>
      <c r="C240" s="288">
        <f>'B) D RI'!U242</f>
        <v>17471.95461538462</v>
      </c>
      <c r="D240" s="32">
        <f>'B) D RI'!AA242</f>
        <v>614</v>
      </c>
      <c r="E240" s="205">
        <f t="shared" si="26"/>
        <v>28.455952142320228</v>
      </c>
      <c r="F240" s="364">
        <f t="shared" si="27"/>
        <v>0.60384335582607596</v>
      </c>
      <c r="G240" s="375">
        <f t="shared" si="28"/>
        <v>0</v>
      </c>
      <c r="H240" s="372">
        <f t="shared" si="29"/>
        <v>0</v>
      </c>
      <c r="I240" s="375">
        <f t="shared" si="30"/>
        <v>0</v>
      </c>
      <c r="J240" s="372">
        <f t="shared" si="31"/>
        <v>0</v>
      </c>
      <c r="K240" s="367">
        <f t="shared" si="32"/>
        <v>0</v>
      </c>
      <c r="L240" s="371">
        <f t="shared" si="33"/>
        <v>0</v>
      </c>
      <c r="M240" s="118">
        <f>L240*D240*'B) D RI'!S242</f>
        <v>0</v>
      </c>
    </row>
    <row r="241" spans="1:13" x14ac:dyDescent="0.25">
      <c r="A241" s="290">
        <f>'A) Base RI'!A243</f>
        <v>5804</v>
      </c>
      <c r="B241" s="32" t="str">
        <f>'A) Base RI'!B243</f>
        <v>Jorat-Menthue</v>
      </c>
      <c r="C241" s="288">
        <f>'B) D RI'!U243</f>
        <v>44252.610972222225</v>
      </c>
      <c r="D241" s="32">
        <f>'B) D RI'!AA243</f>
        <v>1591</v>
      </c>
      <c r="E241" s="205">
        <f t="shared" si="26"/>
        <v>27.814337506110764</v>
      </c>
      <c r="F241" s="364">
        <f t="shared" si="27"/>
        <v>0.59022811170638789</v>
      </c>
      <c r="G241" s="375">
        <f t="shared" si="28"/>
        <v>0</v>
      </c>
      <c r="H241" s="372">
        <f t="shared" si="29"/>
        <v>0</v>
      </c>
      <c r="I241" s="375">
        <f t="shared" si="30"/>
        <v>0</v>
      </c>
      <c r="J241" s="372">
        <f t="shared" si="31"/>
        <v>0</v>
      </c>
      <c r="K241" s="367">
        <f t="shared" si="32"/>
        <v>0</v>
      </c>
      <c r="L241" s="371">
        <f t="shared" si="33"/>
        <v>0</v>
      </c>
      <c r="M241" s="118">
        <f>L241*D241*'B) D RI'!S243</f>
        <v>0</v>
      </c>
    </row>
    <row r="242" spans="1:13" x14ac:dyDescent="0.25">
      <c r="A242" s="290">
        <f>'A) Base RI'!A244</f>
        <v>5805</v>
      </c>
      <c r="B242" s="32" t="str">
        <f>'A) Base RI'!B244</f>
        <v>Oron</v>
      </c>
      <c r="C242" s="288">
        <f>'B) D RI'!U244</f>
        <v>158737.86322793149</v>
      </c>
      <c r="D242" s="32">
        <f>'B) D RI'!AA244</f>
        <v>5669</v>
      </c>
      <c r="E242" s="205">
        <f t="shared" si="26"/>
        <v>28.001034261409682</v>
      </c>
      <c r="F242" s="364">
        <f t="shared" si="27"/>
        <v>0.59418986967806642</v>
      </c>
      <c r="G242" s="375">
        <f t="shared" si="28"/>
        <v>0</v>
      </c>
      <c r="H242" s="372">
        <f t="shared" si="29"/>
        <v>0</v>
      </c>
      <c r="I242" s="375">
        <f t="shared" si="30"/>
        <v>0</v>
      </c>
      <c r="J242" s="372">
        <f t="shared" si="31"/>
        <v>0</v>
      </c>
      <c r="K242" s="367">
        <f t="shared" si="32"/>
        <v>0</v>
      </c>
      <c r="L242" s="371">
        <f t="shared" si="33"/>
        <v>0</v>
      </c>
      <c r="M242" s="118">
        <f>L242*D242*'B) D RI'!S244</f>
        <v>0</v>
      </c>
    </row>
    <row r="243" spans="1:13" x14ac:dyDescent="0.25">
      <c r="A243" s="290">
        <f>'A) Base RI'!A245</f>
        <v>5806</v>
      </c>
      <c r="B243" s="32" t="str">
        <f>'A) Base RI'!B245</f>
        <v>Jorat-Mézières</v>
      </c>
      <c r="C243" s="288">
        <f>'B) D RI'!U245</f>
        <v>92100.572236842127</v>
      </c>
      <c r="D243" s="32">
        <f>'B) D RI'!AA245</f>
        <v>2949</v>
      </c>
      <c r="E243" s="205">
        <f t="shared" si="26"/>
        <v>31.23111978190645</v>
      </c>
      <c r="F243" s="364">
        <f t="shared" si="27"/>
        <v>0.66273319834782529</v>
      </c>
      <c r="G243" s="375">
        <f t="shared" si="28"/>
        <v>0</v>
      </c>
      <c r="H243" s="372">
        <f t="shared" si="29"/>
        <v>0</v>
      </c>
      <c r="I243" s="375">
        <f t="shared" si="30"/>
        <v>0</v>
      </c>
      <c r="J243" s="372">
        <f t="shared" si="31"/>
        <v>0</v>
      </c>
      <c r="K243" s="367">
        <f t="shared" si="32"/>
        <v>0</v>
      </c>
      <c r="L243" s="371">
        <f t="shared" si="33"/>
        <v>0</v>
      </c>
      <c r="M243" s="118">
        <f>L243*D243*'B) D RI'!S245</f>
        <v>0</v>
      </c>
    </row>
    <row r="244" spans="1:13" x14ac:dyDescent="0.25">
      <c r="A244" s="290">
        <f>'A) Base RI'!A246</f>
        <v>5812</v>
      </c>
      <c r="B244" s="32" t="str">
        <f>'A) Base RI'!B246</f>
        <v>Champtauroz</v>
      </c>
      <c r="C244" s="288">
        <f>'B) D RI'!U246</f>
        <v>3697.8804870129875</v>
      </c>
      <c r="D244" s="32">
        <f>'B) D RI'!AA246</f>
        <v>130</v>
      </c>
      <c r="E244" s="205">
        <f t="shared" si="26"/>
        <v>28.445234515484518</v>
      </c>
      <c r="F244" s="364">
        <f t="shared" si="27"/>
        <v>0.60361592475216219</v>
      </c>
      <c r="G244" s="375">
        <f t="shared" si="28"/>
        <v>0</v>
      </c>
      <c r="H244" s="372">
        <f t="shared" si="29"/>
        <v>0</v>
      </c>
      <c r="I244" s="375">
        <f t="shared" si="30"/>
        <v>0</v>
      </c>
      <c r="J244" s="372">
        <f t="shared" si="31"/>
        <v>0</v>
      </c>
      <c r="K244" s="367">
        <f t="shared" si="32"/>
        <v>0</v>
      </c>
      <c r="L244" s="371">
        <f t="shared" si="33"/>
        <v>0</v>
      </c>
      <c r="M244" s="118">
        <f>L244*D244*'B) D RI'!S246</f>
        <v>0</v>
      </c>
    </row>
    <row r="245" spans="1:13" x14ac:dyDescent="0.25">
      <c r="A245" s="290">
        <f>'A) Base RI'!A247</f>
        <v>5813</v>
      </c>
      <c r="B245" s="32" t="str">
        <f>'A) Base RI'!B247</f>
        <v>Chevroux</v>
      </c>
      <c r="C245" s="288">
        <f>'B) D RI'!U247</f>
        <v>14717.819857142857</v>
      </c>
      <c r="D245" s="32">
        <f>'B) D RI'!AA247</f>
        <v>492</v>
      </c>
      <c r="E245" s="205">
        <f t="shared" si="26"/>
        <v>29.914268002322878</v>
      </c>
      <c r="F245" s="364">
        <f t="shared" si="27"/>
        <v>0.63478923099321738</v>
      </c>
      <c r="G245" s="375">
        <f t="shared" si="28"/>
        <v>0</v>
      </c>
      <c r="H245" s="372">
        <f t="shared" si="29"/>
        <v>0</v>
      </c>
      <c r="I245" s="375">
        <f t="shared" si="30"/>
        <v>0</v>
      </c>
      <c r="J245" s="372">
        <f t="shared" si="31"/>
        <v>0</v>
      </c>
      <c r="K245" s="367">
        <f t="shared" si="32"/>
        <v>0</v>
      </c>
      <c r="L245" s="371">
        <f t="shared" si="33"/>
        <v>0</v>
      </c>
      <c r="M245" s="118">
        <f>L245*D245*'B) D RI'!S247</f>
        <v>0</v>
      </c>
    </row>
    <row r="246" spans="1:13" x14ac:dyDescent="0.25">
      <c r="A246" s="290">
        <f>'A) Base RI'!A248</f>
        <v>5816</v>
      </c>
      <c r="B246" s="32" t="str">
        <f>'A) Base RI'!B248</f>
        <v>Corcelles-près-Payerne</v>
      </c>
      <c r="C246" s="288">
        <f>'B) D RI'!U248</f>
        <v>60753.42418367348</v>
      </c>
      <c r="D246" s="32">
        <f>'B) D RI'!AA248</f>
        <v>2571</v>
      </c>
      <c r="E246" s="205">
        <f t="shared" si="26"/>
        <v>23.630270005318351</v>
      </c>
      <c r="F246" s="364">
        <f t="shared" si="27"/>
        <v>0.50144101549378839</v>
      </c>
      <c r="G246" s="375">
        <f t="shared" si="28"/>
        <v>0</v>
      </c>
      <c r="H246" s="372">
        <f t="shared" si="29"/>
        <v>0</v>
      </c>
      <c r="I246" s="375">
        <f t="shared" si="30"/>
        <v>0</v>
      </c>
      <c r="J246" s="372">
        <f t="shared" si="31"/>
        <v>0</v>
      </c>
      <c r="K246" s="367">
        <f t="shared" si="32"/>
        <v>0</v>
      </c>
      <c r="L246" s="371">
        <f t="shared" si="33"/>
        <v>0</v>
      </c>
      <c r="M246" s="118">
        <f>L246*D246*'B) D RI'!S248</f>
        <v>0</v>
      </c>
    </row>
    <row r="247" spans="1:13" x14ac:dyDescent="0.25">
      <c r="A247" s="290">
        <f>'A) Base RI'!A249</f>
        <v>5817</v>
      </c>
      <c r="B247" s="32" t="str">
        <f>'A) Base RI'!B249</f>
        <v>Grandcour</v>
      </c>
      <c r="C247" s="288">
        <f>'B) D RI'!U249</f>
        <v>21844.312857142857</v>
      </c>
      <c r="D247" s="32">
        <f>'B) D RI'!AA249</f>
        <v>953</v>
      </c>
      <c r="E247" s="205">
        <f t="shared" si="26"/>
        <v>22.921629440863438</v>
      </c>
      <c r="F247" s="364">
        <f t="shared" si="27"/>
        <v>0.48640346221232411</v>
      </c>
      <c r="G247" s="375">
        <f t="shared" si="28"/>
        <v>0</v>
      </c>
      <c r="H247" s="372">
        <f t="shared" si="29"/>
        <v>0</v>
      </c>
      <c r="I247" s="375">
        <f t="shared" si="30"/>
        <v>0</v>
      </c>
      <c r="J247" s="372">
        <f t="shared" si="31"/>
        <v>0</v>
      </c>
      <c r="K247" s="367">
        <f t="shared" si="32"/>
        <v>0</v>
      </c>
      <c r="L247" s="371">
        <f t="shared" si="33"/>
        <v>0</v>
      </c>
      <c r="M247" s="118">
        <f>L247*D247*'B) D RI'!S249</f>
        <v>0</v>
      </c>
    </row>
    <row r="248" spans="1:13" x14ac:dyDescent="0.25">
      <c r="A248" s="290">
        <f>'A) Base RI'!A250</f>
        <v>5819</v>
      </c>
      <c r="B248" s="32" t="str">
        <f>'A) Base RI'!B250</f>
        <v>Henniez</v>
      </c>
      <c r="C248" s="288">
        <f>'B) D RI'!U250</f>
        <v>12524.767971014497</v>
      </c>
      <c r="D248" s="32">
        <f>'B) D RI'!AA250</f>
        <v>376</v>
      </c>
      <c r="E248" s="205">
        <f t="shared" si="26"/>
        <v>33.310553114400257</v>
      </c>
      <c r="F248" s="364">
        <f t="shared" si="27"/>
        <v>0.7068593620210567</v>
      </c>
      <c r="G248" s="375">
        <f t="shared" si="28"/>
        <v>0</v>
      </c>
      <c r="H248" s="372">
        <f t="shared" si="29"/>
        <v>0</v>
      </c>
      <c r="I248" s="375">
        <f t="shared" si="30"/>
        <v>0</v>
      </c>
      <c r="J248" s="372">
        <f t="shared" si="31"/>
        <v>0</v>
      </c>
      <c r="K248" s="367">
        <f t="shared" si="32"/>
        <v>0</v>
      </c>
      <c r="L248" s="371">
        <f t="shared" si="33"/>
        <v>0</v>
      </c>
      <c r="M248" s="118">
        <f>L248*D248*'B) D RI'!S250</f>
        <v>0</v>
      </c>
    </row>
    <row r="249" spans="1:13" x14ac:dyDescent="0.25">
      <c r="A249" s="290">
        <f>'A) Base RI'!A251</f>
        <v>5821</v>
      </c>
      <c r="B249" s="32" t="str">
        <f>'A) Base RI'!B251</f>
        <v>Missy</v>
      </c>
      <c r="C249" s="288">
        <f>'B) D RI'!U251</f>
        <v>8359.2275000000009</v>
      </c>
      <c r="D249" s="32">
        <f>'B) D RI'!AA251</f>
        <v>362</v>
      </c>
      <c r="E249" s="205">
        <f t="shared" si="26"/>
        <v>23.09178867403315</v>
      </c>
      <c r="F249" s="364">
        <f t="shared" si="27"/>
        <v>0.49001428928527169</v>
      </c>
      <c r="G249" s="375">
        <f t="shared" si="28"/>
        <v>0</v>
      </c>
      <c r="H249" s="372">
        <f t="shared" si="29"/>
        <v>0</v>
      </c>
      <c r="I249" s="375">
        <f t="shared" si="30"/>
        <v>0</v>
      </c>
      <c r="J249" s="372">
        <f t="shared" si="31"/>
        <v>0</v>
      </c>
      <c r="K249" s="367">
        <f t="shared" si="32"/>
        <v>0</v>
      </c>
      <c r="L249" s="371">
        <f t="shared" si="33"/>
        <v>0</v>
      </c>
      <c r="M249" s="118">
        <f>L249*D249*'B) D RI'!S251</f>
        <v>0</v>
      </c>
    </row>
    <row r="250" spans="1:13" x14ac:dyDescent="0.25">
      <c r="A250" s="290">
        <f>'A) Base RI'!A252</f>
        <v>5822</v>
      </c>
      <c r="B250" s="32" t="str">
        <f>'A) Base RI'!B252</f>
        <v>Payerne</v>
      </c>
      <c r="C250" s="288">
        <f>'B) D RI'!U252</f>
        <v>246662.05359999998</v>
      </c>
      <c r="D250" s="32">
        <f>'B) D RI'!AA252</f>
        <v>10072</v>
      </c>
      <c r="E250" s="205">
        <f t="shared" si="26"/>
        <v>24.489878236695787</v>
      </c>
      <c r="F250" s="364">
        <f t="shared" si="27"/>
        <v>0.51968214538234703</v>
      </c>
      <c r="G250" s="375">
        <f t="shared" si="28"/>
        <v>0</v>
      </c>
      <c r="H250" s="372">
        <f t="shared" si="29"/>
        <v>0</v>
      </c>
      <c r="I250" s="375">
        <f t="shared" si="30"/>
        <v>0</v>
      </c>
      <c r="J250" s="372">
        <f t="shared" si="31"/>
        <v>0</v>
      </c>
      <c r="K250" s="367">
        <f t="shared" si="32"/>
        <v>0</v>
      </c>
      <c r="L250" s="371">
        <f t="shared" si="33"/>
        <v>0</v>
      </c>
      <c r="M250" s="118">
        <f>L250*D250*'B) D RI'!S252</f>
        <v>0</v>
      </c>
    </row>
    <row r="251" spans="1:13" x14ac:dyDescent="0.25">
      <c r="A251" s="290">
        <f>'A) Base RI'!A253</f>
        <v>5827</v>
      </c>
      <c r="B251" s="32" t="str">
        <f>'A) Base RI'!B253</f>
        <v>Trey</v>
      </c>
      <c r="C251" s="288">
        <f>'B) D RI'!U253</f>
        <v>6768.899124999999</v>
      </c>
      <c r="D251" s="32">
        <f>'B) D RI'!AA253</f>
        <v>285</v>
      </c>
      <c r="E251" s="205">
        <f t="shared" si="26"/>
        <v>23.75052324561403</v>
      </c>
      <c r="F251" s="364">
        <f t="shared" si="27"/>
        <v>0.50399282327747907</v>
      </c>
      <c r="G251" s="375">
        <f t="shared" si="28"/>
        <v>0</v>
      </c>
      <c r="H251" s="372">
        <f t="shared" si="29"/>
        <v>0</v>
      </c>
      <c r="I251" s="375">
        <f t="shared" si="30"/>
        <v>0</v>
      </c>
      <c r="J251" s="372">
        <f t="shared" si="31"/>
        <v>0</v>
      </c>
      <c r="K251" s="367">
        <f t="shared" si="32"/>
        <v>0</v>
      </c>
      <c r="L251" s="371">
        <f t="shared" si="33"/>
        <v>0</v>
      </c>
      <c r="M251" s="118">
        <f>L251*D251*'B) D RI'!S253</f>
        <v>0</v>
      </c>
    </row>
    <row r="252" spans="1:13" x14ac:dyDescent="0.25">
      <c r="A252" s="290">
        <f>'A) Base RI'!A254</f>
        <v>5828</v>
      </c>
      <c r="B252" s="32" t="str">
        <f>'A) Base RI'!B254</f>
        <v>Treytorrens (Payerne)</v>
      </c>
      <c r="C252" s="288">
        <f>'B) D RI'!U254</f>
        <v>2424.4907539682545</v>
      </c>
      <c r="D252" s="32">
        <f>'B) D RI'!AA254</f>
        <v>111</v>
      </c>
      <c r="E252" s="205">
        <f t="shared" si="26"/>
        <v>21.84225904475905</v>
      </c>
      <c r="F252" s="364">
        <f t="shared" si="27"/>
        <v>0.46349891700845203</v>
      </c>
      <c r="G252" s="375">
        <f t="shared" si="28"/>
        <v>0</v>
      </c>
      <c r="H252" s="372">
        <f t="shared" si="29"/>
        <v>0</v>
      </c>
      <c r="I252" s="375">
        <f t="shared" si="30"/>
        <v>0</v>
      </c>
      <c r="J252" s="372">
        <f t="shared" si="31"/>
        <v>0</v>
      </c>
      <c r="K252" s="367">
        <f t="shared" si="32"/>
        <v>0</v>
      </c>
      <c r="L252" s="371">
        <f t="shared" si="33"/>
        <v>0</v>
      </c>
      <c r="M252" s="118">
        <f>L252*D252*'B) D RI'!S254</f>
        <v>0</v>
      </c>
    </row>
    <row r="253" spans="1:13" x14ac:dyDescent="0.25">
      <c r="A253" s="290">
        <f>'A) Base RI'!A255</f>
        <v>5830</v>
      </c>
      <c r="B253" s="32" t="str">
        <f>'A) Base RI'!B255</f>
        <v>Villarzel</v>
      </c>
      <c r="C253" s="288">
        <f>'B) D RI'!U255</f>
        <v>13652.802077922079</v>
      </c>
      <c r="D253" s="32">
        <f>'B) D RI'!AA255</f>
        <v>451</v>
      </c>
      <c r="E253" s="205">
        <f t="shared" si="26"/>
        <v>30.272288421113256</v>
      </c>
      <c r="F253" s="364">
        <f t="shared" si="27"/>
        <v>0.64238652557873643</v>
      </c>
      <c r="G253" s="375">
        <f t="shared" si="28"/>
        <v>0</v>
      </c>
      <c r="H253" s="372">
        <f t="shared" si="29"/>
        <v>0</v>
      </c>
      <c r="I253" s="375">
        <f t="shared" si="30"/>
        <v>0</v>
      </c>
      <c r="J253" s="372">
        <f t="shared" si="31"/>
        <v>0</v>
      </c>
      <c r="K253" s="367">
        <f t="shared" si="32"/>
        <v>0</v>
      </c>
      <c r="L253" s="371">
        <f t="shared" si="33"/>
        <v>0</v>
      </c>
      <c r="M253" s="118">
        <f>L253*D253*'B) D RI'!S255</f>
        <v>0</v>
      </c>
    </row>
    <row r="254" spans="1:13" x14ac:dyDescent="0.25">
      <c r="A254" s="290">
        <f>'A) Base RI'!A256</f>
        <v>5831</v>
      </c>
      <c r="B254" s="32" t="str">
        <f>'A) Base RI'!B256</f>
        <v>Valbroye</v>
      </c>
      <c r="C254" s="288">
        <f>'B) D RI'!U256</f>
        <v>90573.475753424646</v>
      </c>
      <c r="D254" s="32">
        <f>'B) D RI'!AA256</f>
        <v>3296</v>
      </c>
      <c r="E254" s="205">
        <f t="shared" si="26"/>
        <v>27.479816672762333</v>
      </c>
      <c r="F254" s="364">
        <f t="shared" si="27"/>
        <v>0.58312948497295181</v>
      </c>
      <c r="G254" s="375">
        <f t="shared" si="28"/>
        <v>0</v>
      </c>
      <c r="H254" s="372">
        <f t="shared" si="29"/>
        <v>0</v>
      </c>
      <c r="I254" s="375">
        <f t="shared" si="30"/>
        <v>0</v>
      </c>
      <c r="J254" s="372">
        <f t="shared" si="31"/>
        <v>0</v>
      </c>
      <c r="K254" s="367">
        <f t="shared" si="32"/>
        <v>0</v>
      </c>
      <c r="L254" s="371">
        <f t="shared" si="33"/>
        <v>0</v>
      </c>
      <c r="M254" s="118">
        <f>L254*D254*'B) D RI'!S256</f>
        <v>0</v>
      </c>
    </row>
    <row r="255" spans="1:13" x14ac:dyDescent="0.25">
      <c r="A255" s="290">
        <f>'A) Base RI'!A257</f>
        <v>5841</v>
      </c>
      <c r="B255" s="32" t="str">
        <f>'A) Base RI'!B257</f>
        <v>Château-d'Oex</v>
      </c>
      <c r="C255" s="288">
        <f>'B) D RI'!U257</f>
        <v>118643.61518072287</v>
      </c>
      <c r="D255" s="32">
        <f>'B) D RI'!AA257</f>
        <v>3468</v>
      </c>
      <c r="E255" s="205">
        <f t="shared" si="26"/>
        <v>34.210961701477181</v>
      </c>
      <c r="F255" s="364">
        <f t="shared" si="27"/>
        <v>0.72596628700166688</v>
      </c>
      <c r="G255" s="375">
        <f t="shared" si="28"/>
        <v>0</v>
      </c>
      <c r="H255" s="372">
        <f t="shared" si="29"/>
        <v>0</v>
      </c>
      <c r="I255" s="375">
        <f t="shared" si="30"/>
        <v>0</v>
      </c>
      <c r="J255" s="372">
        <f t="shared" si="31"/>
        <v>0</v>
      </c>
      <c r="K255" s="367">
        <f t="shared" si="32"/>
        <v>0</v>
      </c>
      <c r="L255" s="371">
        <f t="shared" si="33"/>
        <v>0</v>
      </c>
      <c r="M255" s="118">
        <f>L255*D255*'B) D RI'!S257</f>
        <v>0</v>
      </c>
    </row>
    <row r="256" spans="1:13" x14ac:dyDescent="0.25">
      <c r="A256" s="290">
        <f>'A) Base RI'!A258</f>
        <v>5842</v>
      </c>
      <c r="B256" s="32" t="str">
        <f>'A) Base RI'!B258</f>
        <v>Rossinière</v>
      </c>
      <c r="C256" s="288">
        <f>'B) D RI'!U258</f>
        <v>13727.475720164608</v>
      </c>
      <c r="D256" s="32">
        <f>'B) D RI'!AA258</f>
        <v>548</v>
      </c>
      <c r="E256" s="205">
        <f t="shared" si="26"/>
        <v>25.050138175482861</v>
      </c>
      <c r="F256" s="364">
        <f t="shared" si="27"/>
        <v>0.53157101980412247</v>
      </c>
      <c r="G256" s="375">
        <f t="shared" si="28"/>
        <v>0</v>
      </c>
      <c r="H256" s="372">
        <f t="shared" si="29"/>
        <v>0</v>
      </c>
      <c r="I256" s="375">
        <f t="shared" si="30"/>
        <v>0</v>
      </c>
      <c r="J256" s="372">
        <f t="shared" si="31"/>
        <v>0</v>
      </c>
      <c r="K256" s="367">
        <f t="shared" si="32"/>
        <v>0</v>
      </c>
      <c r="L256" s="371">
        <f t="shared" si="33"/>
        <v>0</v>
      </c>
      <c r="M256" s="118">
        <f>L256*D256*'B) D RI'!S258</f>
        <v>0</v>
      </c>
    </row>
    <row r="257" spans="1:13" x14ac:dyDescent="0.25">
      <c r="A257" s="290">
        <f>'A) Base RI'!A259</f>
        <v>5843</v>
      </c>
      <c r="B257" s="32" t="str">
        <f>'A) Base RI'!B259</f>
        <v>Rougemont</v>
      </c>
      <c r="C257" s="288">
        <f>'B) D RI'!U259</f>
        <v>86224.81779279279</v>
      </c>
      <c r="D257" s="32">
        <f>'B) D RI'!AA259</f>
        <v>858</v>
      </c>
      <c r="E257" s="205">
        <f t="shared" si="26"/>
        <v>100.49512563262563</v>
      </c>
      <c r="F257" s="364">
        <f t="shared" si="27"/>
        <v>2.1325350001526888</v>
      </c>
      <c r="G257" s="375">
        <f t="shared" si="28"/>
        <v>53.370400539986953</v>
      </c>
      <c r="H257" s="372">
        <f t="shared" si="29"/>
        <v>43.945455521459216</v>
      </c>
      <c r="I257" s="375">
        <f t="shared" si="30"/>
        <v>29.808037993667611</v>
      </c>
      <c r="J257" s="372">
        <f t="shared" si="31"/>
        <v>6.2456754473482761</v>
      </c>
      <c r="K257" s="367">
        <f t="shared" si="32"/>
        <v>0</v>
      </c>
      <c r="L257" s="371">
        <f t="shared" si="33"/>
        <v>18.673997004244903</v>
      </c>
      <c r="M257" s="118">
        <f>L257*D257*'B) D RI'!S259</f>
        <v>1185649.4177935175</v>
      </c>
    </row>
    <row r="258" spans="1:13" x14ac:dyDescent="0.25">
      <c r="A258" s="290">
        <f>'A) Base RI'!A260</f>
        <v>5851</v>
      </c>
      <c r="B258" s="32" t="str">
        <f>'A) Base RI'!B260</f>
        <v>Allaman</v>
      </c>
      <c r="C258" s="288">
        <f>'B) D RI'!U260</f>
        <v>23662.073064516131</v>
      </c>
      <c r="D258" s="32">
        <f>'B) D RI'!AA260</f>
        <v>451</v>
      </c>
      <c r="E258" s="205">
        <f t="shared" si="26"/>
        <v>52.465793934625566</v>
      </c>
      <c r="F258" s="364">
        <f t="shared" si="27"/>
        <v>1.1133389920362891</v>
      </c>
      <c r="G258" s="375">
        <f t="shared" si="28"/>
        <v>5.341068841986889</v>
      </c>
      <c r="H258" s="372">
        <f t="shared" si="29"/>
        <v>0</v>
      </c>
      <c r="I258" s="375">
        <f t="shared" si="30"/>
        <v>0</v>
      </c>
      <c r="J258" s="372">
        <f t="shared" si="31"/>
        <v>0</v>
      </c>
      <c r="K258" s="367">
        <f t="shared" si="32"/>
        <v>0</v>
      </c>
      <c r="L258" s="371">
        <f t="shared" si="33"/>
        <v>1.0682137683973778</v>
      </c>
      <c r="M258" s="118">
        <f>L258*D258*'B) D RI'!S260</f>
        <v>29869.393391927479</v>
      </c>
    </row>
    <row r="259" spans="1:13" x14ac:dyDescent="0.25">
      <c r="A259" s="290">
        <f>'A) Base RI'!A261</f>
        <v>5852</v>
      </c>
      <c r="B259" s="32" t="str">
        <f>'A) Base RI'!B261</f>
        <v>Bursinel</v>
      </c>
      <c r="C259" s="288">
        <f>'B) D RI'!U261</f>
        <v>39686.843918575076</v>
      </c>
      <c r="D259" s="32">
        <f>'B) D RI'!AA261</f>
        <v>473</v>
      </c>
      <c r="E259" s="205">
        <f t="shared" si="26"/>
        <v>83.904532597410309</v>
      </c>
      <c r="F259" s="364">
        <f t="shared" si="27"/>
        <v>1.7804779217803222</v>
      </c>
      <c r="G259" s="375">
        <f t="shared" si="28"/>
        <v>36.779807504771632</v>
      </c>
      <c r="H259" s="372">
        <f t="shared" si="29"/>
        <v>27.354862486243896</v>
      </c>
      <c r="I259" s="375">
        <f t="shared" si="30"/>
        <v>13.21744495845229</v>
      </c>
      <c r="J259" s="372">
        <f t="shared" si="31"/>
        <v>0</v>
      </c>
      <c r="K259" s="367">
        <f t="shared" si="32"/>
        <v>0</v>
      </c>
      <c r="L259" s="371">
        <f t="shared" si="33"/>
        <v>11.413192245423945</v>
      </c>
      <c r="M259" s="118">
        <f>L259*D259*'B) D RI'!S261</f>
        <v>353597.81555160193</v>
      </c>
    </row>
    <row r="260" spans="1:13" x14ac:dyDescent="0.25">
      <c r="A260" s="290">
        <f>'A) Base RI'!A262</f>
        <v>5853</v>
      </c>
      <c r="B260" s="32" t="str">
        <f>'A) Base RI'!B262</f>
        <v>Bursins</v>
      </c>
      <c r="C260" s="288">
        <f>'B) D RI'!U262</f>
        <v>36429.778873239433</v>
      </c>
      <c r="D260" s="32">
        <f>'B) D RI'!AA262</f>
        <v>782</v>
      </c>
      <c r="E260" s="205">
        <f t="shared" si="26"/>
        <v>46.585394978567052</v>
      </c>
      <c r="F260" s="364">
        <f t="shared" si="27"/>
        <v>0.98855526238059954</v>
      </c>
      <c r="G260" s="375">
        <f t="shared" si="28"/>
        <v>0</v>
      </c>
      <c r="H260" s="372">
        <f t="shared" si="29"/>
        <v>0</v>
      </c>
      <c r="I260" s="375">
        <f t="shared" si="30"/>
        <v>0</v>
      </c>
      <c r="J260" s="372">
        <f t="shared" si="31"/>
        <v>0</v>
      </c>
      <c r="K260" s="367">
        <f t="shared" si="32"/>
        <v>0</v>
      </c>
      <c r="L260" s="371">
        <f t="shared" si="33"/>
        <v>0</v>
      </c>
      <c r="M260" s="118">
        <f>L260*D260*'B) D RI'!S262</f>
        <v>0</v>
      </c>
    </row>
    <row r="261" spans="1:13" x14ac:dyDescent="0.25">
      <c r="A261" s="290">
        <f>'A) Base RI'!A263</f>
        <v>5854</v>
      </c>
      <c r="B261" s="32" t="str">
        <f>'A) Base RI'!B263</f>
        <v>Burtigny</v>
      </c>
      <c r="C261" s="288">
        <f>'B) D RI'!U263</f>
        <v>11092.867583333333</v>
      </c>
      <c r="D261" s="32">
        <f>'B) D RI'!AA263</f>
        <v>390</v>
      </c>
      <c r="E261" s="205">
        <f t="shared" si="26"/>
        <v>28.443250213675213</v>
      </c>
      <c r="F261" s="364">
        <f t="shared" si="27"/>
        <v>0.60357381730632775</v>
      </c>
      <c r="G261" s="375">
        <f t="shared" si="28"/>
        <v>0</v>
      </c>
      <c r="H261" s="372">
        <f t="shared" si="29"/>
        <v>0</v>
      </c>
      <c r="I261" s="375">
        <f t="shared" si="30"/>
        <v>0</v>
      </c>
      <c r="J261" s="372">
        <f t="shared" si="31"/>
        <v>0</v>
      </c>
      <c r="K261" s="367">
        <f t="shared" si="32"/>
        <v>0</v>
      </c>
      <c r="L261" s="371">
        <f t="shared" si="33"/>
        <v>0</v>
      </c>
      <c r="M261" s="118">
        <f>L261*D261*'B) D RI'!S263</f>
        <v>0</v>
      </c>
    </row>
    <row r="262" spans="1:13" x14ac:dyDescent="0.25">
      <c r="A262" s="290">
        <f>'A) Base RI'!A264</f>
        <v>5855</v>
      </c>
      <c r="B262" s="32" t="str">
        <f>'A) Base RI'!B264</f>
        <v>Dully</v>
      </c>
      <c r="C262" s="288">
        <f>'B) D RI'!U264</f>
        <v>79675.83</v>
      </c>
      <c r="D262" s="32">
        <f>'B) D RI'!AA264</f>
        <v>639</v>
      </c>
      <c r="E262" s="205">
        <f t="shared" ref="E262:E313" si="34">C262/D262</f>
        <v>124.68830985915493</v>
      </c>
      <c r="F262" s="364">
        <f t="shared" ref="F262:F313" si="35">E262/$E$314</f>
        <v>2.6459212146922932</v>
      </c>
      <c r="G262" s="375">
        <f t="shared" ref="G262:G313" si="36">IF(E262-$G$2&lt;0,0,E262-$G$2)</f>
        <v>77.563584766516243</v>
      </c>
      <c r="H262" s="372">
        <f t="shared" ref="H262:H313" si="37">IF(E262-$H$2&lt;0,0,E262-$H$2)</f>
        <v>68.13863974798852</v>
      </c>
      <c r="I262" s="375">
        <f t="shared" ref="I262:I313" si="38">IF(E262-$I$2&lt;0,0,E262-$I$2)</f>
        <v>54.001222220196908</v>
      </c>
      <c r="J262" s="372">
        <f t="shared" ref="J262:J313" si="39">IF(E262-$J$2&lt;0,0,E262-$J$2)</f>
        <v>30.438859673877573</v>
      </c>
      <c r="K262" s="367">
        <f t="shared" ref="K262:K313" si="40">IF(E262-$K$2&lt;0,0,E262-$K$2)</f>
        <v>0</v>
      </c>
      <c r="L262" s="371">
        <f t="shared" ref="L262:L313" si="41">(G262-H262)*$G$3+(H262-I262)*$H$3+(I262-J262)*$I$3+(J262-K262)*$J$3+(K262*$K$3)</f>
        <v>30.770589117509552</v>
      </c>
      <c r="M262" s="118">
        <f>L262*D262*'B) D RI'!S264</f>
        <v>963457.91585834161</v>
      </c>
    </row>
    <row r="263" spans="1:13" x14ac:dyDescent="0.25">
      <c r="A263" s="290">
        <f>'A) Base RI'!A265</f>
        <v>5856</v>
      </c>
      <c r="B263" s="32" t="str">
        <f>'A) Base RI'!B265</f>
        <v>Essertines-sur-Rolle</v>
      </c>
      <c r="C263" s="288">
        <f>'B) D RI'!U265</f>
        <v>36504.775588235294</v>
      </c>
      <c r="D263" s="32">
        <f>'B) D RI'!AA265</f>
        <v>722</v>
      </c>
      <c r="E263" s="205">
        <f t="shared" si="34"/>
        <v>50.560631008636143</v>
      </c>
      <c r="F263" s="364">
        <f t="shared" si="35"/>
        <v>1.0729108956973881</v>
      </c>
      <c r="G263" s="375">
        <f t="shared" si="36"/>
        <v>3.4359059159974663</v>
      </c>
      <c r="H263" s="372">
        <f t="shared" si="37"/>
        <v>0</v>
      </c>
      <c r="I263" s="375">
        <f t="shared" si="38"/>
        <v>0</v>
      </c>
      <c r="J263" s="372">
        <f t="shared" si="39"/>
        <v>0</v>
      </c>
      <c r="K263" s="367">
        <f t="shared" si="40"/>
        <v>0</v>
      </c>
      <c r="L263" s="371">
        <f t="shared" si="41"/>
        <v>0.68718118319949328</v>
      </c>
      <c r="M263" s="118">
        <f>L263*D263*'B) D RI'!S265</f>
        <v>33737.847370362324</v>
      </c>
    </row>
    <row r="264" spans="1:13" x14ac:dyDescent="0.25">
      <c r="A264" s="290">
        <f>'A) Base RI'!A266</f>
        <v>5857</v>
      </c>
      <c r="B264" s="32" t="str">
        <f>'A) Base RI'!B266</f>
        <v>Gilly</v>
      </c>
      <c r="C264" s="288">
        <f>'B) D RI'!U266</f>
        <v>85344.541363636366</v>
      </c>
      <c r="D264" s="32">
        <f>'B) D RI'!AA266</f>
        <v>1370</v>
      </c>
      <c r="E264" s="205">
        <f t="shared" si="34"/>
        <v>62.295285666887857</v>
      </c>
      <c r="F264" s="364">
        <f t="shared" si="35"/>
        <v>1.3219235877647373</v>
      </c>
      <c r="G264" s="375">
        <f t="shared" si="36"/>
        <v>15.17056057424918</v>
      </c>
      <c r="H264" s="372">
        <f t="shared" si="37"/>
        <v>5.745615555721443</v>
      </c>
      <c r="I264" s="375">
        <f t="shared" si="38"/>
        <v>0</v>
      </c>
      <c r="J264" s="372">
        <f t="shared" si="39"/>
        <v>0</v>
      </c>
      <c r="K264" s="367">
        <f t="shared" si="40"/>
        <v>0</v>
      </c>
      <c r="L264" s="371">
        <f t="shared" si="41"/>
        <v>3.6086736704219806</v>
      </c>
      <c r="M264" s="118">
        <f>L264*D264*'B) D RI'!S266</f>
        <v>326296.27327955549</v>
      </c>
    </row>
    <row r="265" spans="1:13" x14ac:dyDescent="0.25">
      <c r="A265" s="290">
        <f>'A) Base RI'!A267</f>
        <v>5858</v>
      </c>
      <c r="B265" s="32" t="str">
        <f>'A) Base RI'!B267</f>
        <v>Luins</v>
      </c>
      <c r="C265" s="288">
        <f>'B) D RI'!U267</f>
        <v>46698.811277777771</v>
      </c>
      <c r="D265" s="32">
        <f>'B) D RI'!AA267</f>
        <v>621</v>
      </c>
      <c r="E265" s="205">
        <f t="shared" si="34"/>
        <v>75.199374038289491</v>
      </c>
      <c r="F265" s="364">
        <f t="shared" si="35"/>
        <v>1.5957519941063028</v>
      </c>
      <c r="G265" s="375">
        <f t="shared" si="36"/>
        <v>28.074648945650814</v>
      </c>
      <c r="H265" s="372">
        <f t="shared" si="37"/>
        <v>18.649703927123078</v>
      </c>
      <c r="I265" s="375">
        <f t="shared" si="38"/>
        <v>4.5122863993314724</v>
      </c>
      <c r="J265" s="372">
        <f t="shared" si="39"/>
        <v>0</v>
      </c>
      <c r="K265" s="367">
        <f t="shared" si="40"/>
        <v>0</v>
      </c>
      <c r="L265" s="371">
        <f t="shared" si="41"/>
        <v>7.9311288217756175</v>
      </c>
      <c r="M265" s="118">
        <f>L265*D265*'B) D RI'!S267</f>
        <v>295513.85989935952</v>
      </c>
    </row>
    <row r="266" spans="1:13" x14ac:dyDescent="0.25">
      <c r="A266" s="290">
        <f>'A) Base RI'!A268</f>
        <v>5859</v>
      </c>
      <c r="B266" s="32" t="str">
        <f>'A) Base RI'!B268</f>
        <v>Mont-sur-Rolle</v>
      </c>
      <c r="C266" s="288">
        <f>'B) D RI'!U268</f>
        <v>136402.77030769232</v>
      </c>
      <c r="D266" s="32">
        <f>'B) D RI'!AA268</f>
        <v>2677</v>
      </c>
      <c r="E266" s="205">
        <f t="shared" si="34"/>
        <v>50.953593689836502</v>
      </c>
      <c r="F266" s="364">
        <f t="shared" si="35"/>
        <v>1.0812496749778584</v>
      </c>
      <c r="G266" s="375">
        <f t="shared" si="36"/>
        <v>3.8288685971978254</v>
      </c>
      <c r="H266" s="372">
        <f t="shared" si="37"/>
        <v>0</v>
      </c>
      <c r="I266" s="375">
        <f t="shared" si="38"/>
        <v>0</v>
      </c>
      <c r="J266" s="372">
        <f t="shared" si="39"/>
        <v>0</v>
      </c>
      <c r="K266" s="367">
        <f t="shared" si="40"/>
        <v>0</v>
      </c>
      <c r="L266" s="371">
        <f t="shared" si="41"/>
        <v>0.76577371943956507</v>
      </c>
      <c r="M266" s="118">
        <f>L266*D266*'B) D RI'!S268</f>
        <v>133248.45605108151</v>
      </c>
    </row>
    <row r="267" spans="1:13" x14ac:dyDescent="0.25">
      <c r="A267" s="290">
        <f>'A) Base RI'!A269</f>
        <v>5860</v>
      </c>
      <c r="B267" s="32" t="str">
        <f>'A) Base RI'!B269</f>
        <v>Perroy</v>
      </c>
      <c r="C267" s="288">
        <f>'B) D RI'!U269</f>
        <v>102583.41574358974</v>
      </c>
      <c r="D267" s="32">
        <f>'B) D RI'!AA269</f>
        <v>1497</v>
      </c>
      <c r="E267" s="205">
        <f t="shared" si="34"/>
        <v>68.525995820701226</v>
      </c>
      <c r="F267" s="364">
        <f t="shared" si="35"/>
        <v>1.4541410201543143</v>
      </c>
      <c r="G267" s="375">
        <f t="shared" si="36"/>
        <v>21.401270728062549</v>
      </c>
      <c r="H267" s="372">
        <f t="shared" si="37"/>
        <v>11.976325709534812</v>
      </c>
      <c r="I267" s="375">
        <f t="shared" si="38"/>
        <v>0</v>
      </c>
      <c r="J267" s="372">
        <f t="shared" si="39"/>
        <v>0</v>
      </c>
      <c r="K267" s="367">
        <f t="shared" si="40"/>
        <v>0</v>
      </c>
      <c r="L267" s="371">
        <f t="shared" si="41"/>
        <v>5.4778867165659912</v>
      </c>
      <c r="M267" s="118">
        <f>L267*D267*'B) D RI'!S269</f>
        <v>492023.78488195734</v>
      </c>
    </row>
    <row r="268" spans="1:13" x14ac:dyDescent="0.25">
      <c r="A268" s="290">
        <f>'A) Base RI'!A270</f>
        <v>5861</v>
      </c>
      <c r="B268" s="32" t="str">
        <f>'A) Base RI'!B270</f>
        <v>Rolle</v>
      </c>
      <c r="C268" s="288">
        <f>'B) D RI'!U270</f>
        <v>762445.16588235286</v>
      </c>
      <c r="D268" s="32">
        <f>'B) D RI'!AA270</f>
        <v>6245</v>
      </c>
      <c r="E268" s="205">
        <f t="shared" si="34"/>
        <v>122.0888976593039</v>
      </c>
      <c r="F268" s="364">
        <f t="shared" si="35"/>
        <v>2.5907609523302093</v>
      </c>
      <c r="G268" s="375">
        <f t="shared" si="36"/>
        <v>74.964172566665212</v>
      </c>
      <c r="H268" s="372">
        <f t="shared" si="37"/>
        <v>65.53922754813749</v>
      </c>
      <c r="I268" s="375">
        <f t="shared" si="38"/>
        <v>51.401810020345877</v>
      </c>
      <c r="J268" s="372">
        <f t="shared" si="39"/>
        <v>27.839447474026542</v>
      </c>
      <c r="K268" s="367">
        <f t="shared" si="40"/>
        <v>0</v>
      </c>
      <c r="L268" s="371">
        <f t="shared" si="41"/>
        <v>29.470883017584036</v>
      </c>
      <c r="M268" s="118">
        <f>L268*D268*'B) D RI'!S270</f>
        <v>10950717.034466332</v>
      </c>
    </row>
    <row r="269" spans="1:13" x14ac:dyDescent="0.25">
      <c r="A269" s="290">
        <f>'A) Base RI'!A271</f>
        <v>5862</v>
      </c>
      <c r="B269" s="32" t="str">
        <f>'A) Base RI'!B271</f>
        <v>Tartegnin</v>
      </c>
      <c r="C269" s="288">
        <f>'B) D RI'!U271</f>
        <v>10955.91814814815</v>
      </c>
      <c r="D269" s="32">
        <f>'B) D RI'!AA271</f>
        <v>233</v>
      </c>
      <c r="E269" s="205">
        <f t="shared" si="34"/>
        <v>47.021107931966313</v>
      </c>
      <c r="F269" s="364">
        <f t="shared" si="35"/>
        <v>0.99780121453295123</v>
      </c>
      <c r="G269" s="375">
        <f t="shared" si="36"/>
        <v>0</v>
      </c>
      <c r="H269" s="372">
        <f t="shared" si="37"/>
        <v>0</v>
      </c>
      <c r="I269" s="375">
        <f t="shared" si="38"/>
        <v>0</v>
      </c>
      <c r="J269" s="372">
        <f t="shared" si="39"/>
        <v>0</v>
      </c>
      <c r="K269" s="367">
        <f t="shared" si="40"/>
        <v>0</v>
      </c>
      <c r="L269" s="371">
        <f t="shared" si="41"/>
        <v>0</v>
      </c>
      <c r="M269" s="118">
        <f>L269*D269*'B) D RI'!S271</f>
        <v>0</v>
      </c>
    </row>
    <row r="270" spans="1:13" x14ac:dyDescent="0.25">
      <c r="A270" s="290">
        <f>'A) Base RI'!A272</f>
        <v>5863</v>
      </c>
      <c r="B270" s="32" t="str">
        <f>'A) Base RI'!B272</f>
        <v>Vinzel</v>
      </c>
      <c r="C270" s="288">
        <f>'B) D RI'!U272</f>
        <v>17885.432686567161</v>
      </c>
      <c r="D270" s="32">
        <f>'B) D RI'!AA272</f>
        <v>355</v>
      </c>
      <c r="E270" s="205">
        <f t="shared" si="34"/>
        <v>50.381500525541298</v>
      </c>
      <c r="F270" s="364">
        <f t="shared" si="35"/>
        <v>1.0691096961626914</v>
      </c>
      <c r="G270" s="375">
        <f t="shared" si="36"/>
        <v>3.2567754329026215</v>
      </c>
      <c r="H270" s="372">
        <f t="shared" si="37"/>
        <v>0</v>
      </c>
      <c r="I270" s="375">
        <f t="shared" si="38"/>
        <v>0</v>
      </c>
      <c r="J270" s="372">
        <f t="shared" si="39"/>
        <v>0</v>
      </c>
      <c r="K270" s="367">
        <f t="shared" si="40"/>
        <v>0</v>
      </c>
      <c r="L270" s="371">
        <f t="shared" si="41"/>
        <v>0.65135508658052432</v>
      </c>
      <c r="M270" s="118">
        <f>L270*D270*'B) D RI'!S272</f>
        <v>15492.480734317773</v>
      </c>
    </row>
    <row r="271" spans="1:13" x14ac:dyDescent="0.25">
      <c r="A271" s="290">
        <f>'A) Base RI'!A273</f>
        <v>5871</v>
      </c>
      <c r="B271" s="32" t="str">
        <f>'A) Base RI'!B273</f>
        <v>L'Abbaye</v>
      </c>
      <c r="C271" s="288">
        <f>'B) D RI'!U273</f>
        <v>46763.12603092783</v>
      </c>
      <c r="D271" s="32">
        <f>'B) D RI'!AA273</f>
        <v>1481</v>
      </c>
      <c r="E271" s="205">
        <f t="shared" si="34"/>
        <v>31.575372066797993</v>
      </c>
      <c r="F271" s="364">
        <f t="shared" si="35"/>
        <v>0.67003832923643647</v>
      </c>
      <c r="G271" s="375">
        <f t="shared" si="36"/>
        <v>0</v>
      </c>
      <c r="H271" s="372">
        <f t="shared" si="37"/>
        <v>0</v>
      </c>
      <c r="I271" s="375">
        <f t="shared" si="38"/>
        <v>0</v>
      </c>
      <c r="J271" s="372">
        <f t="shared" si="39"/>
        <v>0</v>
      </c>
      <c r="K271" s="367">
        <f t="shared" si="40"/>
        <v>0</v>
      </c>
      <c r="L271" s="371">
        <f t="shared" si="41"/>
        <v>0</v>
      </c>
      <c r="M271" s="118">
        <f>L271*D271*'B) D RI'!S273</f>
        <v>0</v>
      </c>
    </row>
    <row r="272" spans="1:13" x14ac:dyDescent="0.25">
      <c r="A272" s="290">
        <f>'A) Base RI'!A274</f>
        <v>5872</v>
      </c>
      <c r="B272" s="32" t="str">
        <f>'A) Base RI'!B274</f>
        <v>Le Chenit</v>
      </c>
      <c r="C272" s="288">
        <f>'B) D RI'!U274</f>
        <v>269128.75712823507</v>
      </c>
      <c r="D272" s="32">
        <f>'B) D RI'!AA274</f>
        <v>4657</v>
      </c>
      <c r="E272" s="205">
        <f t="shared" si="34"/>
        <v>57.790156136619082</v>
      </c>
      <c r="F272" s="364">
        <f t="shared" si="35"/>
        <v>1.2263234644449192</v>
      </c>
      <c r="G272" s="375">
        <f t="shared" si="36"/>
        <v>10.665431043980405</v>
      </c>
      <c r="H272" s="372">
        <f t="shared" si="37"/>
        <v>1.2404860254526682</v>
      </c>
      <c r="I272" s="375">
        <f t="shared" si="38"/>
        <v>0</v>
      </c>
      <c r="J272" s="372">
        <f t="shared" si="39"/>
        <v>0</v>
      </c>
      <c r="K272" s="367">
        <f t="shared" si="40"/>
        <v>0</v>
      </c>
      <c r="L272" s="371">
        <f t="shared" si="41"/>
        <v>2.2571348113413481</v>
      </c>
      <c r="M272" s="118">
        <f>L272*D272*'B) D RI'!S274</f>
        <v>718879.89947473526</v>
      </c>
    </row>
    <row r="273" spans="1:13" x14ac:dyDescent="0.25">
      <c r="A273" s="290">
        <f>'A) Base RI'!A275</f>
        <v>5873</v>
      </c>
      <c r="B273" s="32" t="str">
        <f>'A) Base RI'!B275</f>
        <v>Le Lieu</v>
      </c>
      <c r="C273" s="288">
        <f>'B) D RI'!U275</f>
        <v>28965.792761904762</v>
      </c>
      <c r="D273" s="32">
        <f>'B) D RI'!AA275</f>
        <v>900</v>
      </c>
      <c r="E273" s="205">
        <f t="shared" si="34"/>
        <v>32.184214179894184</v>
      </c>
      <c r="F273" s="364">
        <f t="shared" si="35"/>
        <v>0.68295813114295834</v>
      </c>
      <c r="G273" s="375">
        <f t="shared" si="36"/>
        <v>0</v>
      </c>
      <c r="H273" s="372">
        <f t="shared" si="37"/>
        <v>0</v>
      </c>
      <c r="I273" s="375">
        <f t="shared" si="38"/>
        <v>0</v>
      </c>
      <c r="J273" s="372">
        <f t="shared" si="39"/>
        <v>0</v>
      </c>
      <c r="K273" s="367">
        <f t="shared" si="40"/>
        <v>0</v>
      </c>
      <c r="L273" s="371">
        <f t="shared" si="41"/>
        <v>0</v>
      </c>
      <c r="M273" s="118">
        <f>L273*D273*'B) D RI'!S275</f>
        <v>0</v>
      </c>
    </row>
    <row r="274" spans="1:13" x14ac:dyDescent="0.25">
      <c r="A274" s="290">
        <f>'A) Base RI'!A276</f>
        <v>5881</v>
      </c>
      <c r="B274" s="32" t="str">
        <f>'A) Base RI'!B276</f>
        <v>Blonay</v>
      </c>
      <c r="C274" s="288">
        <f>'B) D RI'!U276</f>
        <v>355898.72514285718</v>
      </c>
      <c r="D274" s="32">
        <f>'B) D RI'!AA276</f>
        <v>6151</v>
      </c>
      <c r="E274" s="205">
        <f t="shared" si="34"/>
        <v>57.860303225956294</v>
      </c>
      <c r="F274" s="364">
        <f t="shared" si="35"/>
        <v>1.2278120055281683</v>
      </c>
      <c r="G274" s="375">
        <f t="shared" si="36"/>
        <v>10.735578133317617</v>
      </c>
      <c r="H274" s="372">
        <f t="shared" si="37"/>
        <v>1.31063311478988</v>
      </c>
      <c r="I274" s="375">
        <f t="shared" si="38"/>
        <v>0</v>
      </c>
      <c r="J274" s="372">
        <f t="shared" si="39"/>
        <v>0</v>
      </c>
      <c r="K274" s="367">
        <f t="shared" si="40"/>
        <v>0</v>
      </c>
      <c r="L274" s="371">
        <f t="shared" si="41"/>
        <v>2.2781789381425113</v>
      </c>
      <c r="M274" s="118">
        <f>L274*D274*'B) D RI'!S276</f>
        <v>980915.50539602106</v>
      </c>
    </row>
    <row r="275" spans="1:13" x14ac:dyDescent="0.25">
      <c r="A275" s="290">
        <f>'A) Base RI'!A277</f>
        <v>5882</v>
      </c>
      <c r="B275" s="32" t="str">
        <f>'A) Base RI'!B277</f>
        <v>Chardonne</v>
      </c>
      <c r="C275" s="288">
        <f>'B) D RI'!U277</f>
        <v>184082.76117647055</v>
      </c>
      <c r="D275" s="32">
        <f>'B) D RI'!AA277</f>
        <v>3032</v>
      </c>
      <c r="E275" s="205">
        <f t="shared" si="34"/>
        <v>60.713311733664426</v>
      </c>
      <c r="F275" s="364">
        <f t="shared" si="35"/>
        <v>1.2883536532958664</v>
      </c>
      <c r="G275" s="375">
        <f t="shared" si="36"/>
        <v>13.588586641025749</v>
      </c>
      <c r="H275" s="372">
        <f t="shared" si="37"/>
        <v>4.1636416224980124</v>
      </c>
      <c r="I275" s="375">
        <f t="shared" si="38"/>
        <v>0</v>
      </c>
      <c r="J275" s="372">
        <f t="shared" si="39"/>
        <v>0</v>
      </c>
      <c r="K275" s="367">
        <f t="shared" si="40"/>
        <v>0</v>
      </c>
      <c r="L275" s="371">
        <f t="shared" si="41"/>
        <v>3.1340814904549514</v>
      </c>
      <c r="M275" s="118">
        <f>L275*D275*'B) D RI'!S277</f>
        <v>646172.38537604013</v>
      </c>
    </row>
    <row r="276" spans="1:13" x14ac:dyDescent="0.25">
      <c r="A276" s="290">
        <f>'A) Base RI'!A278</f>
        <v>5883</v>
      </c>
      <c r="B276" s="32" t="str">
        <f>'A) Base RI'!B278</f>
        <v>Corseaux</v>
      </c>
      <c r="C276" s="288">
        <f>'B) D RI'!U278</f>
        <v>164555.95811594205</v>
      </c>
      <c r="D276" s="32">
        <f>'B) D RI'!AA278</f>
        <v>2287</v>
      </c>
      <c r="E276" s="205">
        <f t="shared" si="34"/>
        <v>71.952758249209467</v>
      </c>
      <c r="F276" s="364">
        <f t="shared" si="35"/>
        <v>1.5268578884601103</v>
      </c>
      <c r="G276" s="375">
        <f t="shared" si="36"/>
        <v>24.82803315657079</v>
      </c>
      <c r="H276" s="372">
        <f t="shared" si="37"/>
        <v>15.403088138043053</v>
      </c>
      <c r="I276" s="375">
        <f t="shared" si="38"/>
        <v>1.2656706102514477</v>
      </c>
      <c r="J276" s="372">
        <f t="shared" si="39"/>
        <v>0</v>
      </c>
      <c r="K276" s="367">
        <f t="shared" si="40"/>
        <v>0</v>
      </c>
      <c r="L276" s="371">
        <f t="shared" si="41"/>
        <v>6.6324825061436075</v>
      </c>
      <c r="M276" s="118">
        <f>L276*D276*'B) D RI'!S278</f>
        <v>1046625.6369169797</v>
      </c>
    </row>
    <row r="277" spans="1:13" x14ac:dyDescent="0.25">
      <c r="A277" s="290">
        <f>'A) Base RI'!A279</f>
        <v>5884</v>
      </c>
      <c r="B277" s="32" t="str">
        <f>'A) Base RI'!B279</f>
        <v>Corsier-sur-Vevey</v>
      </c>
      <c r="C277" s="288">
        <f>'B) D RI'!U279</f>
        <v>127106.22217171718</v>
      </c>
      <c r="D277" s="32">
        <f>'B) D RI'!AA279</f>
        <v>3363</v>
      </c>
      <c r="E277" s="205">
        <f t="shared" si="34"/>
        <v>37.795486818827591</v>
      </c>
      <c r="F277" s="364">
        <f t="shared" si="35"/>
        <v>0.80203092420228461</v>
      </c>
      <c r="G277" s="375">
        <f t="shared" si="36"/>
        <v>0</v>
      </c>
      <c r="H277" s="372">
        <f t="shared" si="37"/>
        <v>0</v>
      </c>
      <c r="I277" s="375">
        <f t="shared" si="38"/>
        <v>0</v>
      </c>
      <c r="J277" s="372">
        <f t="shared" si="39"/>
        <v>0</v>
      </c>
      <c r="K277" s="367">
        <f t="shared" si="40"/>
        <v>0</v>
      </c>
      <c r="L277" s="371">
        <f t="shared" si="41"/>
        <v>0</v>
      </c>
      <c r="M277" s="118">
        <f>L277*D277*'B) D RI'!S279</f>
        <v>0</v>
      </c>
    </row>
    <row r="278" spans="1:13" x14ac:dyDescent="0.25">
      <c r="A278" s="290">
        <f>'A) Base RI'!A280</f>
        <v>5885</v>
      </c>
      <c r="B278" s="32" t="str">
        <f>'A) Base RI'!B280</f>
        <v>Jongny</v>
      </c>
      <c r="C278" s="288">
        <f>'B) D RI'!U280</f>
        <v>79120.74528169015</v>
      </c>
      <c r="D278" s="32">
        <f>'B) D RI'!AA280</f>
        <v>1544</v>
      </c>
      <c r="E278" s="205">
        <f t="shared" si="34"/>
        <v>51.244006011457351</v>
      </c>
      <c r="F278" s="364">
        <f t="shared" si="35"/>
        <v>1.0874123066123127</v>
      </c>
      <c r="G278" s="375">
        <f t="shared" si="36"/>
        <v>4.1192809188186743</v>
      </c>
      <c r="H278" s="372">
        <f t="shared" si="37"/>
        <v>0</v>
      </c>
      <c r="I278" s="375">
        <f t="shared" si="38"/>
        <v>0</v>
      </c>
      <c r="J278" s="372">
        <f t="shared" si="39"/>
        <v>0</v>
      </c>
      <c r="K278" s="367">
        <f t="shared" si="40"/>
        <v>0</v>
      </c>
      <c r="L278" s="371">
        <f t="shared" si="41"/>
        <v>0.82385618376373493</v>
      </c>
      <c r="M278" s="118">
        <f>L278*D278*'B) D RI'!S280</f>
        <v>90314.410288915678</v>
      </c>
    </row>
    <row r="279" spans="1:13" x14ac:dyDescent="0.25">
      <c r="A279" s="290">
        <f>'A) Base RI'!A281</f>
        <v>5886</v>
      </c>
      <c r="B279" s="32" t="str">
        <f>'A) Base RI'!B281</f>
        <v>Montreux</v>
      </c>
      <c r="C279" s="288">
        <f>'B) D RI'!U281</f>
        <v>1142059.586051282</v>
      </c>
      <c r="D279" s="32">
        <f>'B) D RI'!AA281</f>
        <v>26065</v>
      </c>
      <c r="E279" s="205">
        <f t="shared" si="34"/>
        <v>43.815829121476384</v>
      </c>
      <c r="F279" s="364">
        <f t="shared" si="35"/>
        <v>0.92978429126838191</v>
      </c>
      <c r="G279" s="375">
        <f t="shared" si="36"/>
        <v>0</v>
      </c>
      <c r="H279" s="372">
        <f t="shared" si="37"/>
        <v>0</v>
      </c>
      <c r="I279" s="375">
        <f t="shared" si="38"/>
        <v>0</v>
      </c>
      <c r="J279" s="372">
        <f t="shared" si="39"/>
        <v>0</v>
      </c>
      <c r="K279" s="367">
        <f t="shared" si="40"/>
        <v>0</v>
      </c>
      <c r="L279" s="371">
        <f t="shared" si="41"/>
        <v>0</v>
      </c>
      <c r="M279" s="118">
        <f>L279*D279*'B) D RI'!S281</f>
        <v>0</v>
      </c>
    </row>
    <row r="280" spans="1:13" x14ac:dyDescent="0.25">
      <c r="A280" s="290">
        <f>'A) Base RI'!A282</f>
        <v>5888</v>
      </c>
      <c r="B280" s="32" t="str">
        <f>'A) Base RI'!B282</f>
        <v>Saint-Légier-La Chiésaz</v>
      </c>
      <c r="C280" s="288">
        <f>'B) D RI'!U282</f>
        <v>338249.0701666667</v>
      </c>
      <c r="D280" s="32">
        <f>'B) D RI'!AA282</f>
        <v>5243</v>
      </c>
      <c r="E280" s="205">
        <f t="shared" si="34"/>
        <v>64.514413535507671</v>
      </c>
      <c r="F280" s="364">
        <f t="shared" si="35"/>
        <v>1.3690141090199257</v>
      </c>
      <c r="G280" s="375">
        <f t="shared" si="36"/>
        <v>17.389688442868994</v>
      </c>
      <c r="H280" s="372">
        <f t="shared" si="37"/>
        <v>7.9647434243412576</v>
      </c>
      <c r="I280" s="375">
        <f t="shared" si="38"/>
        <v>0</v>
      </c>
      <c r="J280" s="372">
        <f t="shared" si="39"/>
        <v>0</v>
      </c>
      <c r="K280" s="367">
        <f t="shared" si="40"/>
        <v>0</v>
      </c>
      <c r="L280" s="371">
        <f t="shared" si="41"/>
        <v>4.274412031007925</v>
      </c>
      <c r="M280" s="118">
        <f>L280*D280*'B) D RI'!S282</f>
        <v>1568751.9595002185</v>
      </c>
    </row>
    <row r="281" spans="1:13" x14ac:dyDescent="0.25">
      <c r="A281" s="290">
        <f>'A) Base RI'!A283</f>
        <v>5889</v>
      </c>
      <c r="B281" s="32" t="str">
        <f>'A) Base RI'!B283</f>
        <v>La Tour-de-Peilz</v>
      </c>
      <c r="C281" s="288">
        <f>'B) D RI'!U283</f>
        <v>693156.74124999996</v>
      </c>
      <c r="D281" s="32">
        <f>'B) D RI'!AA283</f>
        <v>11906</v>
      </c>
      <c r="E281" s="205">
        <f t="shared" si="34"/>
        <v>58.219111477406344</v>
      </c>
      <c r="F281" s="364">
        <f t="shared" si="35"/>
        <v>1.235426018145636</v>
      </c>
      <c r="G281" s="375">
        <f t="shared" si="36"/>
        <v>11.094386384767667</v>
      </c>
      <c r="H281" s="372">
        <f t="shared" si="37"/>
        <v>1.6694413662399299</v>
      </c>
      <c r="I281" s="375">
        <f t="shared" si="38"/>
        <v>0</v>
      </c>
      <c r="J281" s="372">
        <f t="shared" si="39"/>
        <v>0</v>
      </c>
      <c r="K281" s="367">
        <f t="shared" si="40"/>
        <v>0</v>
      </c>
      <c r="L281" s="371">
        <f t="shared" si="41"/>
        <v>2.3858214135775264</v>
      </c>
      <c r="M281" s="118">
        <f>L281*D281*'B) D RI'!S283</f>
        <v>1817957.7440034579</v>
      </c>
    </row>
    <row r="282" spans="1:13" x14ac:dyDescent="0.25">
      <c r="A282" s="290">
        <f>'A) Base RI'!A284</f>
        <v>5890</v>
      </c>
      <c r="B282" s="32" t="str">
        <f>'A) Base RI'!B284</f>
        <v>Vevey</v>
      </c>
      <c r="C282" s="288">
        <f>'B) D RI'!U284</f>
        <v>976839.63723684219</v>
      </c>
      <c r="D282" s="32">
        <f>'B) D RI'!AA284</f>
        <v>19871</v>
      </c>
      <c r="E282" s="205">
        <f t="shared" si="34"/>
        <v>49.159057784552473</v>
      </c>
      <c r="F282" s="364">
        <f t="shared" si="35"/>
        <v>1.0431691153192866</v>
      </c>
      <c r="G282" s="375">
        <f t="shared" si="36"/>
        <v>2.0343326919137965</v>
      </c>
      <c r="H282" s="372">
        <f t="shared" si="37"/>
        <v>0</v>
      </c>
      <c r="I282" s="375">
        <f t="shared" si="38"/>
        <v>0</v>
      </c>
      <c r="J282" s="372">
        <f t="shared" si="39"/>
        <v>0</v>
      </c>
      <c r="K282" s="367">
        <f t="shared" si="40"/>
        <v>0</v>
      </c>
      <c r="L282" s="371">
        <f t="shared" si="41"/>
        <v>0.40686653838275932</v>
      </c>
      <c r="M282" s="118">
        <f>L282*D282*'B) D RI'!S284</f>
        <v>614448.21879948967</v>
      </c>
    </row>
    <row r="283" spans="1:13" x14ac:dyDescent="0.25">
      <c r="A283" s="290">
        <f>'A) Base RI'!A285</f>
        <v>5891</v>
      </c>
      <c r="B283" s="32" t="str">
        <f>'A) Base RI'!B285</f>
        <v>Veytaux</v>
      </c>
      <c r="C283" s="288">
        <f>'B) D RI'!U285</f>
        <v>37197.97126760563</v>
      </c>
      <c r="D283" s="32">
        <f>'B) D RI'!AA285</f>
        <v>922</v>
      </c>
      <c r="E283" s="205">
        <f t="shared" si="34"/>
        <v>40.3448712229996</v>
      </c>
      <c r="F283" s="364">
        <f t="shared" si="35"/>
        <v>0.85612958258512684</v>
      </c>
      <c r="G283" s="375">
        <f t="shared" si="36"/>
        <v>0</v>
      </c>
      <c r="H283" s="372">
        <f t="shared" si="37"/>
        <v>0</v>
      </c>
      <c r="I283" s="375">
        <f t="shared" si="38"/>
        <v>0</v>
      </c>
      <c r="J283" s="372">
        <f t="shared" si="39"/>
        <v>0</v>
      </c>
      <c r="K283" s="367">
        <f t="shared" si="40"/>
        <v>0</v>
      </c>
      <c r="L283" s="371">
        <f t="shared" si="41"/>
        <v>0</v>
      </c>
      <c r="M283" s="118">
        <f>L283*D283*'B) D RI'!S285</f>
        <v>0</v>
      </c>
    </row>
    <row r="284" spans="1:13" x14ac:dyDescent="0.25">
      <c r="A284" s="290">
        <f>'A) Base RI'!A286</f>
        <v>5902</v>
      </c>
      <c r="B284" s="32" t="str">
        <f>'A) Base RI'!B286</f>
        <v>Belmont-sur-Yverdon</v>
      </c>
      <c r="C284" s="288">
        <f>'B) D RI'!U286</f>
        <v>10777.690131578949</v>
      </c>
      <c r="D284" s="32">
        <f>'B) D RI'!AA286</f>
        <v>374</v>
      </c>
      <c r="E284" s="205">
        <f t="shared" si="34"/>
        <v>28.817353292991843</v>
      </c>
      <c r="F284" s="364">
        <f t="shared" si="35"/>
        <v>0.61151239049866379</v>
      </c>
      <c r="G284" s="375">
        <f t="shared" si="36"/>
        <v>0</v>
      </c>
      <c r="H284" s="372">
        <f t="shared" si="37"/>
        <v>0</v>
      </c>
      <c r="I284" s="375">
        <f t="shared" si="38"/>
        <v>0</v>
      </c>
      <c r="J284" s="372">
        <f t="shared" si="39"/>
        <v>0</v>
      </c>
      <c r="K284" s="367">
        <f t="shared" si="40"/>
        <v>0</v>
      </c>
      <c r="L284" s="371">
        <f t="shared" si="41"/>
        <v>0</v>
      </c>
      <c r="M284" s="118">
        <f>L284*D284*'B) D RI'!S286</f>
        <v>0</v>
      </c>
    </row>
    <row r="285" spans="1:13" x14ac:dyDescent="0.25">
      <c r="A285" s="290">
        <f>'A) Base RI'!A287</f>
        <v>5903</v>
      </c>
      <c r="B285" s="32" t="str">
        <f>'A) Base RI'!B287</f>
        <v>Bioley-Magnoux</v>
      </c>
      <c r="C285" s="288">
        <f>'B) D RI'!U287</f>
        <v>6482.7722393822396</v>
      </c>
      <c r="D285" s="32">
        <f>'B) D RI'!AA287</f>
        <v>228</v>
      </c>
      <c r="E285" s="205">
        <f t="shared" si="34"/>
        <v>28.433211576237895</v>
      </c>
      <c r="F285" s="364">
        <f t="shared" si="35"/>
        <v>0.60336079457956193</v>
      </c>
      <c r="G285" s="375">
        <f t="shared" si="36"/>
        <v>0</v>
      </c>
      <c r="H285" s="372">
        <f t="shared" si="37"/>
        <v>0</v>
      </c>
      <c r="I285" s="375">
        <f t="shared" si="38"/>
        <v>0</v>
      </c>
      <c r="J285" s="372">
        <f t="shared" si="39"/>
        <v>0</v>
      </c>
      <c r="K285" s="367">
        <f t="shared" si="40"/>
        <v>0</v>
      </c>
      <c r="L285" s="371">
        <f t="shared" si="41"/>
        <v>0</v>
      </c>
      <c r="M285" s="118">
        <f>L285*D285*'B) D RI'!S287</f>
        <v>0</v>
      </c>
    </row>
    <row r="286" spans="1:13" x14ac:dyDescent="0.25">
      <c r="A286" s="290">
        <f>'A) Base RI'!A288</f>
        <v>5904</v>
      </c>
      <c r="B286" s="32" t="str">
        <f>'A) Base RI'!B288</f>
        <v>Chamblon</v>
      </c>
      <c r="C286" s="288">
        <f>'B) D RI'!U288</f>
        <v>21977.410303030305</v>
      </c>
      <c r="D286" s="32">
        <f>'B) D RI'!AA288</f>
        <v>540</v>
      </c>
      <c r="E286" s="205">
        <f t="shared" si="34"/>
        <v>40.698907968574638</v>
      </c>
      <c r="F286" s="364">
        <f t="shared" si="35"/>
        <v>0.86364234249787031</v>
      </c>
      <c r="G286" s="375">
        <f t="shared" si="36"/>
        <v>0</v>
      </c>
      <c r="H286" s="372">
        <f t="shared" si="37"/>
        <v>0</v>
      </c>
      <c r="I286" s="375">
        <f t="shared" si="38"/>
        <v>0</v>
      </c>
      <c r="J286" s="372">
        <f t="shared" si="39"/>
        <v>0</v>
      </c>
      <c r="K286" s="367">
        <f t="shared" si="40"/>
        <v>0</v>
      </c>
      <c r="L286" s="371">
        <f t="shared" si="41"/>
        <v>0</v>
      </c>
      <c r="M286" s="118">
        <f>L286*D286*'B) D RI'!S288</f>
        <v>0</v>
      </c>
    </row>
    <row r="287" spans="1:13" x14ac:dyDescent="0.25">
      <c r="A287" s="290">
        <f>'A) Base RI'!A289</f>
        <v>5905</v>
      </c>
      <c r="B287" s="32" t="str">
        <f>'A) Base RI'!B289</f>
        <v>Champvent</v>
      </c>
      <c r="C287" s="288">
        <f>'B) D RI'!U289</f>
        <v>23661.341690140842</v>
      </c>
      <c r="D287" s="32">
        <f>'B) D RI'!AA289</f>
        <v>689</v>
      </c>
      <c r="E287" s="205">
        <f t="shared" si="34"/>
        <v>34.341569942149263</v>
      </c>
      <c r="F287" s="364">
        <f t="shared" si="35"/>
        <v>0.72873783082320276</v>
      </c>
      <c r="G287" s="375">
        <f t="shared" si="36"/>
        <v>0</v>
      </c>
      <c r="H287" s="372">
        <f t="shared" si="37"/>
        <v>0</v>
      </c>
      <c r="I287" s="375">
        <f t="shared" si="38"/>
        <v>0</v>
      </c>
      <c r="J287" s="372">
        <f t="shared" si="39"/>
        <v>0</v>
      </c>
      <c r="K287" s="367">
        <f t="shared" si="40"/>
        <v>0</v>
      </c>
      <c r="L287" s="371">
        <f t="shared" si="41"/>
        <v>0</v>
      </c>
      <c r="M287" s="118">
        <f>L287*D287*'B) D RI'!S289</f>
        <v>0</v>
      </c>
    </row>
    <row r="288" spans="1:13" x14ac:dyDescent="0.25">
      <c r="A288" s="290">
        <f>'A) Base RI'!A290</f>
        <v>5907</v>
      </c>
      <c r="B288" s="32" t="str">
        <f>'A) Base RI'!B290</f>
        <v>Chavannes-le-Chêne</v>
      </c>
      <c r="C288" s="288">
        <f>'B) D RI'!U290</f>
        <v>9481.5466666666634</v>
      </c>
      <c r="D288" s="32">
        <f>'B) D RI'!AA290</f>
        <v>311</v>
      </c>
      <c r="E288" s="205">
        <f t="shared" si="34"/>
        <v>30.487288317256152</v>
      </c>
      <c r="F288" s="364">
        <f t="shared" si="35"/>
        <v>0.64694888420725349</v>
      </c>
      <c r="G288" s="375">
        <f t="shared" si="36"/>
        <v>0</v>
      </c>
      <c r="H288" s="372">
        <f t="shared" si="37"/>
        <v>0</v>
      </c>
      <c r="I288" s="375">
        <f t="shared" si="38"/>
        <v>0</v>
      </c>
      <c r="J288" s="372">
        <f t="shared" si="39"/>
        <v>0</v>
      </c>
      <c r="K288" s="367">
        <f t="shared" si="40"/>
        <v>0</v>
      </c>
      <c r="L288" s="371">
        <f t="shared" si="41"/>
        <v>0</v>
      </c>
      <c r="M288" s="118">
        <f>L288*D288*'B) D RI'!S290</f>
        <v>0</v>
      </c>
    </row>
    <row r="289" spans="1:13" x14ac:dyDescent="0.25">
      <c r="A289" s="290">
        <f>'A) Base RI'!A291</f>
        <v>5908</v>
      </c>
      <c r="B289" s="32" t="str">
        <f>'A) Base RI'!B291</f>
        <v>Chêne-Pâquier</v>
      </c>
      <c r="C289" s="288">
        <f>'B) D RI'!U291</f>
        <v>3375.4056962025325</v>
      </c>
      <c r="D289" s="32">
        <f>'B) D RI'!AA291</f>
        <v>153</v>
      </c>
      <c r="E289" s="205">
        <f t="shared" si="34"/>
        <v>22.061475138578643</v>
      </c>
      <c r="F289" s="364">
        <f t="shared" si="35"/>
        <v>0.46815074454460537</v>
      </c>
      <c r="G289" s="375">
        <f t="shared" si="36"/>
        <v>0</v>
      </c>
      <c r="H289" s="372">
        <f t="shared" si="37"/>
        <v>0</v>
      </c>
      <c r="I289" s="375">
        <f t="shared" si="38"/>
        <v>0</v>
      </c>
      <c r="J289" s="372">
        <f t="shared" si="39"/>
        <v>0</v>
      </c>
      <c r="K289" s="367">
        <f t="shared" si="40"/>
        <v>0</v>
      </c>
      <c r="L289" s="371">
        <f t="shared" si="41"/>
        <v>0</v>
      </c>
      <c r="M289" s="118">
        <f>L289*D289*'B) D RI'!S291</f>
        <v>0</v>
      </c>
    </row>
    <row r="290" spans="1:13" x14ac:dyDescent="0.25">
      <c r="A290" s="290">
        <f>'A) Base RI'!A292</f>
        <v>5909</v>
      </c>
      <c r="B290" s="32" t="str">
        <f>'A) Base RI'!B292</f>
        <v>Cheseaux-Noréaz</v>
      </c>
      <c r="C290" s="288">
        <f>'B) D RI'!U292</f>
        <v>32349.342000000001</v>
      </c>
      <c r="D290" s="32">
        <f>'B) D RI'!AA292</f>
        <v>725</v>
      </c>
      <c r="E290" s="205">
        <f t="shared" si="34"/>
        <v>44.61978206896552</v>
      </c>
      <c r="F290" s="364">
        <f t="shared" si="35"/>
        <v>0.94684440028564854</v>
      </c>
      <c r="G290" s="375">
        <f t="shared" si="36"/>
        <v>0</v>
      </c>
      <c r="H290" s="372">
        <f t="shared" si="37"/>
        <v>0</v>
      </c>
      <c r="I290" s="375">
        <f t="shared" si="38"/>
        <v>0</v>
      </c>
      <c r="J290" s="372">
        <f t="shared" si="39"/>
        <v>0</v>
      </c>
      <c r="K290" s="367">
        <f t="shared" si="40"/>
        <v>0</v>
      </c>
      <c r="L290" s="371">
        <f t="shared" si="41"/>
        <v>0</v>
      </c>
      <c r="M290" s="118">
        <f>L290*D290*'B) D RI'!S292</f>
        <v>0</v>
      </c>
    </row>
    <row r="291" spans="1:13" x14ac:dyDescent="0.25">
      <c r="A291" s="290">
        <f>'A) Base RI'!A293</f>
        <v>5910</v>
      </c>
      <c r="B291" s="32" t="str">
        <f>'A) Base RI'!B293</f>
        <v>Cronay</v>
      </c>
      <c r="C291" s="288">
        <f>'B) D RI'!U293</f>
        <v>10200.577848101264</v>
      </c>
      <c r="D291" s="32">
        <f>'B) D RI'!AA293</f>
        <v>394</v>
      </c>
      <c r="E291" s="205">
        <f t="shared" si="34"/>
        <v>25.889791492642804</v>
      </c>
      <c r="F291" s="364">
        <f t="shared" si="35"/>
        <v>0.54938870076691504</v>
      </c>
      <c r="G291" s="375">
        <f t="shared" si="36"/>
        <v>0</v>
      </c>
      <c r="H291" s="372">
        <f t="shared" si="37"/>
        <v>0</v>
      </c>
      <c r="I291" s="375">
        <f t="shared" si="38"/>
        <v>0</v>
      </c>
      <c r="J291" s="372">
        <f t="shared" si="39"/>
        <v>0</v>
      </c>
      <c r="K291" s="367">
        <f t="shared" si="40"/>
        <v>0</v>
      </c>
      <c r="L291" s="371">
        <f t="shared" si="41"/>
        <v>0</v>
      </c>
      <c r="M291" s="118">
        <f>L291*D291*'B) D RI'!S293</f>
        <v>0</v>
      </c>
    </row>
    <row r="292" spans="1:13" x14ac:dyDescent="0.25">
      <c r="A292" s="290">
        <f>'A) Base RI'!A294</f>
        <v>5911</v>
      </c>
      <c r="B292" s="32" t="str">
        <f>'A) Base RI'!B294</f>
        <v>Cuarny</v>
      </c>
      <c r="C292" s="288">
        <f>'B) D RI'!U294</f>
        <v>7836.9853164556971</v>
      </c>
      <c r="D292" s="32">
        <f>'B) D RI'!AA294</f>
        <v>239</v>
      </c>
      <c r="E292" s="205">
        <f t="shared" si="34"/>
        <v>32.790733541655634</v>
      </c>
      <c r="F292" s="364">
        <f t="shared" si="35"/>
        <v>0.69582864360895447</v>
      </c>
      <c r="G292" s="375">
        <f t="shared" si="36"/>
        <v>0</v>
      </c>
      <c r="H292" s="372">
        <f t="shared" si="37"/>
        <v>0</v>
      </c>
      <c r="I292" s="375">
        <f t="shared" si="38"/>
        <v>0</v>
      </c>
      <c r="J292" s="372">
        <f t="shared" si="39"/>
        <v>0</v>
      </c>
      <c r="K292" s="367">
        <f t="shared" si="40"/>
        <v>0</v>
      </c>
      <c r="L292" s="371">
        <f t="shared" si="41"/>
        <v>0</v>
      </c>
      <c r="M292" s="118">
        <f>L292*D292*'B) D RI'!S294</f>
        <v>0</v>
      </c>
    </row>
    <row r="293" spans="1:13" x14ac:dyDescent="0.25">
      <c r="A293" s="290">
        <f>'A) Base RI'!A295</f>
        <v>5912</v>
      </c>
      <c r="B293" s="32" t="str">
        <f>'A) Base RI'!B295</f>
        <v>Démoret</v>
      </c>
      <c r="C293" s="288">
        <f>'B) D RI'!U295</f>
        <v>3965.4814814814822</v>
      </c>
      <c r="D293" s="32">
        <f>'B) D RI'!AA295</f>
        <v>156</v>
      </c>
      <c r="E293" s="205">
        <f t="shared" si="34"/>
        <v>25.419753086419757</v>
      </c>
      <c r="F293" s="364">
        <f t="shared" si="35"/>
        <v>0.5394143527935521</v>
      </c>
      <c r="G293" s="375">
        <f t="shared" si="36"/>
        <v>0</v>
      </c>
      <c r="H293" s="372">
        <f t="shared" si="37"/>
        <v>0</v>
      </c>
      <c r="I293" s="375">
        <f t="shared" si="38"/>
        <v>0</v>
      </c>
      <c r="J293" s="372">
        <f t="shared" si="39"/>
        <v>0</v>
      </c>
      <c r="K293" s="367">
        <f t="shared" si="40"/>
        <v>0</v>
      </c>
      <c r="L293" s="371">
        <f t="shared" si="41"/>
        <v>0</v>
      </c>
      <c r="M293" s="118">
        <f>L293*D293*'B) D RI'!S295</f>
        <v>0</v>
      </c>
    </row>
    <row r="294" spans="1:13" x14ac:dyDescent="0.25">
      <c r="A294" s="290">
        <f>'A) Base RI'!A296</f>
        <v>5913</v>
      </c>
      <c r="B294" s="32" t="str">
        <f>'A) Base RI'!B296</f>
        <v>Donneloye</v>
      </c>
      <c r="C294" s="288">
        <f>'B) D RI'!U296</f>
        <v>21603.148082191776</v>
      </c>
      <c r="D294" s="32">
        <f>'B) D RI'!AA296</f>
        <v>823</v>
      </c>
      <c r="E294" s="205">
        <f t="shared" si="34"/>
        <v>26.249268629637637</v>
      </c>
      <c r="F294" s="364">
        <f t="shared" si="35"/>
        <v>0.5570169073248985</v>
      </c>
      <c r="G294" s="375">
        <f t="shared" si="36"/>
        <v>0</v>
      </c>
      <c r="H294" s="372">
        <f t="shared" si="37"/>
        <v>0</v>
      </c>
      <c r="I294" s="375">
        <f t="shared" si="38"/>
        <v>0</v>
      </c>
      <c r="J294" s="372">
        <f t="shared" si="39"/>
        <v>0</v>
      </c>
      <c r="K294" s="367">
        <f t="shared" si="40"/>
        <v>0</v>
      </c>
      <c r="L294" s="371">
        <f t="shared" si="41"/>
        <v>0</v>
      </c>
      <c r="M294" s="118">
        <f>L294*D294*'B) D RI'!S296</f>
        <v>0</v>
      </c>
    </row>
    <row r="295" spans="1:13" x14ac:dyDescent="0.25">
      <c r="A295" s="290">
        <f>'A) Base RI'!A297</f>
        <v>5914</v>
      </c>
      <c r="B295" s="32" t="str">
        <f>'A) Base RI'!B297</f>
        <v>Ependes</v>
      </c>
      <c r="C295" s="288">
        <f>'B) D RI'!U297</f>
        <v>10115.447866666666</v>
      </c>
      <c r="D295" s="32">
        <f>'B) D RI'!AA297</f>
        <v>357</v>
      </c>
      <c r="E295" s="205">
        <f t="shared" si="34"/>
        <v>28.334587861811389</v>
      </c>
      <c r="F295" s="364">
        <f t="shared" si="35"/>
        <v>0.60126797145470279</v>
      </c>
      <c r="G295" s="375">
        <f t="shared" si="36"/>
        <v>0</v>
      </c>
      <c r="H295" s="372">
        <f t="shared" si="37"/>
        <v>0</v>
      </c>
      <c r="I295" s="375">
        <f t="shared" si="38"/>
        <v>0</v>
      </c>
      <c r="J295" s="372">
        <f t="shared" si="39"/>
        <v>0</v>
      </c>
      <c r="K295" s="367">
        <f t="shared" si="40"/>
        <v>0</v>
      </c>
      <c r="L295" s="371">
        <f t="shared" si="41"/>
        <v>0</v>
      </c>
      <c r="M295" s="118">
        <f>L295*D295*'B) D RI'!S297</f>
        <v>0</v>
      </c>
    </row>
    <row r="296" spans="1:13" x14ac:dyDescent="0.25">
      <c r="A296" s="290">
        <f>'A) Base RI'!A298</f>
        <v>5919</v>
      </c>
      <c r="B296" s="32" t="str">
        <f>'A) Base RI'!B298</f>
        <v>Mathod</v>
      </c>
      <c r="C296" s="288">
        <f>'B) D RI'!U298</f>
        <v>17475.442962962959</v>
      </c>
      <c r="D296" s="32">
        <f>'B) D RI'!AA298</f>
        <v>601</v>
      </c>
      <c r="E296" s="205">
        <f t="shared" si="34"/>
        <v>29.077276144697105</v>
      </c>
      <c r="F296" s="364">
        <f t="shared" si="35"/>
        <v>0.61702802695477688</v>
      </c>
      <c r="G296" s="375">
        <f t="shared" si="36"/>
        <v>0</v>
      </c>
      <c r="H296" s="372">
        <f t="shared" si="37"/>
        <v>0</v>
      </c>
      <c r="I296" s="375">
        <f t="shared" si="38"/>
        <v>0</v>
      </c>
      <c r="J296" s="372">
        <f t="shared" si="39"/>
        <v>0</v>
      </c>
      <c r="K296" s="367">
        <f t="shared" si="40"/>
        <v>0</v>
      </c>
      <c r="L296" s="371">
        <f t="shared" si="41"/>
        <v>0</v>
      </c>
      <c r="M296" s="118">
        <f>L296*D296*'B) D RI'!S298</f>
        <v>0</v>
      </c>
    </row>
    <row r="297" spans="1:13" x14ac:dyDescent="0.25">
      <c r="A297" s="290">
        <f>'A) Base RI'!A299</f>
        <v>5921</v>
      </c>
      <c r="B297" s="32" t="str">
        <f>'A) Base RI'!B299</f>
        <v>Molondin</v>
      </c>
      <c r="C297" s="288">
        <f>'B) D RI'!U299</f>
        <v>5665.6146913580242</v>
      </c>
      <c r="D297" s="32">
        <f>'B) D RI'!AA299</f>
        <v>240</v>
      </c>
      <c r="E297" s="205">
        <f t="shared" si="34"/>
        <v>23.606727880658433</v>
      </c>
      <c r="F297" s="364">
        <f t="shared" si="35"/>
        <v>0.50094144494746395</v>
      </c>
      <c r="G297" s="375">
        <f t="shared" si="36"/>
        <v>0</v>
      </c>
      <c r="H297" s="372">
        <f t="shared" si="37"/>
        <v>0</v>
      </c>
      <c r="I297" s="375">
        <f t="shared" si="38"/>
        <v>0</v>
      </c>
      <c r="J297" s="372">
        <f t="shared" si="39"/>
        <v>0</v>
      </c>
      <c r="K297" s="367">
        <f t="shared" si="40"/>
        <v>0</v>
      </c>
      <c r="L297" s="371">
        <f t="shared" si="41"/>
        <v>0</v>
      </c>
      <c r="M297" s="118">
        <f>L297*D297*'B) D RI'!S299</f>
        <v>0</v>
      </c>
    </row>
    <row r="298" spans="1:13" x14ac:dyDescent="0.25">
      <c r="A298" s="290">
        <f>'A) Base RI'!A300</f>
        <v>5922</v>
      </c>
      <c r="B298" s="32" t="str">
        <f>'A) Base RI'!B300</f>
        <v>Montagny-près-Yverdon</v>
      </c>
      <c r="C298" s="288">
        <f>'B) D RI'!U300</f>
        <v>37619.371576923077</v>
      </c>
      <c r="D298" s="32">
        <f>'B) D RI'!AA300</f>
        <v>747</v>
      </c>
      <c r="E298" s="205">
        <f t="shared" si="34"/>
        <v>50.360604520646689</v>
      </c>
      <c r="F298" s="364">
        <f t="shared" si="35"/>
        <v>1.0686662770264836</v>
      </c>
      <c r="G298" s="375">
        <f t="shared" si="36"/>
        <v>3.2358794280080119</v>
      </c>
      <c r="H298" s="372">
        <f t="shared" si="37"/>
        <v>0</v>
      </c>
      <c r="I298" s="375">
        <f t="shared" si="38"/>
        <v>0</v>
      </c>
      <c r="J298" s="372">
        <f t="shared" si="39"/>
        <v>0</v>
      </c>
      <c r="K298" s="367">
        <f t="shared" si="40"/>
        <v>0</v>
      </c>
      <c r="L298" s="371">
        <f t="shared" si="41"/>
        <v>0.64717588560160244</v>
      </c>
      <c r="M298" s="118">
        <f>L298*D298*'B) D RI'!S300</f>
        <v>31423.625125385806</v>
      </c>
    </row>
    <row r="299" spans="1:13" x14ac:dyDescent="0.25">
      <c r="A299" s="290">
        <f>'A) Base RI'!A301</f>
        <v>5923</v>
      </c>
      <c r="B299" s="32" t="str">
        <f>'A) Base RI'!B301</f>
        <v>Oppens</v>
      </c>
      <c r="C299" s="288">
        <f>'B) D RI'!U301</f>
        <v>5399.502592592592</v>
      </c>
      <c r="D299" s="32">
        <f>'B) D RI'!AA301</f>
        <v>202</v>
      </c>
      <c r="E299" s="205">
        <f t="shared" si="34"/>
        <v>26.730210854418772</v>
      </c>
      <c r="F299" s="364">
        <f t="shared" si="35"/>
        <v>0.56722263741320544</v>
      </c>
      <c r="G299" s="375">
        <f t="shared" si="36"/>
        <v>0</v>
      </c>
      <c r="H299" s="372">
        <f t="shared" si="37"/>
        <v>0</v>
      </c>
      <c r="I299" s="375">
        <f t="shared" si="38"/>
        <v>0</v>
      </c>
      <c r="J299" s="372">
        <f t="shared" si="39"/>
        <v>0</v>
      </c>
      <c r="K299" s="367">
        <f t="shared" si="40"/>
        <v>0</v>
      </c>
      <c r="L299" s="371">
        <f t="shared" si="41"/>
        <v>0</v>
      </c>
      <c r="M299" s="118">
        <f>L299*D299*'B) D RI'!S301</f>
        <v>0</v>
      </c>
    </row>
    <row r="300" spans="1:13" x14ac:dyDescent="0.25">
      <c r="A300" s="290">
        <f>'A) Base RI'!A302</f>
        <v>5924</v>
      </c>
      <c r="B300" s="32" t="str">
        <f>'A) Base RI'!B302</f>
        <v>Orges</v>
      </c>
      <c r="C300" s="288">
        <f>'B) D RI'!U302</f>
        <v>11911.353243243244</v>
      </c>
      <c r="D300" s="32">
        <f>'B) D RI'!AA302</f>
        <v>332</v>
      </c>
      <c r="E300" s="205">
        <f t="shared" si="34"/>
        <v>35.87757000976881</v>
      </c>
      <c r="F300" s="364">
        <f t="shared" si="35"/>
        <v>0.76133218685605075</v>
      </c>
      <c r="G300" s="375">
        <f t="shared" si="36"/>
        <v>0</v>
      </c>
      <c r="H300" s="372">
        <f t="shared" si="37"/>
        <v>0</v>
      </c>
      <c r="I300" s="375">
        <f t="shared" si="38"/>
        <v>0</v>
      </c>
      <c r="J300" s="372">
        <f t="shared" si="39"/>
        <v>0</v>
      </c>
      <c r="K300" s="367">
        <f t="shared" si="40"/>
        <v>0</v>
      </c>
      <c r="L300" s="371">
        <f t="shared" si="41"/>
        <v>0</v>
      </c>
      <c r="M300" s="118">
        <f>L300*D300*'B) D RI'!S302</f>
        <v>0</v>
      </c>
    </row>
    <row r="301" spans="1:13" x14ac:dyDescent="0.25">
      <c r="A301" s="290">
        <f>'A) Base RI'!A303</f>
        <v>5925</v>
      </c>
      <c r="B301" s="32" t="str">
        <f>'A) Base RI'!B303</f>
        <v>Orzens</v>
      </c>
      <c r="C301" s="288">
        <f>'B) D RI'!U303</f>
        <v>5348.3883544303808</v>
      </c>
      <c r="D301" s="32">
        <f>'B) D RI'!AA303</f>
        <v>208</v>
      </c>
      <c r="E301" s="205">
        <f t="shared" si="34"/>
        <v>25.71340555014606</v>
      </c>
      <c r="F301" s="364">
        <f t="shared" si="35"/>
        <v>0.54564574116025422</v>
      </c>
      <c r="G301" s="375">
        <f t="shared" si="36"/>
        <v>0</v>
      </c>
      <c r="H301" s="372">
        <f t="shared" si="37"/>
        <v>0</v>
      </c>
      <c r="I301" s="375">
        <f t="shared" si="38"/>
        <v>0</v>
      </c>
      <c r="J301" s="372">
        <f t="shared" si="39"/>
        <v>0</v>
      </c>
      <c r="K301" s="367">
        <f t="shared" si="40"/>
        <v>0</v>
      </c>
      <c r="L301" s="371">
        <f t="shared" si="41"/>
        <v>0</v>
      </c>
      <c r="M301" s="118">
        <f>L301*D301*'B) D RI'!S303</f>
        <v>0</v>
      </c>
    </row>
    <row r="302" spans="1:13" x14ac:dyDescent="0.25">
      <c r="A302" s="290">
        <f>'A) Base RI'!A304</f>
        <v>5926</v>
      </c>
      <c r="B302" s="32" t="str">
        <f>'A) Base RI'!B304</f>
        <v>Pomy</v>
      </c>
      <c r="C302" s="288">
        <f>'B) D RI'!U304</f>
        <v>27563.954929577467</v>
      </c>
      <c r="D302" s="32">
        <f>'B) D RI'!AA304</f>
        <v>793</v>
      </c>
      <c r="E302" s="205">
        <f t="shared" si="34"/>
        <v>34.759085661510049</v>
      </c>
      <c r="F302" s="364">
        <f t="shared" si="35"/>
        <v>0.7375976325205077</v>
      </c>
      <c r="G302" s="375">
        <f t="shared" si="36"/>
        <v>0</v>
      </c>
      <c r="H302" s="372">
        <f t="shared" si="37"/>
        <v>0</v>
      </c>
      <c r="I302" s="375">
        <f t="shared" si="38"/>
        <v>0</v>
      </c>
      <c r="J302" s="372">
        <f t="shared" si="39"/>
        <v>0</v>
      </c>
      <c r="K302" s="367">
        <f t="shared" si="40"/>
        <v>0</v>
      </c>
      <c r="L302" s="371">
        <f t="shared" si="41"/>
        <v>0</v>
      </c>
      <c r="M302" s="118">
        <f>L302*D302*'B) D RI'!S304</f>
        <v>0</v>
      </c>
    </row>
    <row r="303" spans="1:13" x14ac:dyDescent="0.25">
      <c r="A303" s="290">
        <f>'A) Base RI'!A305</f>
        <v>5928</v>
      </c>
      <c r="B303" s="32" t="str">
        <f>'A) Base RI'!B305</f>
        <v>Rovray</v>
      </c>
      <c r="C303" s="288">
        <f>'B) D RI'!U305</f>
        <v>6002.0193150684927</v>
      </c>
      <c r="D303" s="32">
        <f>'B) D RI'!AA305</f>
        <v>185</v>
      </c>
      <c r="E303" s="205">
        <f t="shared" si="34"/>
        <v>32.443347649018882</v>
      </c>
      <c r="F303" s="364">
        <f t="shared" si="35"/>
        <v>0.68845701667736281</v>
      </c>
      <c r="G303" s="375">
        <f t="shared" si="36"/>
        <v>0</v>
      </c>
      <c r="H303" s="372">
        <f t="shared" si="37"/>
        <v>0</v>
      </c>
      <c r="I303" s="375">
        <f t="shared" si="38"/>
        <v>0</v>
      </c>
      <c r="J303" s="372">
        <f t="shared" si="39"/>
        <v>0</v>
      </c>
      <c r="K303" s="367">
        <f t="shared" si="40"/>
        <v>0</v>
      </c>
      <c r="L303" s="371">
        <f t="shared" si="41"/>
        <v>0</v>
      </c>
      <c r="M303" s="118">
        <f>L303*D303*'B) D RI'!S305</f>
        <v>0</v>
      </c>
    </row>
    <row r="304" spans="1:13" x14ac:dyDescent="0.25">
      <c r="A304" s="290">
        <f>'A) Base RI'!A306</f>
        <v>5929</v>
      </c>
      <c r="B304" s="32" t="str">
        <f>'A) Base RI'!B306</f>
        <v>Suchy</v>
      </c>
      <c r="C304" s="288">
        <f>'B) D RI'!U306</f>
        <v>17258.460214285715</v>
      </c>
      <c r="D304" s="32">
        <f>'B) D RI'!AA306</f>
        <v>645</v>
      </c>
      <c r="E304" s="205">
        <f t="shared" si="34"/>
        <v>26.757302657807308</v>
      </c>
      <c r="F304" s="364">
        <f t="shared" si="35"/>
        <v>0.56779753314650205</v>
      </c>
      <c r="G304" s="375">
        <f t="shared" si="36"/>
        <v>0</v>
      </c>
      <c r="H304" s="372">
        <f t="shared" si="37"/>
        <v>0</v>
      </c>
      <c r="I304" s="375">
        <f t="shared" si="38"/>
        <v>0</v>
      </c>
      <c r="J304" s="372">
        <f t="shared" si="39"/>
        <v>0</v>
      </c>
      <c r="K304" s="367">
        <f t="shared" si="40"/>
        <v>0</v>
      </c>
      <c r="L304" s="371">
        <f t="shared" si="41"/>
        <v>0</v>
      </c>
      <c r="M304" s="118">
        <f>L304*D304*'B) D RI'!S306</f>
        <v>0</v>
      </c>
    </row>
    <row r="305" spans="1:13" x14ac:dyDescent="0.25">
      <c r="A305" s="290">
        <f>'A) Base RI'!A307</f>
        <v>5930</v>
      </c>
      <c r="B305" s="32" t="str">
        <f>'A) Base RI'!B307</f>
        <v>Suscévaz</v>
      </c>
      <c r="C305" s="288">
        <f>'B) D RI'!U307</f>
        <v>5852.6869444444428</v>
      </c>
      <c r="D305" s="32">
        <f>'B) D RI'!AA307</f>
        <v>215</v>
      </c>
      <c r="E305" s="205">
        <f t="shared" si="34"/>
        <v>27.221799741602059</v>
      </c>
      <c r="F305" s="364">
        <f t="shared" si="35"/>
        <v>0.57765429269006729</v>
      </c>
      <c r="G305" s="375">
        <f t="shared" si="36"/>
        <v>0</v>
      </c>
      <c r="H305" s="372">
        <f t="shared" si="37"/>
        <v>0</v>
      </c>
      <c r="I305" s="375">
        <f t="shared" si="38"/>
        <v>0</v>
      </c>
      <c r="J305" s="372">
        <f t="shared" si="39"/>
        <v>0</v>
      </c>
      <c r="K305" s="367">
        <f t="shared" si="40"/>
        <v>0</v>
      </c>
      <c r="L305" s="371">
        <f t="shared" si="41"/>
        <v>0</v>
      </c>
      <c r="M305" s="118">
        <f>L305*D305*'B) D RI'!S307</f>
        <v>0</v>
      </c>
    </row>
    <row r="306" spans="1:13" x14ac:dyDescent="0.25">
      <c r="A306" s="290">
        <f>'A) Base RI'!A308</f>
        <v>5931</v>
      </c>
      <c r="B306" s="32" t="str">
        <f>'A) Base RI'!B308</f>
        <v>Treycovagnes</v>
      </c>
      <c r="C306" s="288">
        <f>'B) D RI'!U308</f>
        <v>12202.115733333332</v>
      </c>
      <c r="D306" s="32">
        <f>'B) D RI'!AA308</f>
        <v>492</v>
      </c>
      <c r="E306" s="205">
        <f t="shared" si="34"/>
        <v>24.801048238482384</v>
      </c>
      <c r="F306" s="364">
        <f t="shared" si="35"/>
        <v>0.52628526086312466</v>
      </c>
      <c r="G306" s="375">
        <f t="shared" si="36"/>
        <v>0</v>
      </c>
      <c r="H306" s="372">
        <f t="shared" si="37"/>
        <v>0</v>
      </c>
      <c r="I306" s="375">
        <f t="shared" si="38"/>
        <v>0</v>
      </c>
      <c r="J306" s="372">
        <f t="shared" si="39"/>
        <v>0</v>
      </c>
      <c r="K306" s="367">
        <f t="shared" si="40"/>
        <v>0</v>
      </c>
      <c r="L306" s="371">
        <f t="shared" si="41"/>
        <v>0</v>
      </c>
      <c r="M306" s="118">
        <f>L306*D306*'B) D RI'!S308</f>
        <v>0</v>
      </c>
    </row>
    <row r="307" spans="1:13" x14ac:dyDescent="0.25">
      <c r="A307" s="290">
        <f>'A) Base RI'!A309</f>
        <v>5932</v>
      </c>
      <c r="B307" s="32" t="str">
        <f>'A) Base RI'!B309</f>
        <v>Ursins</v>
      </c>
      <c r="C307" s="288">
        <f>'B) D RI'!U309</f>
        <v>8278.3758441558457</v>
      </c>
      <c r="D307" s="32">
        <f>'B) D RI'!AA309</f>
        <v>225</v>
      </c>
      <c r="E307" s="205">
        <f t="shared" si="34"/>
        <v>36.792781529581539</v>
      </c>
      <c r="F307" s="364">
        <f t="shared" si="35"/>
        <v>0.78075323425767673</v>
      </c>
      <c r="G307" s="375">
        <f t="shared" si="36"/>
        <v>0</v>
      </c>
      <c r="H307" s="372">
        <f t="shared" si="37"/>
        <v>0</v>
      </c>
      <c r="I307" s="375">
        <f t="shared" si="38"/>
        <v>0</v>
      </c>
      <c r="J307" s="372">
        <f t="shared" si="39"/>
        <v>0</v>
      </c>
      <c r="K307" s="367">
        <f t="shared" si="40"/>
        <v>0</v>
      </c>
      <c r="L307" s="371">
        <f t="shared" si="41"/>
        <v>0</v>
      </c>
      <c r="M307" s="118">
        <f>L307*D307*'B) D RI'!S309</f>
        <v>0</v>
      </c>
    </row>
    <row r="308" spans="1:13" x14ac:dyDescent="0.25">
      <c r="A308" s="290">
        <f>'A) Base RI'!A310</f>
        <v>5933</v>
      </c>
      <c r="B308" s="32" t="str">
        <f>'A) Base RI'!B310</f>
        <v>Valeyres-sous-Montagny</v>
      </c>
      <c r="C308" s="288">
        <f>'B) D RI'!U310</f>
        <v>22135.641944444447</v>
      </c>
      <c r="D308" s="32">
        <f>'B) D RI'!AA310</f>
        <v>709</v>
      </c>
      <c r="E308" s="205">
        <f t="shared" si="34"/>
        <v>31.220933631092308</v>
      </c>
      <c r="F308" s="364">
        <f t="shared" si="35"/>
        <v>0.66251704534546574</v>
      </c>
      <c r="G308" s="375">
        <f t="shared" si="36"/>
        <v>0</v>
      </c>
      <c r="H308" s="372">
        <f t="shared" si="37"/>
        <v>0</v>
      </c>
      <c r="I308" s="375">
        <f t="shared" si="38"/>
        <v>0</v>
      </c>
      <c r="J308" s="372">
        <f t="shared" si="39"/>
        <v>0</v>
      </c>
      <c r="K308" s="367">
        <f t="shared" si="40"/>
        <v>0</v>
      </c>
      <c r="L308" s="371">
        <f t="shared" si="41"/>
        <v>0</v>
      </c>
      <c r="M308" s="118">
        <f>L308*D308*'B) D RI'!S310</f>
        <v>0</v>
      </c>
    </row>
    <row r="309" spans="1:13" x14ac:dyDescent="0.25">
      <c r="A309" s="290">
        <f>'A) Base RI'!A311</f>
        <v>5934</v>
      </c>
      <c r="B309" s="32" t="str">
        <f>'A) Base RI'!B311</f>
        <v>Valeyres-sous-Ursins</v>
      </c>
      <c r="C309" s="288">
        <f>'B) D RI'!U311</f>
        <v>7563.0520253164568</v>
      </c>
      <c r="D309" s="32">
        <f>'B) D RI'!AA311</f>
        <v>227</v>
      </c>
      <c r="E309" s="205">
        <f t="shared" si="34"/>
        <v>33.317409803156195</v>
      </c>
      <c r="F309" s="364">
        <f t="shared" si="35"/>
        <v>0.70700486289649855</v>
      </c>
      <c r="G309" s="375">
        <f t="shared" si="36"/>
        <v>0</v>
      </c>
      <c r="H309" s="372">
        <f t="shared" si="37"/>
        <v>0</v>
      </c>
      <c r="I309" s="375">
        <f t="shared" si="38"/>
        <v>0</v>
      </c>
      <c r="J309" s="372">
        <f t="shared" si="39"/>
        <v>0</v>
      </c>
      <c r="K309" s="367">
        <f t="shared" si="40"/>
        <v>0</v>
      </c>
      <c r="L309" s="371">
        <f t="shared" si="41"/>
        <v>0</v>
      </c>
      <c r="M309" s="118">
        <f>L309*D309*'B) D RI'!S311</f>
        <v>0</v>
      </c>
    </row>
    <row r="310" spans="1:13" x14ac:dyDescent="0.25">
      <c r="A310" s="290">
        <f>'A) Base RI'!A312</f>
        <v>5935</v>
      </c>
      <c r="B310" s="32" t="str">
        <f>'A) Base RI'!B312</f>
        <v>Villars-Epeney</v>
      </c>
      <c r="C310" s="288">
        <f>'B) D RI'!U312</f>
        <v>4858.9101666666666</v>
      </c>
      <c r="D310" s="32">
        <f>'B) D RI'!AA312</f>
        <v>102</v>
      </c>
      <c r="E310" s="205">
        <f t="shared" si="34"/>
        <v>47.636374183006538</v>
      </c>
      <c r="F310" s="364">
        <f t="shared" si="35"/>
        <v>1.0108573384642998</v>
      </c>
      <c r="G310" s="375">
        <f t="shared" si="36"/>
        <v>0.51164909036786099</v>
      </c>
      <c r="H310" s="372">
        <f t="shared" si="37"/>
        <v>0</v>
      </c>
      <c r="I310" s="375">
        <f t="shared" si="38"/>
        <v>0</v>
      </c>
      <c r="J310" s="372">
        <f t="shared" si="39"/>
        <v>0</v>
      </c>
      <c r="K310" s="367">
        <f t="shared" si="40"/>
        <v>0</v>
      </c>
      <c r="L310" s="371">
        <f t="shared" si="41"/>
        <v>0.10232981807357221</v>
      </c>
      <c r="M310" s="118">
        <f>L310*D310*'B) D RI'!S312</f>
        <v>626.25848661026191</v>
      </c>
    </row>
    <row r="311" spans="1:13" x14ac:dyDescent="0.25">
      <c r="A311" s="290">
        <f>'A) Base RI'!A313</f>
        <v>5937</v>
      </c>
      <c r="B311" s="32" t="str">
        <f>'A) Base RI'!B313</f>
        <v>Vugelles-La Mothe</v>
      </c>
      <c r="C311" s="288">
        <f>'B) D RI'!U313</f>
        <v>2984.3882040816329</v>
      </c>
      <c r="D311" s="32">
        <f>'B) D RI'!AA313</f>
        <v>135</v>
      </c>
      <c r="E311" s="205">
        <f t="shared" si="34"/>
        <v>22.106579289493578</v>
      </c>
      <c r="F311" s="364">
        <f t="shared" si="35"/>
        <v>0.46910786738885046</v>
      </c>
      <c r="G311" s="375">
        <f t="shared" si="36"/>
        <v>0</v>
      </c>
      <c r="H311" s="372">
        <f t="shared" si="37"/>
        <v>0</v>
      </c>
      <c r="I311" s="375">
        <f t="shared" si="38"/>
        <v>0</v>
      </c>
      <c r="J311" s="372">
        <f t="shared" si="39"/>
        <v>0</v>
      </c>
      <c r="K311" s="367">
        <f t="shared" si="40"/>
        <v>0</v>
      </c>
      <c r="L311" s="371">
        <f t="shared" si="41"/>
        <v>0</v>
      </c>
      <c r="M311" s="118">
        <f>L311*D311*'B) D RI'!S313</f>
        <v>0</v>
      </c>
    </row>
    <row r="312" spans="1:13" x14ac:dyDescent="0.25">
      <c r="A312" s="290">
        <f>'A) Base RI'!A314</f>
        <v>5938</v>
      </c>
      <c r="B312" s="32" t="str">
        <f>'A) Base RI'!B314</f>
        <v>Yverdon-les-Bains</v>
      </c>
      <c r="C312" s="288">
        <f>'B) D RI'!U314</f>
        <v>788422.31346405216</v>
      </c>
      <c r="D312" s="32">
        <f>'B) D RI'!AA314</f>
        <v>30189</v>
      </c>
      <c r="E312" s="205">
        <f t="shared" si="34"/>
        <v>26.11621164874796</v>
      </c>
      <c r="F312" s="364">
        <f t="shared" si="35"/>
        <v>0.55419340054309529</v>
      </c>
      <c r="G312" s="375">
        <f t="shared" si="36"/>
        <v>0</v>
      </c>
      <c r="H312" s="372">
        <f t="shared" si="37"/>
        <v>0</v>
      </c>
      <c r="I312" s="375">
        <f t="shared" si="38"/>
        <v>0</v>
      </c>
      <c r="J312" s="372">
        <f t="shared" si="39"/>
        <v>0</v>
      </c>
      <c r="K312" s="367">
        <f t="shared" si="40"/>
        <v>0</v>
      </c>
      <c r="L312" s="371">
        <f t="shared" si="41"/>
        <v>0</v>
      </c>
      <c r="M312" s="118">
        <f>L312*D312*'B) D RI'!S314</f>
        <v>0</v>
      </c>
    </row>
    <row r="313" spans="1:13" x14ac:dyDescent="0.25">
      <c r="A313" s="290">
        <f>'A) Base RI'!A315</f>
        <v>5939</v>
      </c>
      <c r="B313" s="32" t="str">
        <f>'A) Base RI'!B315</f>
        <v>Yvonand</v>
      </c>
      <c r="C313" s="288">
        <f>'B) D RI'!U315</f>
        <v>95122.764246575331</v>
      </c>
      <c r="D313" s="32">
        <f>'B) D RI'!AA315</f>
        <v>3434</v>
      </c>
      <c r="E313" s="205">
        <f t="shared" si="34"/>
        <v>27.700280793993979</v>
      </c>
      <c r="F313" s="364">
        <f t="shared" si="35"/>
        <v>0.58780779600390753</v>
      </c>
      <c r="G313" s="376">
        <f t="shared" si="36"/>
        <v>0</v>
      </c>
      <c r="H313" s="372">
        <f t="shared" si="37"/>
        <v>0</v>
      </c>
      <c r="I313" s="376">
        <f t="shared" si="38"/>
        <v>0</v>
      </c>
      <c r="J313" s="372">
        <f t="shared" si="39"/>
        <v>0</v>
      </c>
      <c r="K313" s="368">
        <f t="shared" si="40"/>
        <v>0</v>
      </c>
      <c r="L313" s="377">
        <f t="shared" si="41"/>
        <v>0</v>
      </c>
      <c r="M313" s="118">
        <f>L313*D313*'B) D RI'!S315</f>
        <v>0</v>
      </c>
    </row>
    <row r="314" spans="1:13" x14ac:dyDescent="0.25">
      <c r="A314" s="7"/>
      <c r="B314" s="123">
        <f>COUNTA(B5:B313)</f>
        <v>309</v>
      </c>
      <c r="C314" s="289">
        <f>SUM(C5:C313)</f>
        <v>37986675.400474928</v>
      </c>
      <c r="D314" s="264">
        <f>SUM(D5:D313)</f>
        <v>806088</v>
      </c>
      <c r="E314" s="62">
        <f>C314/D314</f>
        <v>47.124725092638677</v>
      </c>
      <c r="F314" s="63">
        <v>1</v>
      </c>
      <c r="G314" s="30"/>
      <c r="H314" s="30"/>
      <c r="I314" s="30"/>
      <c r="J314" s="30"/>
      <c r="K314" s="30"/>
      <c r="L314" s="370"/>
      <c r="M314" s="37">
        <f>SUM(M5:M313)</f>
        <v>126557533.05453105</v>
      </c>
    </row>
    <row r="315" spans="1:13" x14ac:dyDescent="0.25">
      <c r="C315" s="12"/>
      <c r="D315" s="12"/>
      <c r="E315" s="12"/>
      <c r="F315" s="12"/>
      <c r="G315" s="12"/>
      <c r="H315" s="12"/>
      <c r="I315" s="12"/>
      <c r="J315" s="12"/>
      <c r="K315" s="12"/>
      <c r="L315" s="12"/>
    </row>
    <row r="317" spans="1:13" x14ac:dyDescent="0.25">
      <c r="F317" s="15"/>
    </row>
    <row r="318" spans="1:13" x14ac:dyDescent="0.25">
      <c r="F318" s="15"/>
    </row>
    <row r="319" spans="1:13" x14ac:dyDescent="0.25">
      <c r="F319" s="15"/>
      <c r="G319" s="17"/>
      <c r="H319" s="17"/>
    </row>
    <row r="320" spans="1:13" x14ac:dyDescent="0.25">
      <c r="E320" s="28"/>
    </row>
  </sheetData>
  <mergeCells count="6">
    <mergeCell ref="A3:A4"/>
    <mergeCell ref="B3:B4"/>
    <mergeCell ref="F3:F4"/>
    <mergeCell ref="C3:E3"/>
    <mergeCell ref="M3:M4"/>
    <mergeCell ref="L3:L4"/>
  </mergeCells>
  <phoneticPr fontId="15"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00B050"/>
  </sheetPr>
  <dimension ref="A1:AG332"/>
  <sheetViews>
    <sheetView workbookViewId="0"/>
  </sheetViews>
  <sheetFormatPr baseColWidth="10" defaultColWidth="10.75" defaultRowHeight="15" x14ac:dyDescent="0.25"/>
  <cols>
    <col min="1" max="1" width="7.25" style="13" customWidth="1"/>
    <col min="2" max="2" width="18" style="13" customWidth="1"/>
    <col min="3" max="3" width="10.375" style="13" customWidth="1"/>
    <col min="4" max="4" width="12.75" style="13" customWidth="1"/>
    <col min="5" max="5" width="10.75" style="13" bestFit="1" customWidth="1"/>
    <col min="6" max="6" width="15.125" style="13" customWidth="1"/>
    <col min="7" max="7" width="12.125" style="13" customWidth="1"/>
    <col min="8" max="8" width="9.25" style="13" customWidth="1"/>
    <col min="9" max="10" width="12.125" style="13" customWidth="1"/>
    <col min="11" max="11" width="9.25" style="13" customWidth="1"/>
    <col min="12" max="12" width="13" style="13" bestFit="1" customWidth="1"/>
    <col min="13" max="13" width="12.125" style="13" customWidth="1"/>
    <col min="14" max="14" width="14" style="13" customWidth="1"/>
    <col min="15" max="20" width="12.125" style="13" customWidth="1"/>
    <col min="21" max="23" width="8.125" style="13" customWidth="1"/>
    <col min="24" max="31" width="11" style="13" customWidth="1"/>
    <col min="32" max="32" width="9.25" style="13" customWidth="1"/>
    <col min="33" max="33" width="11" style="13" customWidth="1"/>
    <col min="34" max="16384" width="10.75" style="13"/>
  </cols>
  <sheetData>
    <row r="1" spans="1:33" s="43" customFormat="1" ht="20.25" customHeight="1" x14ac:dyDescent="0.25">
      <c r="A1" s="51" t="s">
        <v>93</v>
      </c>
      <c r="B1" s="42"/>
      <c r="C1" s="71"/>
      <c r="D1" s="71"/>
      <c r="E1" s="71"/>
      <c r="F1" s="71"/>
      <c r="G1" s="71"/>
      <c r="H1" s="71"/>
      <c r="I1" s="71"/>
      <c r="J1" s="71"/>
      <c r="K1" s="13"/>
      <c r="L1" s="13"/>
      <c r="M1" s="71"/>
      <c r="N1" s="13"/>
      <c r="O1" s="13"/>
      <c r="P1" s="13"/>
      <c r="Q1" s="13"/>
      <c r="R1" s="13"/>
      <c r="S1" s="13"/>
      <c r="T1" s="13"/>
      <c r="U1" s="13"/>
      <c r="V1" s="13"/>
      <c r="W1" s="13"/>
      <c r="X1" s="13"/>
      <c r="Y1" s="13"/>
      <c r="Z1" s="13"/>
      <c r="AA1" s="13"/>
      <c r="AB1" s="13"/>
      <c r="AC1" s="13"/>
      <c r="AD1" s="13"/>
      <c r="AE1" s="13"/>
      <c r="AF1" s="13"/>
      <c r="AG1" s="13"/>
    </row>
    <row r="2" spans="1:33" s="53" customFormat="1" x14ac:dyDescent="0.25">
      <c r="A2" s="27"/>
      <c r="D2" s="13"/>
      <c r="E2" s="13"/>
      <c r="F2" s="13"/>
      <c r="G2" s="13"/>
      <c r="K2" s="13"/>
      <c r="L2" s="13"/>
      <c r="N2" s="13"/>
      <c r="O2" s="13"/>
      <c r="P2" s="13"/>
      <c r="Q2" s="13"/>
      <c r="R2" s="13"/>
      <c r="S2" s="13"/>
      <c r="T2" s="13"/>
      <c r="U2" s="13"/>
      <c r="V2" s="13"/>
      <c r="W2" s="13"/>
      <c r="X2" s="13"/>
      <c r="Y2" s="13"/>
      <c r="Z2" s="13"/>
      <c r="AA2" s="13"/>
      <c r="AB2" s="13"/>
      <c r="AC2" s="13"/>
      <c r="AD2" s="13"/>
      <c r="AE2" s="13"/>
      <c r="AF2" s="13"/>
      <c r="AG2" s="13"/>
    </row>
    <row r="3" spans="1:33" s="53" customFormat="1" x14ac:dyDescent="0.25">
      <c r="A3" s="570" t="s">
        <v>92</v>
      </c>
      <c r="B3" s="571"/>
      <c r="C3" s="572"/>
      <c r="D3" s="64" t="s">
        <v>547</v>
      </c>
      <c r="E3" s="67" t="s">
        <v>547</v>
      </c>
      <c r="F3" s="13"/>
      <c r="G3" s="13"/>
      <c r="K3" s="13"/>
      <c r="L3" s="13"/>
      <c r="N3" s="13"/>
      <c r="O3" s="13"/>
      <c r="P3" s="13"/>
      <c r="Q3" s="13"/>
      <c r="R3" s="13"/>
      <c r="S3" s="13"/>
      <c r="T3" s="13"/>
      <c r="U3" s="13"/>
      <c r="V3" s="13"/>
      <c r="W3" s="13"/>
      <c r="X3" s="13"/>
      <c r="Y3" s="13"/>
      <c r="Z3" s="13"/>
      <c r="AA3" s="13"/>
      <c r="AB3" s="13"/>
      <c r="AC3" s="13"/>
      <c r="AD3" s="13"/>
      <c r="AE3" s="13"/>
      <c r="AF3" s="13"/>
      <c r="AG3" s="13"/>
    </row>
    <row r="4" spans="1:33" s="53" customFormat="1" x14ac:dyDescent="0.25">
      <c r="A4" s="82" t="s">
        <v>407</v>
      </c>
      <c r="B4" s="83"/>
      <c r="C4" s="92">
        <f>+Paramètres!B58</f>
        <v>825655960</v>
      </c>
      <c r="D4" s="90">
        <f>C4/$E$4</f>
        <v>21.735409885058729</v>
      </c>
      <c r="E4" s="95">
        <f>+'D) Ecrêtage'!C314</f>
        <v>37986675.400474928</v>
      </c>
      <c r="F4" s="13"/>
      <c r="G4" s="13"/>
      <c r="K4" s="13"/>
      <c r="L4" s="369"/>
      <c r="N4" s="13"/>
      <c r="O4" s="13"/>
      <c r="P4" s="13"/>
      <c r="Q4" s="13"/>
      <c r="R4" s="13"/>
      <c r="S4" s="13"/>
      <c r="T4" s="13"/>
      <c r="U4" s="13"/>
      <c r="V4" s="13"/>
      <c r="W4" s="13"/>
      <c r="X4" s="13"/>
      <c r="Y4" s="13"/>
      <c r="Z4" s="13"/>
      <c r="AA4" s="13"/>
      <c r="AB4" s="13"/>
      <c r="AC4" s="13"/>
      <c r="AD4" s="13"/>
      <c r="AE4" s="13"/>
      <c r="AF4" s="13"/>
      <c r="AG4" s="13"/>
    </row>
    <row r="5" spans="1:33" s="53" customFormat="1" x14ac:dyDescent="0.25">
      <c r="A5" s="84" t="s">
        <v>376</v>
      </c>
      <c r="B5" s="85"/>
      <c r="C5" s="9">
        <f>-'C) Prél. conj.'!H314</f>
        <v>-141029667.09000003</v>
      </c>
      <c r="D5" s="33">
        <f>C5/$E$4</f>
        <v>-3.7126088451593429</v>
      </c>
      <c r="E5" s="75"/>
      <c r="F5" s="13"/>
      <c r="G5" s="13"/>
      <c r="K5" s="13"/>
      <c r="L5" s="13"/>
      <c r="N5" s="13"/>
      <c r="O5" s="13"/>
      <c r="P5" s="13"/>
      <c r="Q5" s="13"/>
      <c r="R5" s="13"/>
      <c r="S5" s="13"/>
      <c r="T5" s="13"/>
      <c r="U5" s="13"/>
      <c r="V5" s="13"/>
      <c r="W5" s="13"/>
      <c r="X5" s="13"/>
      <c r="Y5" s="13"/>
      <c r="Z5" s="13"/>
      <c r="AA5" s="13"/>
      <c r="AB5" s="13"/>
      <c r="AC5" s="13"/>
      <c r="AD5" s="13"/>
      <c r="AE5" s="13"/>
      <c r="AF5" s="13"/>
      <c r="AG5" s="13"/>
    </row>
    <row r="6" spans="1:33" s="53" customFormat="1" x14ac:dyDescent="0.25">
      <c r="A6" s="86" t="s">
        <v>377</v>
      </c>
      <c r="B6" s="87"/>
      <c r="C6" s="93">
        <f>-'D) Ecrêtage'!M314</f>
        <v>-126557533.05453105</v>
      </c>
      <c r="D6" s="33">
        <f>C6/$E$4</f>
        <v>-3.331629623290191</v>
      </c>
      <c r="E6" s="75"/>
      <c r="F6" s="13"/>
      <c r="G6" s="13"/>
      <c r="K6" s="13"/>
      <c r="L6" s="13"/>
      <c r="N6" s="13"/>
      <c r="O6" s="13"/>
      <c r="P6" s="13"/>
      <c r="Q6" s="13"/>
      <c r="R6" s="13"/>
      <c r="S6" s="13"/>
      <c r="T6" s="13"/>
      <c r="U6" s="13"/>
      <c r="V6" s="13"/>
      <c r="W6" s="13"/>
      <c r="X6" s="13"/>
      <c r="Y6" s="13"/>
      <c r="Z6" s="13"/>
      <c r="AA6" s="13"/>
      <c r="AB6" s="13"/>
      <c r="AC6" s="13"/>
      <c r="AD6" s="13"/>
      <c r="AE6" s="13"/>
      <c r="AF6" s="13"/>
      <c r="AG6" s="13"/>
    </row>
    <row r="7" spans="1:33" s="53" customFormat="1" x14ac:dyDescent="0.25">
      <c r="A7" s="78" t="s">
        <v>290</v>
      </c>
      <c r="B7" s="80"/>
      <c r="C7" s="94">
        <f>C4+C6+C5</f>
        <v>558068759.85546887</v>
      </c>
      <c r="D7" s="19">
        <f>C7/$E$4</f>
        <v>14.691171416609194</v>
      </c>
      <c r="E7" s="75"/>
      <c r="F7" s="13"/>
      <c r="G7" s="13"/>
      <c r="K7" s="13"/>
      <c r="L7" s="13"/>
      <c r="N7" s="13"/>
      <c r="O7" s="13"/>
      <c r="P7" s="13"/>
      <c r="Q7" s="13"/>
      <c r="R7" s="13"/>
      <c r="S7" s="13"/>
      <c r="T7" s="13"/>
      <c r="U7" s="13"/>
      <c r="V7" s="13"/>
      <c r="W7" s="13"/>
      <c r="X7" s="13"/>
      <c r="Y7" s="13"/>
      <c r="Z7" s="13"/>
      <c r="AA7" s="13"/>
      <c r="AB7" s="13"/>
      <c r="AC7" s="13"/>
      <c r="AD7" s="13"/>
      <c r="AE7" s="13"/>
      <c r="AF7" s="13"/>
      <c r="AG7" s="13"/>
    </row>
    <row r="8" spans="1:33" s="53" customFormat="1" x14ac:dyDescent="0.25">
      <c r="A8" s="27"/>
      <c r="D8" s="13"/>
      <c r="E8" s="13"/>
      <c r="F8" s="13"/>
      <c r="G8" s="13"/>
      <c r="K8" s="13"/>
      <c r="L8" s="13"/>
      <c r="N8" s="13"/>
      <c r="O8" s="13"/>
      <c r="P8" s="13"/>
      <c r="Q8" s="13"/>
      <c r="R8" s="13"/>
      <c r="S8" s="13"/>
      <c r="T8" s="13"/>
      <c r="U8" s="13"/>
      <c r="V8" s="13"/>
      <c r="W8" s="13"/>
      <c r="X8" s="13"/>
      <c r="Y8" s="13"/>
      <c r="Z8" s="13"/>
      <c r="AA8" s="13"/>
      <c r="AB8" s="13"/>
      <c r="AC8" s="13"/>
      <c r="AD8" s="13"/>
      <c r="AE8" s="13"/>
      <c r="AF8" s="13"/>
      <c r="AG8" s="13"/>
    </row>
    <row r="9" spans="1:33" ht="38.25" customHeight="1" x14ac:dyDescent="0.25">
      <c r="A9" s="559" t="s">
        <v>46</v>
      </c>
      <c r="B9" s="559" t="s">
        <v>96</v>
      </c>
      <c r="C9" s="559" t="s">
        <v>304</v>
      </c>
      <c r="D9" s="559" t="s">
        <v>436</v>
      </c>
      <c r="E9" s="575" t="s">
        <v>472</v>
      </c>
      <c r="F9" s="279" t="s">
        <v>546</v>
      </c>
      <c r="G9" s="573" t="s">
        <v>406</v>
      </c>
    </row>
    <row r="10" spans="1:33" x14ac:dyDescent="0.25">
      <c r="A10" s="561"/>
      <c r="B10" s="561"/>
      <c r="C10" s="561"/>
      <c r="D10" s="561"/>
      <c r="E10" s="576"/>
      <c r="F10" s="294">
        <f>D7</f>
        <v>14.691171416609194</v>
      </c>
      <c r="G10" s="574"/>
    </row>
    <row r="11" spans="1:33" x14ac:dyDescent="0.25">
      <c r="A11" s="49">
        <f>'A) Base RI'!A7</f>
        <v>5401</v>
      </c>
      <c r="B11" s="285" t="str">
        <f>'A) Base RI'!B7</f>
        <v>Aigle</v>
      </c>
      <c r="C11" s="10">
        <f>'A) Base RI'!AO7</f>
        <v>10217</v>
      </c>
      <c r="D11" s="14">
        <f>'C) Prél. conj.'!H5</f>
        <v>1129127.625</v>
      </c>
      <c r="E11" s="10">
        <f>'D) Ecrêtage'!M5</f>
        <v>0</v>
      </c>
      <c r="F11" s="14">
        <f>$F$10*'D) Ecrêtage'!C5</f>
        <v>4081055.109449177</v>
      </c>
      <c r="G11" s="57">
        <f>D11+F11+E11</f>
        <v>5210182.734449177</v>
      </c>
    </row>
    <row r="12" spans="1:33" x14ac:dyDescent="0.25">
      <c r="A12" s="49">
        <f>'A) Base RI'!A8</f>
        <v>5402</v>
      </c>
      <c r="B12" s="285" t="str">
        <f>'A) Base RI'!B8</f>
        <v>Bex</v>
      </c>
      <c r="C12" s="10">
        <f>'A) Base RI'!AO8</f>
        <v>7869</v>
      </c>
      <c r="D12" s="388">
        <f>'C) Prél. conj.'!H6</f>
        <v>634663.84500000009</v>
      </c>
      <c r="E12" s="10">
        <f>'D) Ecrêtage'!M6</f>
        <v>0</v>
      </c>
      <c r="F12" s="388">
        <f>$F$10*'D) Ecrêtage'!C6</f>
        <v>2728584.4782302878</v>
      </c>
      <c r="G12" s="57">
        <f t="shared" ref="G12:G75" si="0">D12+F12+E12</f>
        <v>3363248.323230288</v>
      </c>
    </row>
    <row r="13" spans="1:33" x14ac:dyDescent="0.25">
      <c r="A13" s="49">
        <f>'A) Base RI'!A9</f>
        <v>5403</v>
      </c>
      <c r="B13" s="285" t="str">
        <f>'A) Base RI'!B9</f>
        <v>Chessel</v>
      </c>
      <c r="C13" s="10">
        <f>'A) Base RI'!AO9</f>
        <v>429</v>
      </c>
      <c r="D13" s="388">
        <f>'C) Prél. conj.'!H7</f>
        <v>49834.555</v>
      </c>
      <c r="E13" s="10">
        <f>'D) Ecrêtage'!M7</f>
        <v>0</v>
      </c>
      <c r="F13" s="388">
        <f>$F$10*'D) Ecrêtage'!C7</f>
        <v>156519.64100788266</v>
      </c>
      <c r="G13" s="57">
        <f t="shared" si="0"/>
        <v>206354.19600788265</v>
      </c>
    </row>
    <row r="14" spans="1:33" x14ac:dyDescent="0.25">
      <c r="A14" s="49">
        <f>'A) Base RI'!A10</f>
        <v>5404</v>
      </c>
      <c r="B14" s="285" t="str">
        <f>'A) Base RI'!B10</f>
        <v>Corbeyrier</v>
      </c>
      <c r="C14" s="10">
        <f>'A) Base RI'!AO10</f>
        <v>437</v>
      </c>
      <c r="D14" s="388">
        <f>'C) Prél. conj.'!H8</f>
        <v>95422.080000000002</v>
      </c>
      <c r="E14" s="10">
        <f>'D) Ecrêtage'!M8</f>
        <v>0</v>
      </c>
      <c r="F14" s="388">
        <f>$F$10*'D) Ecrêtage'!C8</f>
        <v>214425.76535203005</v>
      </c>
      <c r="G14" s="57">
        <f t="shared" si="0"/>
        <v>309847.84535203007</v>
      </c>
    </row>
    <row r="15" spans="1:33" x14ac:dyDescent="0.25">
      <c r="A15" s="49">
        <f>'A) Base RI'!A11</f>
        <v>5405</v>
      </c>
      <c r="B15" s="285" t="str">
        <f>'A) Base RI'!B11</f>
        <v>Gryon</v>
      </c>
      <c r="C15" s="10">
        <f>'A) Base RI'!AO11</f>
        <v>1347</v>
      </c>
      <c r="D15" s="388">
        <f>'C) Prél. conj.'!H9</f>
        <v>313385.94999999995</v>
      </c>
      <c r="E15" s="10">
        <f>'D) Ecrêtage'!M9</f>
        <v>33428.266836568619</v>
      </c>
      <c r="F15" s="388">
        <f>$F$10*'D) Ecrêtage'!C9</f>
        <v>965291.5836078506</v>
      </c>
      <c r="G15" s="57">
        <f t="shared" si="0"/>
        <v>1312105.8004444193</v>
      </c>
    </row>
    <row r="16" spans="1:33" x14ac:dyDescent="0.25">
      <c r="A16" s="49">
        <f>'A) Base RI'!A12</f>
        <v>5406</v>
      </c>
      <c r="B16" s="285" t="str">
        <f>'A) Base RI'!B12</f>
        <v>Lavey-Morcles</v>
      </c>
      <c r="C16" s="10">
        <f>'A) Base RI'!AO12</f>
        <v>931</v>
      </c>
      <c r="D16" s="388">
        <f>'C) Prél. conj.'!H10</f>
        <v>21394.45</v>
      </c>
      <c r="E16" s="10">
        <f>'D) Ecrêtage'!M10</f>
        <v>0</v>
      </c>
      <c r="F16" s="388">
        <f>$F$10*'D) Ecrêtage'!C10</f>
        <v>365181.67629951099</v>
      </c>
      <c r="G16" s="57">
        <f t="shared" si="0"/>
        <v>386576.126299511</v>
      </c>
    </row>
    <row r="17" spans="1:7" x14ac:dyDescent="0.25">
      <c r="A17" s="49">
        <f>'A) Base RI'!A13</f>
        <v>5407</v>
      </c>
      <c r="B17" s="285" t="str">
        <f>'A) Base RI'!B13</f>
        <v>Leysin</v>
      </c>
      <c r="C17" s="10">
        <f>'A) Base RI'!AO13</f>
        <v>3776</v>
      </c>
      <c r="D17" s="388">
        <f>'C) Prél. conj.'!H11</f>
        <v>399543.85499999998</v>
      </c>
      <c r="E17" s="10">
        <f>'D) Ecrêtage'!M11</f>
        <v>0</v>
      </c>
      <c r="F17" s="388">
        <f>$F$10*'D) Ecrêtage'!C11</f>
        <v>1330928.5484701896</v>
      </c>
      <c r="G17" s="57">
        <f t="shared" si="0"/>
        <v>1730472.4034701895</v>
      </c>
    </row>
    <row r="18" spans="1:7" x14ac:dyDescent="0.25">
      <c r="A18" s="49">
        <f>'A) Base RI'!A14</f>
        <v>5408</v>
      </c>
      <c r="B18" s="285" t="str">
        <f>'A) Base RI'!B14</f>
        <v>Noville</v>
      </c>
      <c r="C18" s="10">
        <f>'A) Base RI'!AO14</f>
        <v>1167</v>
      </c>
      <c r="D18" s="388">
        <f>'C) Prél. conj.'!H12</f>
        <v>352532.96499999997</v>
      </c>
      <c r="E18" s="10">
        <f>'D) Ecrêtage'!M12</f>
        <v>0</v>
      </c>
      <c r="F18" s="388">
        <f>$F$10*'D) Ecrêtage'!C12</f>
        <v>421219.74098031357</v>
      </c>
      <c r="G18" s="57">
        <f t="shared" si="0"/>
        <v>773752.70598031348</v>
      </c>
    </row>
    <row r="19" spans="1:7" x14ac:dyDescent="0.25">
      <c r="A19" s="49">
        <f>'A) Base RI'!A15</f>
        <v>5409</v>
      </c>
      <c r="B19" s="285" t="str">
        <f>'A) Base RI'!B15</f>
        <v>Ollon</v>
      </c>
      <c r="C19" s="10">
        <f>'A) Base RI'!AO15</f>
        <v>7560</v>
      </c>
      <c r="D19" s="388">
        <f>'C) Prél. conj.'!H13</f>
        <v>1565743.135</v>
      </c>
      <c r="E19" s="10">
        <f>'D) Ecrêtage'!M13</f>
        <v>591778.29395218473</v>
      </c>
      <c r="F19" s="388">
        <f>$F$10*'D) Ecrêtage'!C13</f>
        <v>5873178.2077494916</v>
      </c>
      <c r="G19" s="57">
        <f t="shared" si="0"/>
        <v>8030699.6367016761</v>
      </c>
    </row>
    <row r="20" spans="1:7" x14ac:dyDescent="0.25">
      <c r="A20" s="49">
        <f>'A) Base RI'!A16</f>
        <v>5410</v>
      </c>
      <c r="B20" s="285" t="str">
        <f>'A) Base RI'!B16</f>
        <v>Ormont-Dessous</v>
      </c>
      <c r="C20" s="10">
        <f>'A) Base RI'!AO16</f>
        <v>1141</v>
      </c>
      <c r="D20" s="388">
        <f>'C) Prél. conj.'!H14</f>
        <v>184660.61499999999</v>
      </c>
      <c r="E20" s="10">
        <f>'D) Ecrêtage'!M14</f>
        <v>0</v>
      </c>
      <c r="F20" s="388">
        <f>$F$10*'D) Ecrêtage'!C14</f>
        <v>564609.68753441598</v>
      </c>
      <c r="G20" s="57">
        <f t="shared" si="0"/>
        <v>749270.30253441597</v>
      </c>
    </row>
    <row r="21" spans="1:7" x14ac:dyDescent="0.25">
      <c r="A21" s="49">
        <f>'A) Base RI'!A17</f>
        <v>5411</v>
      </c>
      <c r="B21" s="285" t="str">
        <f>'A) Base RI'!B17</f>
        <v>Ormont-Dessus</v>
      </c>
      <c r="C21" s="10">
        <f>'A) Base RI'!AO17</f>
        <v>1434</v>
      </c>
      <c r="D21" s="388">
        <f>'C) Prél. conj.'!H15</f>
        <v>356329.65500000003</v>
      </c>
      <c r="E21" s="10">
        <f>'D) Ecrêtage'!M15</f>
        <v>86233.064100773132</v>
      </c>
      <c r="F21" s="388">
        <f>$F$10*'D) Ecrêtage'!C15</f>
        <v>1076129.535685705</v>
      </c>
      <c r="G21" s="57">
        <f t="shared" si="0"/>
        <v>1518692.2547864781</v>
      </c>
    </row>
    <row r="22" spans="1:7" x14ac:dyDescent="0.25">
      <c r="A22" s="49">
        <f>'A) Base RI'!A18</f>
        <v>5412</v>
      </c>
      <c r="B22" s="285" t="str">
        <f>'A) Base RI'!B18</f>
        <v>Rennaz</v>
      </c>
      <c r="C22" s="10">
        <f>'A) Base RI'!AO18</f>
        <v>871</v>
      </c>
      <c r="D22" s="388">
        <f>'C) Prél. conj.'!H16</f>
        <v>58933.754999999997</v>
      </c>
      <c r="E22" s="10">
        <f>'D) Ecrêtage'!M16</f>
        <v>0</v>
      </c>
      <c r="F22" s="388">
        <f>$F$10*'D) Ecrêtage'!C16</f>
        <v>357032.0540580753</v>
      </c>
      <c r="G22" s="57">
        <f t="shared" si="0"/>
        <v>415965.80905807531</v>
      </c>
    </row>
    <row r="23" spans="1:7" x14ac:dyDescent="0.25">
      <c r="A23" s="49">
        <f>'A) Base RI'!A19</f>
        <v>5413</v>
      </c>
      <c r="B23" s="285" t="str">
        <f>'A) Base RI'!B19</f>
        <v>Roche</v>
      </c>
      <c r="C23" s="10">
        <f>'A) Base RI'!AO19</f>
        <v>1826</v>
      </c>
      <c r="D23" s="388">
        <f>'C) Prél. conj.'!H17</f>
        <v>270521.14500000002</v>
      </c>
      <c r="E23" s="10">
        <f>'D) Ecrêtage'!M17</f>
        <v>0</v>
      </c>
      <c r="F23" s="388">
        <f>$F$10*'D) Ecrêtage'!C17</f>
        <v>662341.58818605833</v>
      </c>
      <c r="G23" s="57">
        <f t="shared" si="0"/>
        <v>932862.73318605835</v>
      </c>
    </row>
    <row r="24" spans="1:7" x14ac:dyDescent="0.25">
      <c r="A24" s="49">
        <f>'A) Base RI'!A20</f>
        <v>5414</v>
      </c>
      <c r="B24" s="285" t="str">
        <f>'A) Base RI'!B20</f>
        <v>Villeneuve</v>
      </c>
      <c r="C24" s="10">
        <f>'A) Base RI'!AO20</f>
        <v>5772</v>
      </c>
      <c r="D24" s="388">
        <f>'C) Prél. conj.'!H18</f>
        <v>1329282.7949999999</v>
      </c>
      <c r="E24" s="10">
        <f>'D) Ecrêtage'!M18</f>
        <v>0</v>
      </c>
      <c r="F24" s="388">
        <f>$F$10*'D) Ecrêtage'!C18</f>
        <v>2462172.0538014085</v>
      </c>
      <c r="G24" s="57">
        <f t="shared" si="0"/>
        <v>3791454.8488014084</v>
      </c>
    </row>
    <row r="25" spans="1:7" x14ac:dyDescent="0.25">
      <c r="A25" s="49">
        <f>'A) Base RI'!A21</f>
        <v>5415</v>
      </c>
      <c r="B25" s="285" t="str">
        <f>'A) Base RI'!B21</f>
        <v>Yvorne</v>
      </c>
      <c r="C25" s="10">
        <f>'A) Base RI'!AO21</f>
        <v>1071</v>
      </c>
      <c r="D25" s="388">
        <f>'C) Prél. conj.'!H19</f>
        <v>187861.17</v>
      </c>
      <c r="E25" s="10">
        <f>'D) Ecrêtage'!M19</f>
        <v>0</v>
      </c>
      <c r="F25" s="388">
        <f>$F$10*'D) Ecrêtage'!C19</f>
        <v>575463.33122795448</v>
      </c>
      <c r="G25" s="57">
        <f t="shared" si="0"/>
        <v>763324.50122795452</v>
      </c>
    </row>
    <row r="26" spans="1:7" x14ac:dyDescent="0.25">
      <c r="A26" s="49">
        <f>'A) Base RI'!A22</f>
        <v>5421</v>
      </c>
      <c r="B26" s="285" t="str">
        <f>'A) Base RI'!B22</f>
        <v>Apples</v>
      </c>
      <c r="C26" s="10">
        <f>'A) Base RI'!AO22</f>
        <v>1460</v>
      </c>
      <c r="D26" s="388">
        <f>'C) Prél. conj.'!H20</f>
        <v>196364.3</v>
      </c>
      <c r="E26" s="10">
        <f>'D) Ecrêtage'!M20</f>
        <v>27512.882744162584</v>
      </c>
      <c r="F26" s="388">
        <f>$F$10*'D) Ecrêtage'!C20</f>
        <v>1037375.2983308134</v>
      </c>
      <c r="G26" s="57">
        <f t="shared" si="0"/>
        <v>1261252.481074976</v>
      </c>
    </row>
    <row r="27" spans="1:7" x14ac:dyDescent="0.25">
      <c r="A27" s="49">
        <f>'A) Base RI'!A23</f>
        <v>5422</v>
      </c>
      <c r="B27" s="285" t="str">
        <f>'A) Base RI'!B23</f>
        <v>Aubonne</v>
      </c>
      <c r="C27" s="10">
        <f>'A) Base RI'!AO23</f>
        <v>3276</v>
      </c>
      <c r="D27" s="388">
        <f>'C) Prél. conj.'!H21</f>
        <v>702987.11999999988</v>
      </c>
      <c r="E27" s="10">
        <f>'D) Ecrêtage'!M21</f>
        <v>1396483.0843619488</v>
      </c>
      <c r="F27" s="388">
        <f>$F$10*'D) Ecrêtage'!C21</f>
        <v>3396185.0378871844</v>
      </c>
      <c r="G27" s="57">
        <f t="shared" si="0"/>
        <v>5495655.2422491331</v>
      </c>
    </row>
    <row r="28" spans="1:7" x14ac:dyDescent="0.25">
      <c r="A28" s="49">
        <f>'A) Base RI'!A24</f>
        <v>5423</v>
      </c>
      <c r="B28" s="285" t="str">
        <f>'A) Base RI'!B24</f>
        <v>Ballens</v>
      </c>
      <c r="C28" s="10">
        <f>'A) Base RI'!AO24</f>
        <v>545</v>
      </c>
      <c r="D28" s="388">
        <f>'C) Prél. conj.'!H22</f>
        <v>50048.83</v>
      </c>
      <c r="E28" s="10">
        <f>'D) Ecrêtage'!M22</f>
        <v>0</v>
      </c>
      <c r="F28" s="388">
        <f>$F$10*'D) Ecrêtage'!C22</f>
        <v>238914.10049335548</v>
      </c>
      <c r="G28" s="57">
        <f t="shared" si="0"/>
        <v>288962.9304933555</v>
      </c>
    </row>
    <row r="29" spans="1:7" x14ac:dyDescent="0.25">
      <c r="A29" s="49">
        <f>'A) Base RI'!A25</f>
        <v>5424</v>
      </c>
      <c r="B29" s="285" t="str">
        <f>'A) Base RI'!B25</f>
        <v>Berolle</v>
      </c>
      <c r="C29" s="10">
        <f>'A) Base RI'!AO25</f>
        <v>300</v>
      </c>
      <c r="D29" s="388">
        <f>'C) Prél. conj.'!H23</f>
        <v>5251.95</v>
      </c>
      <c r="E29" s="10">
        <f>'D) Ecrêtage'!M23</f>
        <v>0</v>
      </c>
      <c r="F29" s="388">
        <f>$F$10*'D) Ecrêtage'!C23</f>
        <v>136359.67154328499</v>
      </c>
      <c r="G29" s="57">
        <f t="shared" si="0"/>
        <v>141611.621543285</v>
      </c>
    </row>
    <row r="30" spans="1:7" x14ac:dyDescent="0.25">
      <c r="A30" s="49">
        <f>'A) Base RI'!A26</f>
        <v>5425</v>
      </c>
      <c r="B30" s="285" t="str">
        <f>'A) Base RI'!B26</f>
        <v>Bière</v>
      </c>
      <c r="C30" s="10">
        <f>'A) Base RI'!AO26</f>
        <v>1596</v>
      </c>
      <c r="D30" s="388">
        <f>'C) Prél. conj.'!H24</f>
        <v>170235.69</v>
      </c>
      <c r="E30" s="10">
        <f>'D) Ecrêtage'!M24</f>
        <v>0</v>
      </c>
      <c r="F30" s="388">
        <f>$F$10*'D) Ecrêtage'!C24</f>
        <v>580627.99993066734</v>
      </c>
      <c r="G30" s="57">
        <f t="shared" si="0"/>
        <v>750863.6899306674</v>
      </c>
    </row>
    <row r="31" spans="1:7" x14ac:dyDescent="0.25">
      <c r="A31" s="49">
        <f>'A) Base RI'!A27</f>
        <v>5426</v>
      </c>
      <c r="B31" s="285" t="str">
        <f>'A) Base RI'!B27</f>
        <v>Bougy-Villars</v>
      </c>
      <c r="C31" s="10">
        <f>'A) Base RI'!AO27</f>
        <v>475</v>
      </c>
      <c r="D31" s="388">
        <f>'C) Prél. conj.'!H25</f>
        <v>157868.995</v>
      </c>
      <c r="E31" s="10">
        <f>'D) Ecrêtage'!M25</f>
        <v>728583.00845833751</v>
      </c>
      <c r="F31" s="388">
        <f>$F$10*'D) Ecrêtage'!C25</f>
        <v>765015.72718430078</v>
      </c>
      <c r="G31" s="57">
        <f t="shared" si="0"/>
        <v>1651467.7306426382</v>
      </c>
    </row>
    <row r="32" spans="1:7" x14ac:dyDescent="0.25">
      <c r="A32" s="49">
        <f>'A) Base RI'!A28</f>
        <v>5427</v>
      </c>
      <c r="B32" s="285" t="str">
        <f>'A) Base RI'!B28</f>
        <v>Féchy</v>
      </c>
      <c r="C32" s="10">
        <f>'A) Base RI'!AO28</f>
        <v>861</v>
      </c>
      <c r="D32" s="388">
        <f>'C) Prél. conj.'!H26</f>
        <v>233862.42499999999</v>
      </c>
      <c r="E32" s="10">
        <f>'D) Ecrêtage'!M26</f>
        <v>1036152.3141071943</v>
      </c>
      <c r="F32" s="388">
        <f>$F$10*'D) Ecrêtage'!C26</f>
        <v>1274450.8954537732</v>
      </c>
      <c r="G32" s="57">
        <f t="shared" si="0"/>
        <v>2544465.6345609678</v>
      </c>
    </row>
    <row r="33" spans="1:7" x14ac:dyDescent="0.25">
      <c r="A33" s="49">
        <f>'A) Base RI'!A29</f>
        <v>5428</v>
      </c>
      <c r="B33" s="285" t="str">
        <f>'A) Base RI'!B29</f>
        <v>Gimel</v>
      </c>
      <c r="C33" s="10">
        <f>'A) Base RI'!AO29</f>
        <v>2238</v>
      </c>
      <c r="D33" s="388">
        <f>'C) Prél. conj.'!H27</f>
        <v>249129.78</v>
      </c>
      <c r="E33" s="10">
        <f>'D) Ecrêtage'!M27</f>
        <v>0</v>
      </c>
      <c r="F33" s="388">
        <f>$F$10*'D) Ecrêtage'!C27</f>
        <v>972129.64874819212</v>
      </c>
      <c r="G33" s="57">
        <f t="shared" si="0"/>
        <v>1221259.428748192</v>
      </c>
    </row>
    <row r="34" spans="1:7" x14ac:dyDescent="0.25">
      <c r="A34" s="49">
        <f>'A) Base RI'!A30</f>
        <v>5429</v>
      </c>
      <c r="B34" s="285" t="str">
        <f>'A) Base RI'!B30</f>
        <v>Longirod</v>
      </c>
      <c r="C34" s="10">
        <f>'A) Base RI'!AO30</f>
        <v>482</v>
      </c>
      <c r="D34" s="388">
        <f>'C) Prél. conj.'!H28</f>
        <v>38472.024999999994</v>
      </c>
      <c r="E34" s="10">
        <f>'D) Ecrêtage'!M28</f>
        <v>0</v>
      </c>
      <c r="F34" s="388">
        <f>$F$10*'D) Ecrêtage'!C28</f>
        <v>224942.64688112694</v>
      </c>
      <c r="G34" s="57">
        <f t="shared" si="0"/>
        <v>263414.67188112694</v>
      </c>
    </row>
    <row r="35" spans="1:7" x14ac:dyDescent="0.25">
      <c r="A35" s="49">
        <f>'A) Base RI'!A31</f>
        <v>5430</v>
      </c>
      <c r="B35" s="285" t="str">
        <f>'A) Base RI'!B31</f>
        <v>Marchissy</v>
      </c>
      <c r="C35" s="10">
        <f>'A) Base RI'!AO31</f>
        <v>472</v>
      </c>
      <c r="D35" s="388">
        <f>'C) Prél. conj.'!H29</f>
        <v>29874.284999999996</v>
      </c>
      <c r="E35" s="10">
        <f>'D) Ecrêtage'!M29</f>
        <v>0</v>
      </c>
      <c r="F35" s="388">
        <f>$F$10*'D) Ecrêtage'!C29</f>
        <v>217831.77278232382</v>
      </c>
      <c r="G35" s="57">
        <f t="shared" si="0"/>
        <v>247706.05778232383</v>
      </c>
    </row>
    <row r="36" spans="1:7" x14ac:dyDescent="0.25">
      <c r="A36" s="49">
        <f>'A) Base RI'!A32</f>
        <v>5431</v>
      </c>
      <c r="B36" s="285" t="str">
        <f>'A) Base RI'!B32</f>
        <v>Mollens</v>
      </c>
      <c r="C36" s="10">
        <f>'A) Base RI'!AO32</f>
        <v>308</v>
      </c>
      <c r="D36" s="388">
        <f>'C) Prél. conj.'!H30</f>
        <v>58256.139999999992</v>
      </c>
      <c r="E36" s="10">
        <f>'D) Ecrêtage'!M30</f>
        <v>0</v>
      </c>
      <c r="F36" s="388">
        <f>$F$10*'D) Ecrêtage'!C30</f>
        <v>156119.48526318913</v>
      </c>
      <c r="G36" s="57">
        <f t="shared" si="0"/>
        <v>214375.62526318911</v>
      </c>
    </row>
    <row r="37" spans="1:7" x14ac:dyDescent="0.25">
      <c r="A37" s="49">
        <f>'A) Base RI'!A33</f>
        <v>5432</v>
      </c>
      <c r="B37" s="285" t="str">
        <f>'A) Base RI'!B33</f>
        <v>Montherod</v>
      </c>
      <c r="C37" s="10">
        <f>'A) Base RI'!AO33</f>
        <v>541</v>
      </c>
      <c r="D37" s="388">
        <f>'C) Prél. conj.'!H31</f>
        <v>24703.234999999997</v>
      </c>
      <c r="E37" s="10">
        <f>'D) Ecrêtage'!M31</f>
        <v>0</v>
      </c>
      <c r="F37" s="388">
        <f>$F$10*'D) Ecrêtage'!C31</f>
        <v>236204.86310291279</v>
      </c>
      <c r="G37" s="57">
        <f t="shared" si="0"/>
        <v>260908.09810291277</v>
      </c>
    </row>
    <row r="38" spans="1:7" x14ac:dyDescent="0.25">
      <c r="A38" s="49">
        <f>'A) Base RI'!A34</f>
        <v>5434</v>
      </c>
      <c r="B38" s="285" t="str">
        <f>'A) Base RI'!B34</f>
        <v>Saint-George</v>
      </c>
      <c r="C38" s="10">
        <f>'A) Base RI'!AO34</f>
        <v>1063</v>
      </c>
      <c r="D38" s="388">
        <f>'C) Prél. conj.'!H32</f>
        <v>115321.145</v>
      </c>
      <c r="E38" s="10">
        <f>'D) Ecrêtage'!M32</f>
        <v>0</v>
      </c>
      <c r="F38" s="388">
        <f>$F$10*'D) Ecrêtage'!C32</f>
        <v>586265.32545881462</v>
      </c>
      <c r="G38" s="57">
        <f t="shared" si="0"/>
        <v>701586.47045881464</v>
      </c>
    </row>
    <row r="39" spans="1:7" x14ac:dyDescent="0.25">
      <c r="A39" s="49">
        <f>'A) Base RI'!A35</f>
        <v>5435</v>
      </c>
      <c r="B39" s="285" t="str">
        <f>'A) Base RI'!B35</f>
        <v>Saint-Livres</v>
      </c>
      <c r="C39" s="10">
        <f>'A) Base RI'!AO35</f>
        <v>691</v>
      </c>
      <c r="D39" s="388">
        <f>'C) Prél. conj.'!H33</f>
        <v>33623.509999999995</v>
      </c>
      <c r="E39" s="10">
        <f>'D) Ecrêtage'!M33</f>
        <v>0</v>
      </c>
      <c r="F39" s="388">
        <f>$F$10*'D) Ecrêtage'!C33</f>
        <v>357461.42466867733</v>
      </c>
      <c r="G39" s="57">
        <f t="shared" si="0"/>
        <v>391084.93466867734</v>
      </c>
    </row>
    <row r="40" spans="1:7" x14ac:dyDescent="0.25">
      <c r="A40" s="49">
        <f>'A) Base RI'!A36</f>
        <v>5436</v>
      </c>
      <c r="B40" s="285" t="str">
        <f>'A) Base RI'!B36</f>
        <v>Saint-Oyens</v>
      </c>
      <c r="C40" s="10">
        <f>'A) Base RI'!AO36</f>
        <v>447</v>
      </c>
      <c r="D40" s="388">
        <f>'C) Prél. conj.'!H34</f>
        <v>24132.355000000003</v>
      </c>
      <c r="E40" s="10">
        <f>'D) Ecrêtage'!M34</f>
        <v>0</v>
      </c>
      <c r="F40" s="388">
        <f>$F$10*'D) Ecrêtage'!C34</f>
        <v>243356.912997329</v>
      </c>
      <c r="G40" s="57">
        <f t="shared" si="0"/>
        <v>267489.26799732901</v>
      </c>
    </row>
    <row r="41" spans="1:7" x14ac:dyDescent="0.25">
      <c r="A41" s="49">
        <f>'A) Base RI'!A37</f>
        <v>5437</v>
      </c>
      <c r="B41" s="285" t="str">
        <f>'A) Base RI'!B37</f>
        <v>Saubraz</v>
      </c>
      <c r="C41" s="10">
        <f>'A) Base RI'!AO37</f>
        <v>423</v>
      </c>
      <c r="D41" s="388">
        <f>'C) Prél. conj.'!H35</f>
        <v>23259.375</v>
      </c>
      <c r="E41" s="10">
        <f>'D) Ecrêtage'!M35</f>
        <v>0</v>
      </c>
      <c r="F41" s="388">
        <f>$F$10*'D) Ecrêtage'!C35</f>
        <v>193273.8943914524</v>
      </c>
      <c r="G41" s="57">
        <f t="shared" si="0"/>
        <v>216533.2693914524</v>
      </c>
    </row>
    <row r="42" spans="1:7" x14ac:dyDescent="0.25">
      <c r="A42" s="49">
        <f>'A) Base RI'!A38</f>
        <v>5451</v>
      </c>
      <c r="B42" s="285" t="str">
        <f>'A) Base RI'!B38</f>
        <v>Avenches</v>
      </c>
      <c r="C42" s="10">
        <f>'A) Base RI'!AO38</f>
        <v>4305</v>
      </c>
      <c r="D42" s="388">
        <f>'C) Prél. conj.'!H36</f>
        <v>498829.64</v>
      </c>
      <c r="E42" s="10">
        <f>'D) Ecrêtage'!M36</f>
        <v>0</v>
      </c>
      <c r="F42" s="388">
        <f>$F$10*'D) Ecrêtage'!C36</f>
        <v>1900717.2878467531</v>
      </c>
      <c r="G42" s="57">
        <f t="shared" si="0"/>
        <v>2399546.927846753</v>
      </c>
    </row>
    <row r="43" spans="1:7" x14ac:dyDescent="0.25">
      <c r="A43" s="49">
        <f>'A) Base RI'!A39</f>
        <v>5456</v>
      </c>
      <c r="B43" s="285" t="str">
        <f>'A) Base RI'!B39</f>
        <v>Cudrefin</v>
      </c>
      <c r="C43" s="10">
        <f>'A) Base RI'!AO39</f>
        <v>1735</v>
      </c>
      <c r="D43" s="388">
        <f>'C) Prél. conj.'!H37</f>
        <v>577557.07500000007</v>
      </c>
      <c r="E43" s="10">
        <f>'D) Ecrêtage'!M37</f>
        <v>0</v>
      </c>
      <c r="F43" s="388">
        <f>$F$10*'D) Ecrêtage'!C37</f>
        <v>848492.28957925364</v>
      </c>
      <c r="G43" s="57">
        <f t="shared" si="0"/>
        <v>1426049.3645792538</v>
      </c>
    </row>
    <row r="44" spans="1:7" x14ac:dyDescent="0.25">
      <c r="A44" s="49">
        <f>'A) Base RI'!A40</f>
        <v>5458</v>
      </c>
      <c r="B44" s="285" t="str">
        <f>'A) Base RI'!B40</f>
        <v>Faoug</v>
      </c>
      <c r="C44" s="10">
        <f>'A) Base RI'!AO40</f>
        <v>884</v>
      </c>
      <c r="D44" s="388">
        <f>'C) Prél. conj.'!H38</f>
        <v>224652.97500000003</v>
      </c>
      <c r="E44" s="10">
        <f>'D) Ecrêtage'!M38</f>
        <v>0</v>
      </c>
      <c r="F44" s="388">
        <f>$F$10*'D) Ecrêtage'!C38</f>
        <v>486918.39206510416</v>
      </c>
      <c r="G44" s="57">
        <f t="shared" si="0"/>
        <v>711571.36706510419</v>
      </c>
    </row>
    <row r="45" spans="1:7" x14ac:dyDescent="0.25">
      <c r="A45" s="49">
        <f>'A) Base RI'!A41</f>
        <v>5464</v>
      </c>
      <c r="B45" s="285" t="str">
        <f>'A) Base RI'!B41</f>
        <v>Vully-les-Lacs</v>
      </c>
      <c r="C45" s="10">
        <f>'A) Base RI'!AO41</f>
        <v>3278</v>
      </c>
      <c r="D45" s="388">
        <f>'C) Prél. conj.'!H39</f>
        <v>380920.69999999995</v>
      </c>
      <c r="E45" s="10">
        <f>'D) Ecrêtage'!M39</f>
        <v>0</v>
      </c>
      <c r="F45" s="388">
        <f>$F$10*'D) Ecrêtage'!C39</f>
        <v>1656300.7122604332</v>
      </c>
      <c r="G45" s="57">
        <f t="shared" si="0"/>
        <v>2037221.4122604332</v>
      </c>
    </row>
    <row r="46" spans="1:7" x14ac:dyDescent="0.25">
      <c r="A46" s="49">
        <f>'A) Base RI'!A42</f>
        <v>5471</v>
      </c>
      <c r="B46" s="285" t="str">
        <f>'A) Base RI'!B42</f>
        <v>Bettens</v>
      </c>
      <c r="C46" s="10">
        <f>'A) Base RI'!AO42</f>
        <v>650</v>
      </c>
      <c r="D46" s="388">
        <f>'C) Prél. conj.'!H40</f>
        <v>30590.79</v>
      </c>
      <c r="E46" s="10">
        <f>'D) Ecrêtage'!M40</f>
        <v>0</v>
      </c>
      <c r="F46" s="388">
        <f>$F$10*'D) Ecrêtage'!C40</f>
        <v>318916.2427019875</v>
      </c>
      <c r="G46" s="57">
        <f t="shared" si="0"/>
        <v>349507.03270198748</v>
      </c>
    </row>
    <row r="47" spans="1:7" x14ac:dyDescent="0.25">
      <c r="A47" s="49">
        <f>'A) Base RI'!A43</f>
        <v>5472</v>
      </c>
      <c r="B47" s="285" t="str">
        <f>'A) Base RI'!B43</f>
        <v>Bournens</v>
      </c>
      <c r="C47" s="10">
        <f>'A) Base RI'!AO43</f>
        <v>422</v>
      </c>
      <c r="D47" s="388">
        <f>'C) Prél. conj.'!H41</f>
        <v>30123.65</v>
      </c>
      <c r="E47" s="10">
        <f>'D) Ecrêtage'!M41</f>
        <v>0</v>
      </c>
      <c r="F47" s="388">
        <f>$F$10*'D) Ecrêtage'!C41</f>
        <v>221332.19549740132</v>
      </c>
      <c r="G47" s="57">
        <f t="shared" si="0"/>
        <v>251455.84549740131</v>
      </c>
    </row>
    <row r="48" spans="1:7" x14ac:dyDescent="0.25">
      <c r="A48" s="49">
        <f>'A) Base RI'!A44</f>
        <v>5473</v>
      </c>
      <c r="B48" s="285" t="str">
        <f>'A) Base RI'!B44</f>
        <v>Boussens</v>
      </c>
      <c r="C48" s="10">
        <f>'A) Base RI'!AO44</f>
        <v>993</v>
      </c>
      <c r="D48" s="388">
        <f>'C) Prél. conj.'!H42</f>
        <v>45387.485000000001</v>
      </c>
      <c r="E48" s="10">
        <f>'D) Ecrêtage'!M42</f>
        <v>0</v>
      </c>
      <c r="F48" s="388">
        <f>$F$10*'D) Ecrêtage'!C42</f>
        <v>504651.79416090279</v>
      </c>
      <c r="G48" s="57">
        <f t="shared" si="0"/>
        <v>550039.27916090284</v>
      </c>
    </row>
    <row r="49" spans="1:7" x14ac:dyDescent="0.25">
      <c r="A49" s="49">
        <f>'A) Base RI'!A45</f>
        <v>5474</v>
      </c>
      <c r="B49" s="285" t="str">
        <f>'A) Base RI'!B45</f>
        <v>La Chaux (Cossonay)</v>
      </c>
      <c r="C49" s="10">
        <f>'A) Base RI'!AO45</f>
        <v>395</v>
      </c>
      <c r="D49" s="388">
        <f>'C) Prél. conj.'!H43</f>
        <v>51425.355000000003</v>
      </c>
      <c r="E49" s="10">
        <f>'D) Ecrêtage'!M43</f>
        <v>0</v>
      </c>
      <c r="F49" s="388">
        <f>$F$10*'D) Ecrêtage'!C43</f>
        <v>225119.03506338038</v>
      </c>
      <c r="G49" s="57">
        <f t="shared" si="0"/>
        <v>276544.39006338036</v>
      </c>
    </row>
    <row r="50" spans="1:7" x14ac:dyDescent="0.25">
      <c r="A50" s="49">
        <f>'A) Base RI'!A46</f>
        <v>5475</v>
      </c>
      <c r="B50" s="285" t="str">
        <f>'A) Base RI'!B46</f>
        <v>Chavannes-le-Veyron</v>
      </c>
      <c r="C50" s="10">
        <f>'A) Base RI'!AO46</f>
        <v>152</v>
      </c>
      <c r="D50" s="388">
        <f>'C) Prél. conj.'!H44</f>
        <v>12820.45</v>
      </c>
      <c r="E50" s="10">
        <f>'D) Ecrêtage'!M44</f>
        <v>0</v>
      </c>
      <c r="F50" s="388">
        <f>$F$10*'D) Ecrêtage'!C44</f>
        <v>44748.34843898868</v>
      </c>
      <c r="G50" s="57">
        <f t="shared" si="0"/>
        <v>57568.798438988684</v>
      </c>
    </row>
    <row r="51" spans="1:7" x14ac:dyDescent="0.25">
      <c r="A51" s="49">
        <f>'A) Base RI'!A47</f>
        <v>5476</v>
      </c>
      <c r="B51" s="285" t="str">
        <f>'A) Base RI'!B47</f>
        <v>Chevilly</v>
      </c>
      <c r="C51" s="10">
        <f>'A) Base RI'!AO47</f>
        <v>317</v>
      </c>
      <c r="D51" s="388">
        <f>'C) Prél. conj.'!H45</f>
        <v>0</v>
      </c>
      <c r="E51" s="10">
        <f>'D) Ecrêtage'!M45</f>
        <v>0</v>
      </c>
      <c r="F51" s="388">
        <f>$F$10*'D) Ecrêtage'!C45</f>
        <v>185586.88402302933</v>
      </c>
      <c r="G51" s="57">
        <f t="shared" si="0"/>
        <v>185586.88402302933</v>
      </c>
    </row>
    <row r="52" spans="1:7" x14ac:dyDescent="0.25">
      <c r="A52" s="49">
        <f>'A) Base RI'!A48</f>
        <v>5477</v>
      </c>
      <c r="B52" s="285" t="str">
        <f>'A) Base RI'!B48</f>
        <v>Cossonay</v>
      </c>
      <c r="C52" s="10">
        <f>'A) Base RI'!AO48</f>
        <v>4045</v>
      </c>
      <c r="D52" s="388">
        <f>'C) Prél. conj.'!H46</f>
        <v>254956.19</v>
      </c>
      <c r="E52" s="10">
        <f>'D) Ecrêtage'!M46</f>
        <v>0</v>
      </c>
      <c r="F52" s="388">
        <f>$F$10*'D) Ecrêtage'!C46</f>
        <v>2121247.2948869071</v>
      </c>
      <c r="G52" s="57">
        <f t="shared" si="0"/>
        <v>2376203.484886907</v>
      </c>
    </row>
    <row r="53" spans="1:7" x14ac:dyDescent="0.25">
      <c r="A53" s="49">
        <f>'A) Base RI'!A49</f>
        <v>5478</v>
      </c>
      <c r="B53" s="285" t="str">
        <f>'A) Base RI'!B49</f>
        <v>Cottens</v>
      </c>
      <c r="C53" s="10">
        <f>'A) Base RI'!AO49</f>
        <v>487</v>
      </c>
      <c r="D53" s="388">
        <f>'C) Prél. conj.'!H47</f>
        <v>52542.05</v>
      </c>
      <c r="E53" s="10">
        <f>'D) Ecrêtage'!M47</f>
        <v>0</v>
      </c>
      <c r="F53" s="388">
        <f>$F$10*'D) Ecrêtage'!C47</f>
        <v>258070.19945534985</v>
      </c>
      <c r="G53" s="57">
        <f t="shared" si="0"/>
        <v>310612.24945534987</v>
      </c>
    </row>
    <row r="54" spans="1:7" x14ac:dyDescent="0.25">
      <c r="A54" s="49">
        <f>'A) Base RI'!A50</f>
        <v>5479</v>
      </c>
      <c r="B54" s="285" t="str">
        <f>'A) Base RI'!B50</f>
        <v>Cuarnens</v>
      </c>
      <c r="C54" s="10">
        <f>'A) Base RI'!AO50</f>
        <v>486</v>
      </c>
      <c r="D54" s="388">
        <f>'C) Prél. conj.'!H48</f>
        <v>24929.300000000003</v>
      </c>
      <c r="E54" s="10">
        <f>'D) Ecrêtage'!M48</f>
        <v>0</v>
      </c>
      <c r="F54" s="388">
        <f>$F$10*'D) Ecrêtage'!C48</f>
        <v>253819.71581062689</v>
      </c>
      <c r="G54" s="57">
        <f t="shared" si="0"/>
        <v>278749.01581062691</v>
      </c>
    </row>
    <row r="55" spans="1:7" x14ac:dyDescent="0.25">
      <c r="A55" s="49">
        <f>'A) Base RI'!A51</f>
        <v>5480</v>
      </c>
      <c r="B55" s="285" t="str">
        <f>'A) Base RI'!B51</f>
        <v>Daillens</v>
      </c>
      <c r="C55" s="10">
        <f>'A) Base RI'!AO51</f>
        <v>1034</v>
      </c>
      <c r="D55" s="388">
        <f>'C) Prél. conj.'!H49</f>
        <v>104782.51499999998</v>
      </c>
      <c r="E55" s="10">
        <f>'D) Ecrêtage'!M49</f>
        <v>0</v>
      </c>
      <c r="F55" s="388">
        <f>$F$10*'D) Ecrêtage'!C49</f>
        <v>596003.25877627358</v>
      </c>
      <c r="G55" s="57">
        <f t="shared" si="0"/>
        <v>700785.77377627359</v>
      </c>
    </row>
    <row r="56" spans="1:7" x14ac:dyDescent="0.25">
      <c r="A56" s="49">
        <f>'A) Base RI'!A52</f>
        <v>5481</v>
      </c>
      <c r="B56" s="285" t="str">
        <f>'A) Base RI'!B52</f>
        <v>Dizy</v>
      </c>
      <c r="C56" s="10">
        <f>'A) Base RI'!AO52</f>
        <v>234</v>
      </c>
      <c r="D56" s="388">
        <f>'C) Prél. conj.'!H50</f>
        <v>67.825000000000003</v>
      </c>
      <c r="E56" s="10">
        <f>'D) Ecrêtage'!M50</f>
        <v>0</v>
      </c>
      <c r="F56" s="388">
        <f>$F$10*'D) Ecrêtage'!C50</f>
        <v>141899.47886319665</v>
      </c>
      <c r="G56" s="57">
        <f t="shared" si="0"/>
        <v>141967.30386319666</v>
      </c>
    </row>
    <row r="57" spans="1:7" x14ac:dyDescent="0.25">
      <c r="A57" s="49">
        <f>'A) Base RI'!A53</f>
        <v>5482</v>
      </c>
      <c r="B57" s="285" t="str">
        <f>'A) Base RI'!B53</f>
        <v>Eclépens</v>
      </c>
      <c r="C57" s="10">
        <f>'A) Base RI'!AO53</f>
        <v>1222</v>
      </c>
      <c r="D57" s="388">
        <f>'C) Prél. conj.'!H51</f>
        <v>154973.19</v>
      </c>
      <c r="E57" s="10">
        <f>'D) Ecrêtage'!M51</f>
        <v>23278.586618519046</v>
      </c>
      <c r="F57" s="388">
        <f>$F$10*'D) Ecrêtage'!C51</f>
        <v>883184.67443874595</v>
      </c>
      <c r="G57" s="57">
        <f t="shared" si="0"/>
        <v>1061436.451057265</v>
      </c>
    </row>
    <row r="58" spans="1:7" x14ac:dyDescent="0.25">
      <c r="A58" s="49">
        <f>'A) Base RI'!A54</f>
        <v>5483</v>
      </c>
      <c r="B58" s="285" t="str">
        <f>'A) Base RI'!B54</f>
        <v>Ferreyres</v>
      </c>
      <c r="C58" s="10">
        <f>'A) Base RI'!AO54</f>
        <v>320</v>
      </c>
      <c r="D58" s="388">
        <f>'C) Prél. conj.'!H52</f>
        <v>29923.649999999998</v>
      </c>
      <c r="E58" s="10">
        <f>'D) Ecrêtage'!M52</f>
        <v>0</v>
      </c>
      <c r="F58" s="388">
        <f>$F$10*'D) Ecrêtage'!C52</f>
        <v>164070.71435640976</v>
      </c>
      <c r="G58" s="57">
        <f t="shared" si="0"/>
        <v>193994.36435640976</v>
      </c>
    </row>
    <row r="59" spans="1:7" x14ac:dyDescent="0.25">
      <c r="A59" s="49">
        <f>'A) Base RI'!A55</f>
        <v>5484</v>
      </c>
      <c r="B59" s="285" t="str">
        <f>'A) Base RI'!B55</f>
        <v>Gollion</v>
      </c>
      <c r="C59" s="10">
        <f>'A) Base RI'!AO55</f>
        <v>939</v>
      </c>
      <c r="D59" s="388">
        <f>'C) Prél. conj.'!H53</f>
        <v>140458.47</v>
      </c>
      <c r="E59" s="10">
        <f>'D) Ecrêtage'!M53</f>
        <v>0</v>
      </c>
      <c r="F59" s="388">
        <f>$F$10*'D) Ecrêtage'!C53</f>
        <v>499434.36112841079</v>
      </c>
      <c r="G59" s="57">
        <f t="shared" si="0"/>
        <v>639892.83112841076</v>
      </c>
    </row>
    <row r="60" spans="1:7" x14ac:dyDescent="0.25">
      <c r="A60" s="49">
        <f>'A) Base RI'!A56</f>
        <v>5485</v>
      </c>
      <c r="B60" s="285" t="str">
        <f>'A) Base RI'!B56</f>
        <v>Grancy</v>
      </c>
      <c r="C60" s="10">
        <f>'A) Base RI'!AO56</f>
        <v>397</v>
      </c>
      <c r="D60" s="388">
        <f>'C) Prél. conj.'!H54</f>
        <v>44560.959999999999</v>
      </c>
      <c r="E60" s="10">
        <f>'D) Ecrêtage'!M54</f>
        <v>0</v>
      </c>
      <c r="F60" s="388">
        <f>$F$10*'D) Ecrêtage'!C54</f>
        <v>249118.91148010275</v>
      </c>
      <c r="G60" s="57">
        <f t="shared" si="0"/>
        <v>293679.87148010277</v>
      </c>
    </row>
    <row r="61" spans="1:7" x14ac:dyDescent="0.25">
      <c r="A61" s="49">
        <f>'A) Base RI'!A57</f>
        <v>5486</v>
      </c>
      <c r="B61" s="285" t="str">
        <f>'A) Base RI'!B57</f>
        <v>L'Isle</v>
      </c>
      <c r="C61" s="10">
        <f>'A) Base RI'!AO57</f>
        <v>1011</v>
      </c>
      <c r="D61" s="388">
        <f>'C) Prél. conj.'!H55</f>
        <v>319730.56</v>
      </c>
      <c r="E61" s="10">
        <f>'D) Ecrêtage'!M55</f>
        <v>0</v>
      </c>
      <c r="F61" s="388">
        <f>$F$10*'D) Ecrêtage'!C55</f>
        <v>523999.5311818879</v>
      </c>
      <c r="G61" s="57">
        <f t="shared" si="0"/>
        <v>843730.0911818879</v>
      </c>
    </row>
    <row r="62" spans="1:7" x14ac:dyDescent="0.25">
      <c r="A62" s="49">
        <f>'A) Base RI'!A58</f>
        <v>5487</v>
      </c>
      <c r="B62" s="285" t="str">
        <f>'A) Base RI'!B58</f>
        <v>Lussery-Villars</v>
      </c>
      <c r="C62" s="10">
        <f>'A) Base RI'!AO58</f>
        <v>459</v>
      </c>
      <c r="D62" s="388">
        <f>'C) Prél. conj.'!H56</f>
        <v>35106.824999999997</v>
      </c>
      <c r="E62" s="10">
        <f>'D) Ecrêtage'!M56</f>
        <v>0</v>
      </c>
      <c r="F62" s="388">
        <f>$F$10*'D) Ecrêtage'!C56</f>
        <v>227773.31828380493</v>
      </c>
      <c r="G62" s="57">
        <f t="shared" si="0"/>
        <v>262880.14328380494</v>
      </c>
    </row>
    <row r="63" spans="1:7" x14ac:dyDescent="0.25">
      <c r="A63" s="49">
        <f>'A) Base RI'!A59</f>
        <v>5488</v>
      </c>
      <c r="B63" s="285" t="str">
        <f>'A) Base RI'!B59</f>
        <v>Mauraz</v>
      </c>
      <c r="C63" s="10">
        <f>'A) Base RI'!AO59</f>
        <v>57</v>
      </c>
      <c r="D63" s="388">
        <f>'C) Prél. conj.'!H57</f>
        <v>0</v>
      </c>
      <c r="E63" s="10">
        <f>'D) Ecrêtage'!M57</f>
        <v>0</v>
      </c>
      <c r="F63" s="388">
        <f>$F$10*'D) Ecrêtage'!C57</f>
        <v>25736.907577120735</v>
      </c>
      <c r="G63" s="57">
        <f t="shared" si="0"/>
        <v>25736.907577120735</v>
      </c>
    </row>
    <row r="64" spans="1:7" x14ac:dyDescent="0.25">
      <c r="A64" s="49">
        <f>'A) Base RI'!A60</f>
        <v>5489</v>
      </c>
      <c r="B64" s="285" t="str">
        <f>'A) Base RI'!B60</f>
        <v>Mex</v>
      </c>
      <c r="C64" s="10">
        <f>'A) Base RI'!AO60</f>
        <v>718</v>
      </c>
      <c r="D64" s="388">
        <f>'C) Prél. conj.'!H58</f>
        <v>79509.925000000003</v>
      </c>
      <c r="E64" s="10">
        <f>'D) Ecrêtage'!M58</f>
        <v>565994.45048452739</v>
      </c>
      <c r="F64" s="388">
        <f>$F$10*'D) Ecrêtage'!C58</f>
        <v>924857.25431380479</v>
      </c>
      <c r="G64" s="57">
        <f t="shared" si="0"/>
        <v>1570361.6297983322</v>
      </c>
    </row>
    <row r="65" spans="1:7" x14ac:dyDescent="0.25">
      <c r="A65" s="49">
        <f>'A) Base RI'!A61</f>
        <v>5490</v>
      </c>
      <c r="B65" s="285" t="str">
        <f>'A) Base RI'!B61</f>
        <v>Moiry</v>
      </c>
      <c r="C65" s="10">
        <f>'A) Base RI'!AO61</f>
        <v>310</v>
      </c>
      <c r="D65" s="388">
        <f>'C) Prél. conj.'!H59</f>
        <v>9261.1749999999993</v>
      </c>
      <c r="E65" s="10">
        <f>'D) Ecrêtage'!M59</f>
        <v>0</v>
      </c>
      <c r="F65" s="388">
        <f>$F$10*'D) Ecrêtage'!C59</f>
        <v>122617.27583396461</v>
      </c>
      <c r="G65" s="57">
        <f t="shared" si="0"/>
        <v>131878.4508339646</v>
      </c>
    </row>
    <row r="66" spans="1:7" x14ac:dyDescent="0.25">
      <c r="A66" s="49">
        <f>'A) Base RI'!A62</f>
        <v>5491</v>
      </c>
      <c r="B66" s="285" t="str">
        <f>'A) Base RI'!B62</f>
        <v>Mont-la-Ville</v>
      </c>
      <c r="C66" s="10">
        <f>'A) Base RI'!AO62</f>
        <v>478</v>
      </c>
      <c r="D66" s="388">
        <f>'C) Prél. conj.'!H60</f>
        <v>13324.125</v>
      </c>
      <c r="E66" s="10">
        <f>'D) Ecrêtage'!M60</f>
        <v>0</v>
      </c>
      <c r="F66" s="388">
        <f>$F$10*'D) Ecrêtage'!C60</f>
        <v>207227.79719936699</v>
      </c>
      <c r="G66" s="57">
        <f t="shared" si="0"/>
        <v>220551.92219936699</v>
      </c>
    </row>
    <row r="67" spans="1:7" x14ac:dyDescent="0.25">
      <c r="A67" s="49">
        <f>'A) Base RI'!A63</f>
        <v>5492</v>
      </c>
      <c r="B67" s="285" t="str">
        <f>'A) Base RI'!B63</f>
        <v>Montricher</v>
      </c>
      <c r="C67" s="10">
        <f>'A) Base RI'!AO63</f>
        <v>964</v>
      </c>
      <c r="D67" s="388">
        <f>'C) Prél. conj.'!H61</f>
        <v>67971.8</v>
      </c>
      <c r="E67" s="10">
        <f>'D) Ecrêtage'!M61</f>
        <v>4479380.8658640273</v>
      </c>
      <c r="F67" s="388">
        <f>$F$10*'D) Ecrêtage'!C61</f>
        <v>2792686.7415977567</v>
      </c>
      <c r="G67" s="57">
        <f t="shared" si="0"/>
        <v>7340039.4074617838</v>
      </c>
    </row>
    <row r="68" spans="1:7" x14ac:dyDescent="0.25">
      <c r="A68" s="49">
        <f>'A) Base RI'!A64</f>
        <v>5493</v>
      </c>
      <c r="B68" s="285" t="str">
        <f>'A) Base RI'!B64</f>
        <v>Orny</v>
      </c>
      <c r="C68" s="10">
        <f>'A) Base RI'!AO64</f>
        <v>416</v>
      </c>
      <c r="D68" s="388">
        <f>'C) Prél. conj.'!H62</f>
        <v>85390.934999999983</v>
      </c>
      <c r="E68" s="10">
        <f>'D) Ecrêtage'!M62</f>
        <v>0</v>
      </c>
      <c r="F68" s="388">
        <f>$F$10*'D) Ecrêtage'!C62</f>
        <v>156746.83110591758</v>
      </c>
      <c r="G68" s="57">
        <f t="shared" si="0"/>
        <v>242137.76610591757</v>
      </c>
    </row>
    <row r="69" spans="1:7" x14ac:dyDescent="0.25">
      <c r="A69" s="49">
        <f>'A) Base RI'!A65</f>
        <v>5494</v>
      </c>
      <c r="B69" s="285" t="str">
        <f>'A) Base RI'!B65</f>
        <v>Pampigny</v>
      </c>
      <c r="C69" s="10">
        <f>'A) Base RI'!AO65</f>
        <v>1103</v>
      </c>
      <c r="D69" s="388">
        <f>'C) Prél. conj.'!H63</f>
        <v>98840.53</v>
      </c>
      <c r="E69" s="10">
        <f>'D) Ecrêtage'!M63</f>
        <v>0</v>
      </c>
      <c r="F69" s="388">
        <f>$F$10*'D) Ecrêtage'!C63</f>
        <v>543704.72952480323</v>
      </c>
      <c r="G69" s="57">
        <f t="shared" si="0"/>
        <v>642545.25952480326</v>
      </c>
    </row>
    <row r="70" spans="1:7" x14ac:dyDescent="0.25">
      <c r="A70" s="49">
        <f>'A) Base RI'!A66</f>
        <v>5495</v>
      </c>
      <c r="B70" s="285" t="str">
        <f>'A) Base RI'!B66</f>
        <v>Penthalaz</v>
      </c>
      <c r="C70" s="10">
        <f>'A) Base RI'!AO66</f>
        <v>3257</v>
      </c>
      <c r="D70" s="388">
        <f>'C) Prél. conj.'!H64</f>
        <v>218193.66999999998</v>
      </c>
      <c r="E70" s="10">
        <f>'D) Ecrêtage'!M64</f>
        <v>0</v>
      </c>
      <c r="F70" s="388">
        <f>$F$10*'D) Ecrêtage'!C64</f>
        <v>1400572.461785415</v>
      </c>
      <c r="G70" s="57">
        <f t="shared" si="0"/>
        <v>1618766.1317854149</v>
      </c>
    </row>
    <row r="71" spans="1:7" x14ac:dyDescent="0.25">
      <c r="A71" s="49">
        <f>'A) Base RI'!A67</f>
        <v>5496</v>
      </c>
      <c r="B71" s="285" t="str">
        <f>'A) Base RI'!B67</f>
        <v>Penthaz</v>
      </c>
      <c r="C71" s="10">
        <f>'A) Base RI'!AO67</f>
        <v>1760</v>
      </c>
      <c r="D71" s="388">
        <f>'C) Prél. conj.'!H65</f>
        <v>217375.54</v>
      </c>
      <c r="E71" s="10">
        <f>'D) Ecrêtage'!M65</f>
        <v>0</v>
      </c>
      <c r="F71" s="388">
        <f>$F$10*'D) Ecrêtage'!C65</f>
        <v>873695.12736684631</v>
      </c>
      <c r="G71" s="57">
        <f t="shared" si="0"/>
        <v>1091070.6673668462</v>
      </c>
    </row>
    <row r="72" spans="1:7" x14ac:dyDescent="0.25">
      <c r="A72" s="49">
        <f>'A) Base RI'!A68</f>
        <v>5497</v>
      </c>
      <c r="B72" s="285" t="str">
        <f>'A) Base RI'!B68</f>
        <v>Pompaples</v>
      </c>
      <c r="C72" s="10">
        <f>'A) Base RI'!AO68</f>
        <v>851</v>
      </c>
      <c r="D72" s="388">
        <f>'C) Prél. conj.'!H66</f>
        <v>120318.13500000001</v>
      </c>
      <c r="E72" s="10">
        <f>'D) Ecrêtage'!M66</f>
        <v>0</v>
      </c>
      <c r="F72" s="388">
        <f>$F$10*'D) Ecrêtage'!C66</f>
        <v>327625.73473845271</v>
      </c>
      <c r="G72" s="57">
        <f t="shared" si="0"/>
        <v>447943.86973845272</v>
      </c>
    </row>
    <row r="73" spans="1:7" x14ac:dyDescent="0.25">
      <c r="A73" s="49">
        <f>'A) Base RI'!A69</f>
        <v>5498</v>
      </c>
      <c r="B73" s="285" t="str">
        <f>'A) Base RI'!B69</f>
        <v>La Sarraz</v>
      </c>
      <c r="C73" s="10">
        <f>'A) Base RI'!AO69</f>
        <v>2651</v>
      </c>
      <c r="D73" s="388">
        <f>'C) Prél. conj.'!H67</f>
        <v>282066.65000000002</v>
      </c>
      <c r="E73" s="10">
        <f>'D) Ecrêtage'!M67</f>
        <v>0</v>
      </c>
      <c r="F73" s="388">
        <f>$F$10*'D) Ecrêtage'!C67</f>
        <v>1140760.6213115684</v>
      </c>
      <c r="G73" s="57">
        <f t="shared" si="0"/>
        <v>1422827.2713115686</v>
      </c>
    </row>
    <row r="74" spans="1:7" x14ac:dyDescent="0.25">
      <c r="A74" s="49">
        <f>'A) Base RI'!A70</f>
        <v>5499</v>
      </c>
      <c r="B74" s="285" t="str">
        <f>'A) Base RI'!B70</f>
        <v>Senarclens</v>
      </c>
      <c r="C74" s="10">
        <f>'A) Base RI'!AO70</f>
        <v>477</v>
      </c>
      <c r="D74" s="388">
        <f>'C) Prél. conj.'!H68</f>
        <v>60126.784999999996</v>
      </c>
      <c r="E74" s="10">
        <f>'D) Ecrêtage'!M68</f>
        <v>0</v>
      </c>
      <c r="F74" s="388">
        <f>$F$10*'D) Ecrêtage'!C68</f>
        <v>286733.07867175486</v>
      </c>
      <c r="G74" s="57">
        <f t="shared" si="0"/>
        <v>346859.86367175484</v>
      </c>
    </row>
    <row r="75" spans="1:7" x14ac:dyDescent="0.25">
      <c r="A75" s="49">
        <f>'A) Base RI'!A71</f>
        <v>5500</v>
      </c>
      <c r="B75" s="285" t="str">
        <f>'A) Base RI'!B71</f>
        <v>Sévery</v>
      </c>
      <c r="C75" s="10">
        <f>'A) Base RI'!AO71</f>
        <v>227</v>
      </c>
      <c r="D75" s="388">
        <f>'C) Prél. conj.'!H69</f>
        <v>15897.625</v>
      </c>
      <c r="E75" s="10">
        <f>'D) Ecrêtage'!M69</f>
        <v>0</v>
      </c>
      <c r="F75" s="388">
        <f>$F$10*'D) Ecrêtage'!C69</f>
        <v>102823.87439178079</v>
      </c>
      <c r="G75" s="57">
        <f t="shared" si="0"/>
        <v>118721.49939178079</v>
      </c>
    </row>
    <row r="76" spans="1:7" x14ac:dyDescent="0.25">
      <c r="A76" s="49">
        <f>'A) Base RI'!A72</f>
        <v>5501</v>
      </c>
      <c r="B76" s="285" t="str">
        <f>'A) Base RI'!B72</f>
        <v>Sullens</v>
      </c>
      <c r="C76" s="10">
        <f>'A) Base RI'!AO72</f>
        <v>1035</v>
      </c>
      <c r="D76" s="388">
        <f>'C) Prél. conj.'!H70</f>
        <v>90387.17</v>
      </c>
      <c r="E76" s="10">
        <f>'D) Ecrêtage'!M70</f>
        <v>0</v>
      </c>
      <c r="F76" s="388">
        <f>$F$10*'D) Ecrêtage'!C70</f>
        <v>594606.33740045608</v>
      </c>
      <c r="G76" s="57">
        <f t="shared" ref="G76:G139" si="1">D76+F76+E76</f>
        <v>684993.50740045612</v>
      </c>
    </row>
    <row r="77" spans="1:7" x14ac:dyDescent="0.25">
      <c r="A77" s="49">
        <f>'A) Base RI'!A73</f>
        <v>5503</v>
      </c>
      <c r="B77" s="285" t="str">
        <f>'A) Base RI'!B73</f>
        <v>Vufflens-la-Ville</v>
      </c>
      <c r="C77" s="10">
        <f>'A) Base RI'!AO73</f>
        <v>1295</v>
      </c>
      <c r="D77" s="388">
        <f>'C) Prél. conj.'!H71</f>
        <v>206744.03499999997</v>
      </c>
      <c r="E77" s="10">
        <f>'D) Ecrêtage'!M71</f>
        <v>458912.40274790593</v>
      </c>
      <c r="F77" s="388">
        <f>$F$10*'D) Ecrêtage'!C71</f>
        <v>1291742.0556436835</v>
      </c>
      <c r="G77" s="57">
        <f t="shared" si="1"/>
        <v>1957398.4933915893</v>
      </c>
    </row>
    <row r="78" spans="1:7" x14ac:dyDescent="0.25">
      <c r="A78" s="49">
        <f>'A) Base RI'!A74</f>
        <v>5511</v>
      </c>
      <c r="B78" s="285" t="str">
        <f>'A) Base RI'!B74</f>
        <v>Assens</v>
      </c>
      <c r="C78" s="10">
        <f>'A) Base RI'!AO74</f>
        <v>1074</v>
      </c>
      <c r="D78" s="388">
        <f>'C) Prél. conj.'!H72</f>
        <v>123351.04000000001</v>
      </c>
      <c r="E78" s="10">
        <f>'D) Ecrêtage'!M72</f>
        <v>0</v>
      </c>
      <c r="F78" s="388">
        <f>$F$10*'D) Ecrêtage'!C72</f>
        <v>735556.16643054946</v>
      </c>
      <c r="G78" s="57">
        <f t="shared" si="1"/>
        <v>858907.2064305495</v>
      </c>
    </row>
    <row r="79" spans="1:7" x14ac:dyDescent="0.25">
      <c r="A79" s="49">
        <f>'A) Base RI'!A75</f>
        <v>5512</v>
      </c>
      <c r="B79" s="285" t="str">
        <f>'A) Base RI'!B75</f>
        <v>Bercher</v>
      </c>
      <c r="C79" s="10">
        <f>'A) Base RI'!AO75</f>
        <v>1280</v>
      </c>
      <c r="D79" s="388">
        <f>'C) Prél. conj.'!H73</f>
        <v>87855.275000000009</v>
      </c>
      <c r="E79" s="10">
        <f>'D) Ecrêtage'!M73</f>
        <v>0</v>
      </c>
      <c r="F79" s="388">
        <f>$F$10*'D) Ecrêtage'!C73</f>
        <v>587729.10676823941</v>
      </c>
      <c r="G79" s="57">
        <f t="shared" si="1"/>
        <v>675584.38176823943</v>
      </c>
    </row>
    <row r="80" spans="1:7" x14ac:dyDescent="0.25">
      <c r="A80" s="49">
        <f>'A) Base RI'!A76</f>
        <v>5513</v>
      </c>
      <c r="B80" s="285" t="str">
        <f>'A) Base RI'!B76</f>
        <v>Bioley-Orjulaz</v>
      </c>
      <c r="C80" s="10">
        <f>'A) Base RI'!AO76</f>
        <v>521</v>
      </c>
      <c r="D80" s="388">
        <f>'C) Prél. conj.'!H74</f>
        <v>63468.43</v>
      </c>
      <c r="E80" s="10">
        <f>'D) Ecrêtage'!M74</f>
        <v>0</v>
      </c>
      <c r="F80" s="388">
        <f>$F$10*'D) Ecrêtage'!C74</f>
        <v>323751.49201140332</v>
      </c>
      <c r="G80" s="57">
        <f t="shared" si="1"/>
        <v>387219.92201140331</v>
      </c>
    </row>
    <row r="81" spans="1:7" x14ac:dyDescent="0.25">
      <c r="A81" s="49">
        <f>'A) Base RI'!A77</f>
        <v>5514</v>
      </c>
      <c r="B81" s="285" t="str">
        <f>'A) Base RI'!B77</f>
        <v>Bottens</v>
      </c>
      <c r="C81" s="10">
        <f>'A) Base RI'!AO77</f>
        <v>1299</v>
      </c>
      <c r="D81" s="388">
        <f>'C) Prél. conj.'!H75</f>
        <v>63287.665000000001</v>
      </c>
      <c r="E81" s="10">
        <f>'D) Ecrêtage'!M75</f>
        <v>0</v>
      </c>
      <c r="F81" s="388">
        <f>$F$10*'D) Ecrêtage'!C75</f>
        <v>599167.03601008013</v>
      </c>
      <c r="G81" s="57">
        <f t="shared" si="1"/>
        <v>662454.70101008017</v>
      </c>
    </row>
    <row r="82" spans="1:7" x14ac:dyDescent="0.25">
      <c r="A82" s="49">
        <f>'A) Base RI'!A78</f>
        <v>5515</v>
      </c>
      <c r="B82" s="285" t="str">
        <f>'A) Base RI'!B78</f>
        <v>Bretigny-sur-Morrens</v>
      </c>
      <c r="C82" s="10">
        <f>'A) Base RI'!AO78</f>
        <v>861</v>
      </c>
      <c r="D82" s="388">
        <f>'C) Prél. conj.'!H76</f>
        <v>96182.95</v>
      </c>
      <c r="E82" s="10">
        <f>'D) Ecrêtage'!M76</f>
        <v>0</v>
      </c>
      <c r="F82" s="388">
        <f>$F$10*'D) Ecrêtage'!C76</f>
        <v>423485.45642261766</v>
      </c>
      <c r="G82" s="57">
        <f t="shared" si="1"/>
        <v>519668.40642261767</v>
      </c>
    </row>
    <row r="83" spans="1:7" x14ac:dyDescent="0.25">
      <c r="A83" s="49">
        <f>'A) Base RI'!A79</f>
        <v>5516</v>
      </c>
      <c r="B83" s="285" t="str">
        <f>'A) Base RI'!B79</f>
        <v>Cugy</v>
      </c>
      <c r="C83" s="10">
        <f>'A) Base RI'!AO79</f>
        <v>2768</v>
      </c>
      <c r="D83" s="388">
        <f>'C) Prél. conj.'!H77</f>
        <v>147649.5</v>
      </c>
      <c r="E83" s="10">
        <f>'D) Ecrêtage'!M77</f>
        <v>0</v>
      </c>
      <c r="F83" s="388">
        <f>$F$10*'D) Ecrêtage'!C77</f>
        <v>1633115.8706982615</v>
      </c>
      <c r="G83" s="57">
        <f t="shared" si="1"/>
        <v>1780765.3706982615</v>
      </c>
    </row>
    <row r="84" spans="1:7" x14ac:dyDescent="0.25">
      <c r="A84" s="49">
        <f>'A) Base RI'!A80</f>
        <v>5518</v>
      </c>
      <c r="B84" s="285" t="str">
        <f>'A) Base RI'!B80</f>
        <v>Echallens</v>
      </c>
      <c r="C84" s="10">
        <f>'A) Base RI'!AO80</f>
        <v>5725</v>
      </c>
      <c r="D84" s="388">
        <f>'C) Prél. conj.'!H78</f>
        <v>764506.51</v>
      </c>
      <c r="E84" s="10">
        <f>'D) Ecrêtage'!M78</f>
        <v>0</v>
      </c>
      <c r="F84" s="388">
        <f>$F$10*'D) Ecrêtage'!C78</f>
        <v>2759243.1476180102</v>
      </c>
      <c r="G84" s="57">
        <f t="shared" si="1"/>
        <v>3523749.6576180104</v>
      </c>
    </row>
    <row r="85" spans="1:7" x14ac:dyDescent="0.25">
      <c r="A85" s="49">
        <f>'A) Base RI'!A81</f>
        <v>5520</v>
      </c>
      <c r="B85" s="285" t="str">
        <f>'A) Base RI'!B81</f>
        <v>Essertines-sur-Yverdon</v>
      </c>
      <c r="C85" s="10">
        <f>'A) Base RI'!AO81</f>
        <v>1030</v>
      </c>
      <c r="D85" s="388">
        <f>'C) Prél. conj.'!H79</f>
        <v>62991.799999999996</v>
      </c>
      <c r="E85" s="10">
        <f>'D) Ecrêtage'!M79</f>
        <v>0</v>
      </c>
      <c r="F85" s="388">
        <f>$F$10*'D) Ecrêtage'!C79</f>
        <v>438653.99719286675</v>
      </c>
      <c r="G85" s="57">
        <f t="shared" si="1"/>
        <v>501645.79719286674</v>
      </c>
    </row>
    <row r="86" spans="1:7" x14ac:dyDescent="0.25">
      <c r="A86" s="49">
        <f>'A) Base RI'!A82</f>
        <v>5521</v>
      </c>
      <c r="B86" s="285" t="str">
        <f>'A) Base RI'!B82</f>
        <v>Etagnières</v>
      </c>
      <c r="C86" s="10">
        <f>'A) Base RI'!AO82</f>
        <v>1143</v>
      </c>
      <c r="D86" s="388">
        <f>'C) Prél. conj.'!H80</f>
        <v>131865.79</v>
      </c>
      <c r="E86" s="10">
        <f>'D) Ecrêtage'!M80</f>
        <v>0</v>
      </c>
      <c r="F86" s="388">
        <f>$F$10*'D) Ecrêtage'!C80</f>
        <v>709270.99758173106</v>
      </c>
      <c r="G86" s="57">
        <f t="shared" si="1"/>
        <v>841136.7875817311</v>
      </c>
    </row>
    <row r="87" spans="1:7" x14ac:dyDescent="0.25">
      <c r="A87" s="49">
        <f>'A) Base RI'!A83</f>
        <v>5522</v>
      </c>
      <c r="B87" s="285" t="str">
        <f>'A) Base RI'!B83</f>
        <v>Fey</v>
      </c>
      <c r="C87" s="10">
        <f>'A) Base RI'!AO83</f>
        <v>751</v>
      </c>
      <c r="D87" s="388">
        <f>'C) Prél. conj.'!H81</f>
        <v>52140.214999999997</v>
      </c>
      <c r="E87" s="10">
        <f>'D) Ecrêtage'!M81</f>
        <v>0</v>
      </c>
      <c r="F87" s="388">
        <f>$F$10*'D) Ecrêtage'!C81</f>
        <v>333894.1723060821</v>
      </c>
      <c r="G87" s="57">
        <f t="shared" si="1"/>
        <v>386034.38730608206</v>
      </c>
    </row>
    <row r="88" spans="1:7" x14ac:dyDescent="0.25">
      <c r="A88" s="49">
        <f>'A) Base RI'!A84</f>
        <v>5523</v>
      </c>
      <c r="B88" s="285" t="str">
        <f>'A) Base RI'!B84</f>
        <v>Froideville</v>
      </c>
      <c r="C88" s="10">
        <f>'A) Base RI'!AO84</f>
        <v>2638</v>
      </c>
      <c r="D88" s="388">
        <f>'C) Prél. conj.'!H82</f>
        <v>124868.83500000001</v>
      </c>
      <c r="E88" s="10">
        <f>'D) Ecrêtage'!M82</f>
        <v>0</v>
      </c>
      <c r="F88" s="388">
        <f>$F$10*'D) Ecrêtage'!C82</f>
        <v>1310918.6006365626</v>
      </c>
      <c r="G88" s="57">
        <f t="shared" si="1"/>
        <v>1435787.4356365625</v>
      </c>
    </row>
    <row r="89" spans="1:7" x14ac:dyDescent="0.25">
      <c r="A89" s="49">
        <f>'A) Base RI'!A85</f>
        <v>5527</v>
      </c>
      <c r="B89" s="285" t="str">
        <f>'A) Base RI'!B85</f>
        <v>Morrens</v>
      </c>
      <c r="C89" s="10">
        <f>'A) Base RI'!AO85</f>
        <v>1126</v>
      </c>
      <c r="D89" s="388">
        <f>'C) Prél. conj.'!H83</f>
        <v>118710.88499999999</v>
      </c>
      <c r="E89" s="10">
        <f>'D) Ecrêtage'!M83</f>
        <v>0</v>
      </c>
      <c r="F89" s="388">
        <f>$F$10*'D) Ecrêtage'!C83</f>
        <v>589661.91163292411</v>
      </c>
      <c r="G89" s="57">
        <f t="shared" si="1"/>
        <v>708372.79663292412</v>
      </c>
    </row>
    <row r="90" spans="1:7" x14ac:dyDescent="0.25">
      <c r="A90" s="49">
        <f>'A) Base RI'!A86</f>
        <v>5529</v>
      </c>
      <c r="B90" s="285" t="str">
        <f>'A) Base RI'!B86</f>
        <v>Oulens-sous-Echallens</v>
      </c>
      <c r="C90" s="10">
        <f>'A) Base RI'!AO86</f>
        <v>615</v>
      </c>
      <c r="D90" s="388">
        <f>'C) Prél. conj.'!H84</f>
        <v>39416.415000000001</v>
      </c>
      <c r="E90" s="10">
        <f>'D) Ecrêtage'!M84</f>
        <v>0</v>
      </c>
      <c r="F90" s="388">
        <f>$F$10*'D) Ecrêtage'!C84</f>
        <v>317367.63827943971</v>
      </c>
      <c r="G90" s="57">
        <f t="shared" si="1"/>
        <v>356784.05327943969</v>
      </c>
    </row>
    <row r="91" spans="1:7" x14ac:dyDescent="0.25">
      <c r="A91" s="49">
        <f>'A) Base RI'!A87</f>
        <v>5530</v>
      </c>
      <c r="B91" s="285" t="str">
        <f>'A) Base RI'!B87</f>
        <v>Pailly</v>
      </c>
      <c r="C91" s="10">
        <f>'A) Base RI'!AO87</f>
        <v>563</v>
      </c>
      <c r="D91" s="388">
        <f>'C) Prél. conj.'!H85</f>
        <v>52889.1</v>
      </c>
      <c r="E91" s="10">
        <f>'D) Ecrêtage'!M85</f>
        <v>0</v>
      </c>
      <c r="F91" s="388">
        <f>$F$10*'D) Ecrêtage'!C85</f>
        <v>258932.66237022486</v>
      </c>
      <c r="G91" s="57">
        <f t="shared" si="1"/>
        <v>311821.76237022487</v>
      </c>
    </row>
    <row r="92" spans="1:7" x14ac:dyDescent="0.25">
      <c r="A92" s="49">
        <f>'A) Base RI'!A88</f>
        <v>5531</v>
      </c>
      <c r="B92" s="285" t="str">
        <f>'A) Base RI'!B88</f>
        <v>Penthéréaz</v>
      </c>
      <c r="C92" s="10">
        <f>'A) Base RI'!AO88</f>
        <v>421</v>
      </c>
      <c r="D92" s="388">
        <f>'C) Prél. conj.'!H86</f>
        <v>7123.3600000000006</v>
      </c>
      <c r="E92" s="10">
        <f>'D) Ecrêtage'!M86</f>
        <v>0</v>
      </c>
      <c r="F92" s="388">
        <f>$F$10*'D) Ecrêtage'!C86</f>
        <v>215281.22966746631</v>
      </c>
      <c r="G92" s="57">
        <f t="shared" si="1"/>
        <v>222404.58966746629</v>
      </c>
    </row>
    <row r="93" spans="1:7" x14ac:dyDescent="0.25">
      <c r="A93" s="49">
        <f>'A) Base RI'!A89</f>
        <v>5533</v>
      </c>
      <c r="B93" s="285" t="str">
        <f>'A) Base RI'!B89</f>
        <v>Poliez-Pittet</v>
      </c>
      <c r="C93" s="10">
        <f>'A) Base RI'!AO89</f>
        <v>829</v>
      </c>
      <c r="D93" s="388">
        <f>'C) Prél. conj.'!H87</f>
        <v>71402.934999999998</v>
      </c>
      <c r="E93" s="10">
        <f>'D) Ecrêtage'!M87</f>
        <v>0</v>
      </c>
      <c r="F93" s="388">
        <f>$F$10*'D) Ecrêtage'!C87</f>
        <v>335489.49227201473</v>
      </c>
      <c r="G93" s="57">
        <f t="shared" si="1"/>
        <v>406892.42727201473</v>
      </c>
    </row>
    <row r="94" spans="1:7" x14ac:dyDescent="0.25">
      <c r="A94" s="49">
        <f>'A) Base RI'!A90</f>
        <v>5534</v>
      </c>
      <c r="B94" s="285" t="str">
        <f>'A) Base RI'!B90</f>
        <v>Rueyres</v>
      </c>
      <c r="C94" s="10">
        <f>'A) Base RI'!AO90</f>
        <v>265</v>
      </c>
      <c r="D94" s="388">
        <f>'C) Prél. conj.'!H88</f>
        <v>25147.55</v>
      </c>
      <c r="E94" s="10">
        <f>'D) Ecrêtage'!M88</f>
        <v>0</v>
      </c>
      <c r="F94" s="388">
        <f>$F$10*'D) Ecrêtage'!C88</f>
        <v>153727.71936963403</v>
      </c>
      <c r="G94" s="57">
        <f t="shared" si="1"/>
        <v>178875.26936963401</v>
      </c>
    </row>
    <row r="95" spans="1:7" x14ac:dyDescent="0.25">
      <c r="A95" s="49">
        <f>'A) Base RI'!A91</f>
        <v>5535</v>
      </c>
      <c r="B95" s="285" t="str">
        <f>'A) Base RI'!B91</f>
        <v>Saint-Barthélemy</v>
      </c>
      <c r="C95" s="10">
        <f>'A) Base RI'!AO91</f>
        <v>791</v>
      </c>
      <c r="D95" s="388">
        <f>'C) Prél. conj.'!H89</f>
        <v>48375.07</v>
      </c>
      <c r="E95" s="10">
        <f>'D) Ecrêtage'!M89</f>
        <v>0</v>
      </c>
      <c r="F95" s="388">
        <f>$F$10*'D) Ecrêtage'!C89</f>
        <v>330242.04284527974</v>
      </c>
      <c r="G95" s="57">
        <f t="shared" si="1"/>
        <v>378617.11284527974</v>
      </c>
    </row>
    <row r="96" spans="1:7" x14ac:dyDescent="0.25">
      <c r="A96" s="49">
        <f>'A) Base RI'!A92</f>
        <v>5537</v>
      </c>
      <c r="B96" s="285" t="str">
        <f>'A) Base RI'!B92</f>
        <v>Villars-le-Terroir</v>
      </c>
      <c r="C96" s="10">
        <f>'A) Base RI'!AO92</f>
        <v>1228</v>
      </c>
      <c r="D96" s="388">
        <f>'C) Prél. conj.'!H90</f>
        <v>47089.225000000006</v>
      </c>
      <c r="E96" s="10">
        <f>'D) Ecrêtage'!M90</f>
        <v>0</v>
      </c>
      <c r="F96" s="388">
        <f>$F$10*'D) Ecrêtage'!C90</f>
        <v>532829.74561039486</v>
      </c>
      <c r="G96" s="57">
        <f t="shared" si="1"/>
        <v>579918.97061039484</v>
      </c>
    </row>
    <row r="97" spans="1:7" x14ac:dyDescent="0.25">
      <c r="A97" s="49">
        <f>'A) Base RI'!A93</f>
        <v>5539</v>
      </c>
      <c r="B97" s="285" t="str">
        <f>'A) Base RI'!B93</f>
        <v>Vuarrens</v>
      </c>
      <c r="C97" s="10">
        <f>'A) Base RI'!AO93</f>
        <v>1054</v>
      </c>
      <c r="D97" s="388">
        <f>'C) Prél. conj.'!H91</f>
        <v>103342.37</v>
      </c>
      <c r="E97" s="10">
        <f>'D) Ecrêtage'!M91</f>
        <v>0</v>
      </c>
      <c r="F97" s="388">
        <f>$F$10*'D) Ecrêtage'!C91</f>
        <v>440744.06591579423</v>
      </c>
      <c r="G97" s="57">
        <f t="shared" si="1"/>
        <v>544086.43591579422</v>
      </c>
    </row>
    <row r="98" spans="1:7" x14ac:dyDescent="0.25">
      <c r="A98" s="49">
        <f>'A) Base RI'!A94</f>
        <v>5540</v>
      </c>
      <c r="B98" s="285" t="str">
        <f>'A) Base RI'!B94</f>
        <v>Montilliez</v>
      </c>
      <c r="C98" s="10">
        <f>'A) Base RI'!AO94</f>
        <v>1819</v>
      </c>
      <c r="D98" s="388">
        <f>'C) Prél. conj.'!H92</f>
        <v>78916.19</v>
      </c>
      <c r="E98" s="10">
        <f>'D) Ecrêtage'!M92</f>
        <v>0</v>
      </c>
      <c r="F98" s="388">
        <f>$F$10*'D) Ecrêtage'!C92</f>
        <v>951426.45887177531</v>
      </c>
      <c r="G98" s="57">
        <f t="shared" si="1"/>
        <v>1030342.6488717753</v>
      </c>
    </row>
    <row r="99" spans="1:7" x14ac:dyDescent="0.25">
      <c r="A99" s="49">
        <f>'A) Base RI'!A95</f>
        <v>5541</v>
      </c>
      <c r="B99" s="285" t="str">
        <f>'A) Base RI'!B95</f>
        <v>Goumoëns</v>
      </c>
      <c r="C99" s="10">
        <f>'A) Base RI'!AO95</f>
        <v>1140</v>
      </c>
      <c r="D99" s="388">
        <f>'C) Prél. conj.'!H93</f>
        <v>108573.57</v>
      </c>
      <c r="E99" s="10">
        <f>'D) Ecrêtage'!M93</f>
        <v>0</v>
      </c>
      <c r="F99" s="388">
        <f>$F$10*'D) Ecrêtage'!C93</f>
        <v>549294.12844688748</v>
      </c>
      <c r="G99" s="57">
        <f t="shared" si="1"/>
        <v>657867.69844688755</v>
      </c>
    </row>
    <row r="100" spans="1:7" x14ac:dyDescent="0.25">
      <c r="A100" s="49">
        <f>'A) Base RI'!A96</f>
        <v>5551</v>
      </c>
      <c r="B100" s="285" t="str">
        <f>'A) Base RI'!B96</f>
        <v>Bonvillars</v>
      </c>
      <c r="C100" s="10">
        <f>'A) Base RI'!AO96</f>
        <v>490</v>
      </c>
      <c r="D100" s="388">
        <f>'C) Prél. conj.'!H94</f>
        <v>12254.75</v>
      </c>
      <c r="E100" s="10">
        <f>'D) Ecrêtage'!M94</f>
        <v>0</v>
      </c>
      <c r="F100" s="388">
        <f>$F$10*'D) Ecrêtage'!C94</f>
        <v>268587.01954863907</v>
      </c>
      <c r="G100" s="57">
        <f t="shared" si="1"/>
        <v>280841.76954863907</v>
      </c>
    </row>
    <row r="101" spans="1:7" x14ac:dyDescent="0.25">
      <c r="A101" s="49">
        <f>'A) Base RI'!A97</f>
        <v>5552</v>
      </c>
      <c r="B101" s="285" t="str">
        <f>'A) Base RI'!B97</f>
        <v>Bullet</v>
      </c>
      <c r="C101" s="10">
        <f>'A) Base RI'!AO97</f>
        <v>657</v>
      </c>
      <c r="D101" s="388">
        <f>'C) Prél. conj.'!H95</f>
        <v>66570.875</v>
      </c>
      <c r="E101" s="10">
        <f>'D) Ecrêtage'!M95</f>
        <v>0</v>
      </c>
      <c r="F101" s="388">
        <f>$F$10*'D) Ecrêtage'!C95</f>
        <v>269913.17856612243</v>
      </c>
      <c r="G101" s="57">
        <f t="shared" si="1"/>
        <v>336484.05356612243</v>
      </c>
    </row>
    <row r="102" spans="1:7" x14ac:dyDescent="0.25">
      <c r="A102" s="49">
        <f>'A) Base RI'!A98</f>
        <v>5553</v>
      </c>
      <c r="B102" s="285" t="str">
        <f>'A) Base RI'!B98</f>
        <v>Champagne</v>
      </c>
      <c r="C102" s="10">
        <f>'A) Base RI'!AO98</f>
        <v>1059</v>
      </c>
      <c r="D102" s="388">
        <f>'C) Prél. conj.'!H96</f>
        <v>109462.675</v>
      </c>
      <c r="E102" s="10">
        <f>'D) Ecrêtage'!M96</f>
        <v>0</v>
      </c>
      <c r="F102" s="388">
        <f>$F$10*'D) Ecrêtage'!C96</f>
        <v>553785.18470694614</v>
      </c>
      <c r="G102" s="57">
        <f t="shared" si="1"/>
        <v>663247.85970694618</v>
      </c>
    </row>
    <row r="103" spans="1:7" x14ac:dyDescent="0.25">
      <c r="A103" s="49">
        <f>'A) Base RI'!A99</f>
        <v>5554</v>
      </c>
      <c r="B103" s="285" t="str">
        <f>'A) Base RI'!B99</f>
        <v>Concise</v>
      </c>
      <c r="C103" s="10">
        <f>'A) Base RI'!AO99</f>
        <v>1025</v>
      </c>
      <c r="D103" s="388">
        <f>'C) Prél. conj.'!H97</f>
        <v>185270.31499999997</v>
      </c>
      <c r="E103" s="10">
        <f>'D) Ecrêtage'!M97</f>
        <v>0</v>
      </c>
      <c r="F103" s="388">
        <f>$F$10*'D) Ecrêtage'!C97</f>
        <v>489037.15785226045</v>
      </c>
      <c r="G103" s="57">
        <f t="shared" si="1"/>
        <v>674307.47285226046</v>
      </c>
    </row>
    <row r="104" spans="1:7" x14ac:dyDescent="0.25">
      <c r="A104" s="49">
        <f>'A) Base RI'!A100</f>
        <v>5555</v>
      </c>
      <c r="B104" s="285" t="str">
        <f>'A) Base RI'!B100</f>
        <v>Corcelles-près-Concise</v>
      </c>
      <c r="C104" s="10">
        <f>'A) Base RI'!AO100</f>
        <v>401</v>
      </c>
      <c r="D104" s="388">
        <f>'C) Prél. conj.'!H98</f>
        <v>46103.684999999998</v>
      </c>
      <c r="E104" s="10">
        <f>'D) Ecrêtage'!M98</f>
        <v>0</v>
      </c>
      <c r="F104" s="388">
        <f>$F$10*'D) Ecrêtage'!C98</f>
        <v>198903.65807380195</v>
      </c>
      <c r="G104" s="57">
        <f t="shared" si="1"/>
        <v>245007.34307380195</v>
      </c>
    </row>
    <row r="105" spans="1:7" x14ac:dyDescent="0.25">
      <c r="A105" s="49">
        <f>'A) Base RI'!A101</f>
        <v>5556</v>
      </c>
      <c r="B105" s="285" t="str">
        <f>'A) Base RI'!B101</f>
        <v>Fiez</v>
      </c>
      <c r="C105" s="10">
        <f>'A) Base RI'!AO101</f>
        <v>445</v>
      </c>
      <c r="D105" s="388">
        <f>'C) Prél. conj.'!H99</f>
        <v>14574.55</v>
      </c>
      <c r="E105" s="10">
        <f>'D) Ecrêtage'!M99</f>
        <v>0</v>
      </c>
      <c r="F105" s="388">
        <f>$F$10*'D) Ecrêtage'!C99</f>
        <v>191713.93251945457</v>
      </c>
      <c r="G105" s="57">
        <f t="shared" si="1"/>
        <v>206288.48251945456</v>
      </c>
    </row>
    <row r="106" spans="1:7" x14ac:dyDescent="0.25">
      <c r="A106" s="49">
        <f>'A) Base RI'!A102</f>
        <v>5557</v>
      </c>
      <c r="B106" s="285" t="str">
        <f>'A) Base RI'!B102</f>
        <v>Fontaines-sur-Grandson</v>
      </c>
      <c r="C106" s="10">
        <f>'A) Base RI'!AO102</f>
        <v>215</v>
      </c>
      <c r="D106" s="388">
        <f>'C) Prél. conj.'!H100</f>
        <v>2183.8000000000002</v>
      </c>
      <c r="E106" s="10">
        <f>'D) Ecrêtage'!M100</f>
        <v>0</v>
      </c>
      <c r="F106" s="388">
        <f>$F$10*'D) Ecrêtage'!C100</f>
        <v>96171.640150835447</v>
      </c>
      <c r="G106" s="57">
        <f t="shared" si="1"/>
        <v>98355.440150835449</v>
      </c>
    </row>
    <row r="107" spans="1:7" x14ac:dyDescent="0.25">
      <c r="A107" s="49">
        <f>'A) Base RI'!A103</f>
        <v>5559</v>
      </c>
      <c r="B107" s="285" t="str">
        <f>'A) Base RI'!B103</f>
        <v>Giez</v>
      </c>
      <c r="C107" s="10">
        <f>'A) Base RI'!AO103</f>
        <v>414</v>
      </c>
      <c r="D107" s="388">
        <f>'C) Prél. conj.'!H101</f>
        <v>41059.24</v>
      </c>
      <c r="E107" s="10">
        <f>'D) Ecrêtage'!M101</f>
        <v>17329.526313748171</v>
      </c>
      <c r="F107" s="388">
        <f>$F$10*'D) Ecrêtage'!C101</f>
        <v>305906.60964330623</v>
      </c>
      <c r="G107" s="57">
        <f t="shared" si="1"/>
        <v>364295.37595705438</v>
      </c>
    </row>
    <row r="108" spans="1:7" x14ac:dyDescent="0.25">
      <c r="A108" s="49">
        <f>'A) Base RI'!A104</f>
        <v>5560</v>
      </c>
      <c r="B108" s="285" t="str">
        <f>'A) Base RI'!B104</f>
        <v>Grandevent</v>
      </c>
      <c r="C108" s="10">
        <f>'A) Base RI'!AO104</f>
        <v>222</v>
      </c>
      <c r="D108" s="388">
        <f>'C) Prél. conj.'!H102</f>
        <v>14172.225</v>
      </c>
      <c r="E108" s="10">
        <f>'D) Ecrêtage'!M102</f>
        <v>0</v>
      </c>
      <c r="F108" s="388">
        <f>$F$10*'D) Ecrêtage'!C102</f>
        <v>108804.88739867072</v>
      </c>
      <c r="G108" s="57">
        <f t="shared" si="1"/>
        <v>122977.11239867072</v>
      </c>
    </row>
    <row r="109" spans="1:7" x14ac:dyDescent="0.25">
      <c r="A109" s="49">
        <f>'A) Base RI'!A105</f>
        <v>5561</v>
      </c>
      <c r="B109" s="285" t="str">
        <f>'A) Base RI'!B105</f>
        <v>Grandson</v>
      </c>
      <c r="C109" s="10">
        <f>'A) Base RI'!AO105</f>
        <v>3340</v>
      </c>
      <c r="D109" s="388">
        <f>'C) Prél. conj.'!H103</f>
        <v>1318244.6099999999</v>
      </c>
      <c r="E109" s="10">
        <f>'D) Ecrêtage'!M103</f>
        <v>0</v>
      </c>
      <c r="F109" s="388">
        <f>$F$10*'D) Ecrêtage'!C103</f>
        <v>1668073.4611518017</v>
      </c>
      <c r="G109" s="57">
        <f t="shared" si="1"/>
        <v>2986318.0711518014</v>
      </c>
    </row>
    <row r="110" spans="1:7" x14ac:dyDescent="0.25">
      <c r="A110" s="49">
        <f>'A) Base RI'!A106</f>
        <v>5562</v>
      </c>
      <c r="B110" s="285" t="str">
        <f>'A) Base RI'!B106</f>
        <v>Mauborget</v>
      </c>
      <c r="C110" s="10">
        <f>'A) Base RI'!AO106</f>
        <v>120</v>
      </c>
      <c r="D110" s="388">
        <f>'C) Prél. conj.'!H104</f>
        <v>41607.224999999999</v>
      </c>
      <c r="E110" s="10">
        <f>'D) Ecrêtage'!M104</f>
        <v>0</v>
      </c>
      <c r="F110" s="388">
        <f>$F$10*'D) Ecrêtage'!C104</f>
        <v>80614.651892374095</v>
      </c>
      <c r="G110" s="57">
        <f t="shared" si="1"/>
        <v>122221.8768923741</v>
      </c>
    </row>
    <row r="111" spans="1:7" x14ac:dyDescent="0.25">
      <c r="A111" s="49">
        <f>'A) Base RI'!A107</f>
        <v>5563</v>
      </c>
      <c r="B111" s="285" t="str">
        <f>'A) Base RI'!B107</f>
        <v>Mutrux</v>
      </c>
      <c r="C111" s="10">
        <f>'A) Base RI'!AO107</f>
        <v>153</v>
      </c>
      <c r="D111" s="388">
        <f>'C) Prél. conj.'!H105</f>
        <v>2372.9749999999999</v>
      </c>
      <c r="E111" s="10">
        <f>'D) Ecrêtage'!M105</f>
        <v>0</v>
      </c>
      <c r="F111" s="388">
        <f>$F$10*'D) Ecrêtage'!C105</f>
        <v>59102.028017297795</v>
      </c>
      <c r="G111" s="57">
        <f t="shared" si="1"/>
        <v>61475.003017297793</v>
      </c>
    </row>
    <row r="112" spans="1:7" x14ac:dyDescent="0.25">
      <c r="A112" s="49">
        <f>'A) Base RI'!A108</f>
        <v>5564</v>
      </c>
      <c r="B112" s="285" t="str">
        <f>'A) Base RI'!B108</f>
        <v>Novalles</v>
      </c>
      <c r="C112" s="10">
        <f>'A) Base RI'!AO108</f>
        <v>100</v>
      </c>
      <c r="D112" s="388">
        <f>'C) Prél. conj.'!H106</f>
        <v>9.9</v>
      </c>
      <c r="E112" s="10">
        <f>'D) Ecrêtage'!M106</f>
        <v>0</v>
      </c>
      <c r="F112" s="388">
        <f>$F$10*'D) Ecrêtage'!C106</f>
        <v>33250.198682379145</v>
      </c>
      <c r="G112" s="57">
        <f t="shared" si="1"/>
        <v>33260.098682379146</v>
      </c>
    </row>
    <row r="113" spans="1:7" x14ac:dyDescent="0.25">
      <c r="A113" s="49">
        <f>'A) Base RI'!A109</f>
        <v>5565</v>
      </c>
      <c r="B113" s="285" t="str">
        <f>'A) Base RI'!B109</f>
        <v>Onnens</v>
      </c>
      <c r="C113" s="10">
        <f>'A) Base RI'!AO109</f>
        <v>497</v>
      </c>
      <c r="D113" s="388">
        <f>'C) Prél. conj.'!H107</f>
        <v>89918.510000000009</v>
      </c>
      <c r="E113" s="10">
        <f>'D) Ecrêtage'!M107</f>
        <v>0</v>
      </c>
      <c r="F113" s="388">
        <f>$F$10*'D) Ecrêtage'!C107</f>
        <v>271592.75226493127</v>
      </c>
      <c r="G113" s="57">
        <f t="shared" si="1"/>
        <v>361511.26226493128</v>
      </c>
    </row>
    <row r="114" spans="1:7" x14ac:dyDescent="0.25">
      <c r="A114" s="49">
        <f>'A) Base RI'!A110</f>
        <v>5566</v>
      </c>
      <c r="B114" s="285" t="str">
        <f>'A) Base RI'!B110</f>
        <v>Provence</v>
      </c>
      <c r="C114" s="10">
        <f>'A) Base RI'!AO110</f>
        <v>379</v>
      </c>
      <c r="D114" s="388">
        <f>'C) Prél. conj.'!H108</f>
        <v>43798.744999999995</v>
      </c>
      <c r="E114" s="10">
        <f>'D) Ecrêtage'!M108</f>
        <v>0</v>
      </c>
      <c r="F114" s="388">
        <f>$F$10*'D) Ecrêtage'!C108</f>
        <v>124703.08847285247</v>
      </c>
      <c r="G114" s="57">
        <f t="shared" si="1"/>
        <v>168501.83347285248</v>
      </c>
    </row>
    <row r="115" spans="1:7" x14ac:dyDescent="0.25">
      <c r="A115" s="49">
        <f>'A) Base RI'!A111</f>
        <v>5568</v>
      </c>
      <c r="B115" s="285" t="str">
        <f>'A) Base RI'!B111</f>
        <v>Sainte-Croix</v>
      </c>
      <c r="C115" s="10">
        <f>'A) Base RI'!AO111</f>
        <v>4888</v>
      </c>
      <c r="D115" s="388">
        <f>'C) Prél. conj.'!H109</f>
        <v>1059804.105</v>
      </c>
      <c r="E115" s="10">
        <f>'D) Ecrêtage'!M109</f>
        <v>0</v>
      </c>
      <c r="F115" s="388">
        <f>$F$10*'D) Ecrêtage'!C109</f>
        <v>1605751.3929151306</v>
      </c>
      <c r="G115" s="57">
        <f t="shared" si="1"/>
        <v>2665555.4979151306</v>
      </c>
    </row>
    <row r="116" spans="1:7" x14ac:dyDescent="0.25">
      <c r="A116" s="49">
        <f>'A) Base RI'!A112</f>
        <v>5571</v>
      </c>
      <c r="B116" s="285" t="str">
        <f>'A) Base RI'!B112</f>
        <v>Tévenon</v>
      </c>
      <c r="C116" s="10">
        <f>'A) Base RI'!AO112</f>
        <v>896</v>
      </c>
      <c r="D116" s="388">
        <f>'C) Prél. conj.'!H110</f>
        <v>69635.615000000005</v>
      </c>
      <c r="E116" s="10">
        <f>'D) Ecrêtage'!M110</f>
        <v>0</v>
      </c>
      <c r="F116" s="388">
        <f>$F$10*'D) Ecrêtage'!C110</f>
        <v>364575.52591728064</v>
      </c>
      <c r="G116" s="57">
        <f t="shared" si="1"/>
        <v>434211.14091728063</v>
      </c>
    </row>
    <row r="117" spans="1:7" x14ac:dyDescent="0.25">
      <c r="A117" s="49">
        <f>'A) Base RI'!A113</f>
        <v>5581</v>
      </c>
      <c r="B117" s="285" t="str">
        <f>'A) Base RI'!B113</f>
        <v>Belmont-sur-Lausanne</v>
      </c>
      <c r="C117" s="10">
        <f>'A) Base RI'!AO113</f>
        <v>3773</v>
      </c>
      <c r="D117" s="388">
        <f>'C) Prél. conj.'!H111</f>
        <v>370172.22500000003</v>
      </c>
      <c r="E117" s="10">
        <f>'D) Ecrêtage'!M111</f>
        <v>143612.61338016242</v>
      </c>
      <c r="F117" s="388">
        <f>$F$10*'D) Ecrêtage'!C111</f>
        <v>2758630.0986377313</v>
      </c>
      <c r="G117" s="57">
        <f t="shared" si="1"/>
        <v>3272414.9370178939</v>
      </c>
    </row>
    <row r="118" spans="1:7" x14ac:dyDescent="0.25">
      <c r="A118" s="49">
        <f>'A) Base RI'!A114</f>
        <v>5582</v>
      </c>
      <c r="B118" s="285" t="str">
        <f>'A) Base RI'!B114</f>
        <v>Cheseaux-sur-Lausanne</v>
      </c>
      <c r="C118" s="10">
        <f>'A) Base RI'!AO114</f>
        <v>4339</v>
      </c>
      <c r="D118" s="388">
        <f>'C) Prél. conj.'!H112</f>
        <v>606649.02500000002</v>
      </c>
      <c r="E118" s="10">
        <f>'D) Ecrêtage'!M112</f>
        <v>0</v>
      </c>
      <c r="F118" s="388">
        <f>$F$10*'D) Ecrêtage'!C112</f>
        <v>2456299.4740868662</v>
      </c>
      <c r="G118" s="57">
        <f t="shared" si="1"/>
        <v>3062948.4990868662</v>
      </c>
    </row>
    <row r="119" spans="1:7" x14ac:dyDescent="0.25">
      <c r="A119" s="49">
        <f>'A) Base RI'!A115</f>
        <v>5583</v>
      </c>
      <c r="B119" s="285" t="str">
        <f>'A) Base RI'!B115</f>
        <v>Crissier</v>
      </c>
      <c r="C119" s="10">
        <f>'A) Base RI'!AO115</f>
        <v>7944</v>
      </c>
      <c r="D119" s="388">
        <f>'C) Prél. conj.'!H113</f>
        <v>1440795.22</v>
      </c>
      <c r="E119" s="10">
        <f>'D) Ecrêtage'!M113</f>
        <v>0</v>
      </c>
      <c r="F119" s="388">
        <f>$F$10*'D) Ecrêtage'!C113</f>
        <v>4603476.4297843659</v>
      </c>
      <c r="G119" s="57">
        <f t="shared" si="1"/>
        <v>6044271.6497843657</v>
      </c>
    </row>
    <row r="120" spans="1:7" x14ac:dyDescent="0.25">
      <c r="A120" s="49">
        <f>'A) Base RI'!A116</f>
        <v>5584</v>
      </c>
      <c r="B120" s="285" t="str">
        <f>'A) Base RI'!B116</f>
        <v>Epalinges</v>
      </c>
      <c r="C120" s="10">
        <f>'A) Base RI'!AO116</f>
        <v>9701</v>
      </c>
      <c r="D120" s="388">
        <f>'C) Prél. conj.'!H114</f>
        <v>1218354.885</v>
      </c>
      <c r="E120" s="10">
        <f>'D) Ecrêtage'!M114</f>
        <v>236734.42476732121</v>
      </c>
      <c r="F120" s="388">
        <f>$F$10*'D) Ecrêtage'!C114</f>
        <v>6979648.964459599</v>
      </c>
      <c r="G120" s="57">
        <f t="shared" si="1"/>
        <v>8434738.2742269207</v>
      </c>
    </row>
    <row r="121" spans="1:7" x14ac:dyDescent="0.25">
      <c r="A121" s="49">
        <f>'A) Base RI'!A117</f>
        <v>5585</v>
      </c>
      <c r="B121" s="285" t="str">
        <f>'A) Base RI'!B117</f>
        <v>Jouxtens-Mézery</v>
      </c>
      <c r="C121" s="10">
        <f>'A) Base RI'!AO117</f>
        <v>1423</v>
      </c>
      <c r="D121" s="388">
        <f>'C) Prél. conj.'!H115</f>
        <v>219651.28</v>
      </c>
      <c r="E121" s="10">
        <f>'D) Ecrêtage'!M115</f>
        <v>4293448.437735416</v>
      </c>
      <c r="F121" s="388">
        <f>$F$10*'D) Ecrêtage'!C115</f>
        <v>3374489.6419399902</v>
      </c>
      <c r="G121" s="57">
        <f t="shared" si="1"/>
        <v>7887589.3596754055</v>
      </c>
    </row>
    <row r="122" spans="1:7" x14ac:dyDescent="0.25">
      <c r="A122" s="49">
        <f>'A) Base RI'!A118</f>
        <v>5586</v>
      </c>
      <c r="B122" s="285" t="str">
        <f>'A) Base RI'!B118</f>
        <v>Lausanne</v>
      </c>
      <c r="C122" s="10">
        <f>'A) Base RI'!AO118</f>
        <v>139726</v>
      </c>
      <c r="D122" s="388">
        <f>'C) Prél. conj.'!H116</f>
        <v>20210803.754999999</v>
      </c>
      <c r="E122" s="10">
        <f>'D) Ecrêtage'!M116</f>
        <v>0</v>
      </c>
      <c r="F122" s="388">
        <f>$F$10*'D) Ecrêtage'!C116</f>
        <v>88709332.807919338</v>
      </c>
      <c r="G122" s="57">
        <f t="shared" si="1"/>
        <v>108920136.56291933</v>
      </c>
    </row>
    <row r="123" spans="1:7" x14ac:dyDescent="0.25">
      <c r="A123" s="49">
        <f>'A) Base RI'!A119</f>
        <v>5587</v>
      </c>
      <c r="B123" s="285" t="str">
        <f>'A) Base RI'!B119</f>
        <v>Le Mont-sur-Lausanne</v>
      </c>
      <c r="C123" s="10">
        <f>'A) Base RI'!AO119</f>
        <v>8991</v>
      </c>
      <c r="D123" s="388">
        <f>'C) Prél. conj.'!H117</f>
        <v>923755.06</v>
      </c>
      <c r="E123" s="10">
        <f>'D) Ecrêtage'!M117</f>
        <v>205918.76171461822</v>
      </c>
      <c r="F123" s="388">
        <f>$F$10*'D) Ecrêtage'!C117</f>
        <v>6426305.0603565425</v>
      </c>
      <c r="G123" s="57">
        <f t="shared" si="1"/>
        <v>7555978.8820711616</v>
      </c>
    </row>
    <row r="124" spans="1:7" x14ac:dyDescent="0.25">
      <c r="A124" s="49">
        <f>'A) Base RI'!A120</f>
        <v>5588</v>
      </c>
      <c r="B124" s="285" t="str">
        <f>'A) Base RI'!B120</f>
        <v>Paudex</v>
      </c>
      <c r="C124" s="10">
        <f>'A) Base RI'!AO120</f>
        <v>1532</v>
      </c>
      <c r="D124" s="388">
        <f>'C) Prél. conj.'!H118</f>
        <v>84542.714999999997</v>
      </c>
      <c r="E124" s="10">
        <f>'D) Ecrêtage'!M118</f>
        <v>1353441.4002121587</v>
      </c>
      <c r="F124" s="388">
        <f>$F$10*'D) Ecrêtage'!C118</f>
        <v>1977256.7397124209</v>
      </c>
      <c r="G124" s="57">
        <f t="shared" si="1"/>
        <v>3415240.8549245796</v>
      </c>
    </row>
    <row r="125" spans="1:7" x14ac:dyDescent="0.25">
      <c r="A125" s="49">
        <f>'A) Base RI'!A121</f>
        <v>5589</v>
      </c>
      <c r="B125" s="285" t="str">
        <f>'A) Base RI'!B121</f>
        <v>Prilly</v>
      </c>
      <c r="C125" s="10">
        <f>'A) Base RI'!AO121</f>
        <v>12423</v>
      </c>
      <c r="D125" s="388">
        <f>'C) Prél. conj.'!H119</f>
        <v>1091007.075</v>
      </c>
      <c r="E125" s="10">
        <f>'D) Ecrêtage'!M119</f>
        <v>0</v>
      </c>
      <c r="F125" s="388">
        <f>$F$10*'D) Ecrêtage'!C119</f>
        <v>6142582.4418114293</v>
      </c>
      <c r="G125" s="57">
        <f t="shared" si="1"/>
        <v>7233589.5168114295</v>
      </c>
    </row>
    <row r="126" spans="1:7" x14ac:dyDescent="0.25">
      <c r="A126" s="49">
        <f>'A) Base RI'!A122</f>
        <v>5590</v>
      </c>
      <c r="B126" s="285" t="str">
        <f>'A) Base RI'!B122</f>
        <v>Pully</v>
      </c>
      <c r="C126" s="10">
        <f>'A) Base RI'!AO122</f>
        <v>18495</v>
      </c>
      <c r="D126" s="388">
        <f>'C) Prél. conj.'!H120</f>
        <v>5003895.95</v>
      </c>
      <c r="E126" s="10">
        <f>'D) Ecrêtage'!M120</f>
        <v>12419549.163260518</v>
      </c>
      <c r="F126" s="388">
        <f>$F$10*'D) Ecrêtage'!C120</f>
        <v>22522958.070858162</v>
      </c>
      <c r="G126" s="57">
        <f t="shared" si="1"/>
        <v>39946403.184118681</v>
      </c>
    </row>
    <row r="127" spans="1:7" x14ac:dyDescent="0.25">
      <c r="A127" s="49">
        <f>'A) Base RI'!A123</f>
        <v>5591</v>
      </c>
      <c r="B127" s="285" t="str">
        <f>'A) Base RI'!B123</f>
        <v>Renens</v>
      </c>
      <c r="C127" s="10">
        <f>'A) Base RI'!AO123</f>
        <v>20928</v>
      </c>
      <c r="D127" s="388">
        <f>'C) Prél. conj.'!H121</f>
        <v>1971917.925</v>
      </c>
      <c r="E127" s="10">
        <f>'D) Ecrêtage'!M121</f>
        <v>0</v>
      </c>
      <c r="F127" s="388">
        <f>$F$10*'D) Ecrêtage'!C121</f>
        <v>8273014.4313635426</v>
      </c>
      <c r="G127" s="57">
        <f t="shared" si="1"/>
        <v>10244932.356363542</v>
      </c>
    </row>
    <row r="128" spans="1:7" x14ac:dyDescent="0.25">
      <c r="A128" s="49">
        <f>'A) Base RI'!A124</f>
        <v>5592</v>
      </c>
      <c r="B128" s="285" t="str">
        <f>'A) Base RI'!B124</f>
        <v>Romanel-sur-Lausanne</v>
      </c>
      <c r="C128" s="10">
        <f>'A) Base RI'!AO124</f>
        <v>3294</v>
      </c>
      <c r="D128" s="388">
        <f>'C) Prél. conj.'!H122</f>
        <v>358719.44999999995</v>
      </c>
      <c r="E128" s="10">
        <f>'D) Ecrêtage'!M122</f>
        <v>0</v>
      </c>
      <c r="F128" s="388">
        <f>$F$10*'D) Ecrêtage'!C122</f>
        <v>1670015.0767953985</v>
      </c>
      <c r="G128" s="57">
        <f t="shared" si="1"/>
        <v>2028734.5267953984</v>
      </c>
    </row>
    <row r="129" spans="1:7" x14ac:dyDescent="0.25">
      <c r="A129" s="49">
        <f>'A) Base RI'!A125</f>
        <v>5601</v>
      </c>
      <c r="B129" s="285" t="str">
        <f>'A) Base RI'!B125</f>
        <v>Chexbres</v>
      </c>
      <c r="C129" s="10">
        <f>'A) Base RI'!AO125</f>
        <v>2235</v>
      </c>
      <c r="D129" s="388">
        <f>'C) Prél. conj.'!H123</f>
        <v>425245.15</v>
      </c>
      <c r="E129" s="10">
        <f>'D) Ecrêtage'!M123</f>
        <v>0</v>
      </c>
      <c r="F129" s="388">
        <f>$F$10*'D) Ecrêtage'!C123</f>
        <v>1520109.9826032866</v>
      </c>
      <c r="G129" s="57">
        <f t="shared" si="1"/>
        <v>1945355.1326032868</v>
      </c>
    </row>
    <row r="130" spans="1:7" x14ac:dyDescent="0.25">
      <c r="A130" s="49">
        <f>'A) Base RI'!A126</f>
        <v>5604</v>
      </c>
      <c r="B130" s="285" t="str">
        <f>'A) Base RI'!B126</f>
        <v>Forel (Lavaux)</v>
      </c>
      <c r="C130" s="10">
        <f>'A) Base RI'!AO126</f>
        <v>2064</v>
      </c>
      <c r="D130" s="388">
        <f>'C) Prél. conj.'!H124</f>
        <v>198194.49</v>
      </c>
      <c r="E130" s="10">
        <f>'D) Ecrêtage'!M124</f>
        <v>0</v>
      </c>
      <c r="F130" s="388">
        <f>$F$10*'D) Ecrêtage'!C124</f>
        <v>1086722.5465128052</v>
      </c>
      <c r="G130" s="57">
        <f t="shared" si="1"/>
        <v>1284917.0365128051</v>
      </c>
    </row>
    <row r="131" spans="1:7" x14ac:dyDescent="0.25">
      <c r="A131" s="49">
        <f>'A) Base RI'!A127</f>
        <v>5606</v>
      </c>
      <c r="B131" s="285" t="str">
        <f>'A) Base RI'!B127</f>
        <v>Lutry</v>
      </c>
      <c r="C131" s="10">
        <f>'A) Base RI'!AO127</f>
        <v>10357</v>
      </c>
      <c r="D131" s="388">
        <f>'C) Prél. conj.'!H125</f>
        <v>3681832.5050000004</v>
      </c>
      <c r="E131" s="10">
        <f>'D) Ecrêtage'!M125</f>
        <v>5184037.2323495345</v>
      </c>
      <c r="F131" s="388">
        <f>$F$10*'D) Ecrêtage'!C125</f>
        <v>11855751.159514457</v>
      </c>
      <c r="G131" s="57">
        <f t="shared" si="1"/>
        <v>20721620.896863993</v>
      </c>
    </row>
    <row r="132" spans="1:7" x14ac:dyDescent="0.25">
      <c r="A132" s="49">
        <f>'A) Base RI'!A128</f>
        <v>5607</v>
      </c>
      <c r="B132" s="285" t="str">
        <f>'A) Base RI'!B128</f>
        <v>Puidoux</v>
      </c>
      <c r="C132" s="10">
        <f>'A) Base RI'!AO128</f>
        <v>2881</v>
      </c>
      <c r="D132" s="388">
        <f>'C) Prél. conj.'!H126</f>
        <v>183236.31</v>
      </c>
      <c r="E132" s="10">
        <f>'D) Ecrêtage'!M126</f>
        <v>0</v>
      </c>
      <c r="F132" s="388">
        <f>$F$10*'D) Ecrêtage'!C126</f>
        <v>1482605.693055369</v>
      </c>
      <c r="G132" s="57">
        <f t="shared" si="1"/>
        <v>1665842.003055369</v>
      </c>
    </row>
    <row r="133" spans="1:7" x14ac:dyDescent="0.25">
      <c r="A133" s="49">
        <f>'A) Base RI'!A129</f>
        <v>5609</v>
      </c>
      <c r="B133" s="285" t="str">
        <f>'A) Base RI'!B129</f>
        <v>Rivaz</v>
      </c>
      <c r="C133" s="10">
        <f>'A) Base RI'!AO129</f>
        <v>342</v>
      </c>
      <c r="D133" s="388">
        <f>'C) Prél. conj.'!H127</f>
        <v>18617.5</v>
      </c>
      <c r="E133" s="10">
        <f>'D) Ecrêtage'!M127</f>
        <v>0</v>
      </c>
      <c r="F133" s="388">
        <f>$F$10*'D) Ecrêtage'!C127</f>
        <v>200410.84569907488</v>
      </c>
      <c r="G133" s="57">
        <f t="shared" si="1"/>
        <v>219028.34569907488</v>
      </c>
    </row>
    <row r="134" spans="1:7" x14ac:dyDescent="0.25">
      <c r="A134" s="49">
        <f>'A) Base RI'!A130</f>
        <v>5610</v>
      </c>
      <c r="B134" s="285" t="str">
        <f>'A) Base RI'!B130</f>
        <v>St-Saphorin (Lavaux)</v>
      </c>
      <c r="C134" s="10">
        <f>'A) Base RI'!AO130</f>
        <v>384</v>
      </c>
      <c r="D134" s="388">
        <f>'C) Prél. conj.'!H128</f>
        <v>16901.174999999999</v>
      </c>
      <c r="E134" s="10">
        <f>'D) Ecrêtage'!M128</f>
        <v>62504.937643159225</v>
      </c>
      <c r="F134" s="388">
        <f>$F$10*'D) Ecrêtage'!C128</f>
        <v>327300.39162443974</v>
      </c>
      <c r="G134" s="57">
        <f t="shared" si="1"/>
        <v>406706.50426759897</v>
      </c>
    </row>
    <row r="135" spans="1:7" x14ac:dyDescent="0.25">
      <c r="A135" s="49">
        <f>'A) Base RI'!A131</f>
        <v>5611</v>
      </c>
      <c r="B135" s="285" t="str">
        <f>'A) Base RI'!B131</f>
        <v>Savigny</v>
      </c>
      <c r="C135" s="10">
        <f>'A) Base RI'!AO131</f>
        <v>3359</v>
      </c>
      <c r="D135" s="388">
        <f>'C) Prél. conj.'!H129</f>
        <v>655172.8550000001</v>
      </c>
      <c r="E135" s="10">
        <f>'D) Ecrêtage'!M129</f>
        <v>0</v>
      </c>
      <c r="F135" s="388">
        <f>$F$10*'D) Ecrêtage'!C129</f>
        <v>1982275.9917028151</v>
      </c>
      <c r="G135" s="57">
        <f t="shared" si="1"/>
        <v>2637448.846702815</v>
      </c>
    </row>
    <row r="136" spans="1:7" x14ac:dyDescent="0.25">
      <c r="A136" s="49">
        <f>'A) Base RI'!A132</f>
        <v>5613</v>
      </c>
      <c r="B136" s="285" t="str">
        <f>'A) Base RI'!B132</f>
        <v>Bourg-en-Lavaux</v>
      </c>
      <c r="C136" s="10">
        <f>'A) Base RI'!AO132</f>
        <v>5345</v>
      </c>
      <c r="D136" s="388">
        <f>'C) Prél. conj.'!H130</f>
        <v>993464.78999999992</v>
      </c>
      <c r="E136" s="10">
        <f>'D) Ecrêtage'!M130</f>
        <v>1237499.6748992533</v>
      </c>
      <c r="F136" s="388">
        <f>$F$10*'D) Ecrêtage'!C130</f>
        <v>4894024.0103313718</v>
      </c>
      <c r="G136" s="57">
        <f t="shared" si="1"/>
        <v>7124988.4752306249</v>
      </c>
    </row>
    <row r="137" spans="1:7" x14ac:dyDescent="0.25">
      <c r="A137" s="49">
        <f>'A) Base RI'!A133</f>
        <v>5621</v>
      </c>
      <c r="B137" s="285" t="str">
        <f>'A) Base RI'!B133</f>
        <v>Aclens</v>
      </c>
      <c r="C137" s="10">
        <f>'A) Base RI'!AO133</f>
        <v>539</v>
      </c>
      <c r="D137" s="388">
        <f>'C) Prél. conj.'!H131</f>
        <v>142543.66</v>
      </c>
      <c r="E137" s="10">
        <f>'D) Ecrêtage'!M131</f>
        <v>26222.022643567416</v>
      </c>
      <c r="F137" s="388">
        <f>$F$10*'D) Ecrêtage'!C131</f>
        <v>404226.20159187156</v>
      </c>
      <c r="G137" s="57">
        <f t="shared" si="1"/>
        <v>572991.88423543901</v>
      </c>
    </row>
    <row r="138" spans="1:7" x14ac:dyDescent="0.25">
      <c r="A138" s="49">
        <f>'A) Base RI'!A134</f>
        <v>5622</v>
      </c>
      <c r="B138" s="285" t="str">
        <f>'A) Base RI'!B134</f>
        <v>Bremblens</v>
      </c>
      <c r="C138" s="10">
        <f>'A) Base RI'!AO134</f>
        <v>577</v>
      </c>
      <c r="D138" s="388">
        <f>'C) Prél. conj.'!H132</f>
        <v>121160.04000000001</v>
      </c>
      <c r="E138" s="10">
        <f>'D) Ecrêtage'!M132</f>
        <v>4147.2458044268233</v>
      </c>
      <c r="F138" s="388">
        <f>$F$10*'D) Ecrêtage'!C132</f>
        <v>404082.89797483408</v>
      </c>
      <c r="G138" s="57">
        <f t="shared" si="1"/>
        <v>529390.18377926096</v>
      </c>
    </row>
    <row r="139" spans="1:7" x14ac:dyDescent="0.25">
      <c r="A139" s="49">
        <f>'A) Base RI'!A135</f>
        <v>5623</v>
      </c>
      <c r="B139" s="285" t="str">
        <f>'A) Base RI'!B135</f>
        <v>Buchillon</v>
      </c>
      <c r="C139" s="10">
        <f>'A) Base RI'!AO135</f>
        <v>686</v>
      </c>
      <c r="D139" s="388">
        <f>'C) Prél. conj.'!H133</f>
        <v>233419.58499999999</v>
      </c>
      <c r="E139" s="10">
        <f>'D) Ecrêtage'!M133</f>
        <v>1231215.5742048346</v>
      </c>
      <c r="F139" s="388">
        <f>$F$10*'D) Ecrêtage'!C133</f>
        <v>1318971.8618591635</v>
      </c>
      <c r="G139" s="57">
        <f t="shared" si="1"/>
        <v>2783607.0210639983</v>
      </c>
    </row>
    <row r="140" spans="1:7" x14ac:dyDescent="0.25">
      <c r="A140" s="49">
        <f>'A) Base RI'!A136</f>
        <v>5624</v>
      </c>
      <c r="B140" s="285" t="str">
        <f>'A) Base RI'!B136</f>
        <v>Bussigny</v>
      </c>
      <c r="C140" s="10">
        <f>'A) Base RI'!AO136</f>
        <v>8962</v>
      </c>
      <c r="D140" s="388">
        <f>'C) Prél. conj.'!H134</f>
        <v>1931827.5199999998</v>
      </c>
      <c r="E140" s="10">
        <f>'D) Ecrêtage'!M134</f>
        <v>0</v>
      </c>
      <c r="F140" s="388">
        <f>$F$10*'D) Ecrêtage'!C134</f>
        <v>5846365.4198488677</v>
      </c>
      <c r="G140" s="57">
        <f t="shared" ref="G140:G203" si="2">D140+F140+E140</f>
        <v>7778192.9398488672</v>
      </c>
    </row>
    <row r="141" spans="1:7" x14ac:dyDescent="0.25">
      <c r="A141" s="49">
        <f>'A) Base RI'!A137</f>
        <v>5625</v>
      </c>
      <c r="B141" s="285" t="str">
        <f>'A) Base RI'!B137</f>
        <v>Bussy-Chardonney</v>
      </c>
      <c r="C141" s="10">
        <f>'A) Base RI'!AO137</f>
        <v>384</v>
      </c>
      <c r="D141" s="388">
        <f>'C) Prél. conj.'!H135</f>
        <v>43560.925000000003</v>
      </c>
      <c r="E141" s="10">
        <f>'D) Ecrêtage'!M135</f>
        <v>0</v>
      </c>
      <c r="F141" s="388">
        <f>$F$10*'D) Ecrêtage'!C135</f>
        <v>246929.06098669025</v>
      </c>
      <c r="G141" s="57">
        <f t="shared" si="2"/>
        <v>290489.98598669027</v>
      </c>
    </row>
    <row r="142" spans="1:7" x14ac:dyDescent="0.25">
      <c r="A142" s="49">
        <f>'A) Base RI'!A138</f>
        <v>5627</v>
      </c>
      <c r="B142" s="285" t="str">
        <f>'A) Base RI'!B138</f>
        <v>Chavannes-près-Renens</v>
      </c>
      <c r="C142" s="10">
        <f>'A) Base RI'!AO138</f>
        <v>7887</v>
      </c>
      <c r="D142" s="388">
        <f>'C) Prél. conj.'!H136</f>
        <v>1418757.9849999999</v>
      </c>
      <c r="E142" s="10">
        <f>'D) Ecrêtage'!M136</f>
        <v>0</v>
      </c>
      <c r="F142" s="388">
        <f>$F$10*'D) Ecrêtage'!C136</f>
        <v>3114180.7484451933</v>
      </c>
      <c r="G142" s="57">
        <f t="shared" si="2"/>
        <v>4532938.7334451936</v>
      </c>
    </row>
    <row r="143" spans="1:7" x14ac:dyDescent="0.25">
      <c r="A143" s="49">
        <f>'A) Base RI'!A139</f>
        <v>5628</v>
      </c>
      <c r="B143" s="285" t="str">
        <f>'A) Base RI'!B139</f>
        <v>Chigny</v>
      </c>
      <c r="C143" s="10">
        <f>'A) Base RI'!AO139</f>
        <v>382</v>
      </c>
      <c r="D143" s="388">
        <f>'C) Prél. conj.'!H137</f>
        <v>79545.574999999997</v>
      </c>
      <c r="E143" s="10">
        <f>'D) Ecrêtage'!M137</f>
        <v>59319.234489902599</v>
      </c>
      <c r="F143" s="388">
        <f>$F$10*'D) Ecrêtage'!C137</f>
        <v>328949.4433901587</v>
      </c>
      <c r="G143" s="57">
        <f t="shared" si="2"/>
        <v>467814.25288006134</v>
      </c>
    </row>
    <row r="144" spans="1:7" x14ac:dyDescent="0.25">
      <c r="A144" s="49">
        <f>'A) Base RI'!A140</f>
        <v>5629</v>
      </c>
      <c r="B144" s="285" t="str">
        <f>'A) Base RI'!B140</f>
        <v>Clarmont</v>
      </c>
      <c r="C144" s="10">
        <f>'A) Base RI'!AO140</f>
        <v>191</v>
      </c>
      <c r="D144" s="388">
        <f>'C) Prél. conj.'!H138</f>
        <v>51346.474999999999</v>
      </c>
      <c r="E144" s="10">
        <f>'D) Ecrêtage'!M138</f>
        <v>0</v>
      </c>
      <c r="F144" s="388">
        <f>$F$10*'D) Ecrêtage'!C138</f>
        <v>99416.984557918637</v>
      </c>
      <c r="G144" s="57">
        <f t="shared" si="2"/>
        <v>150763.45955791863</v>
      </c>
    </row>
    <row r="145" spans="1:7" x14ac:dyDescent="0.25">
      <c r="A145" s="49">
        <f>'A) Base RI'!A141</f>
        <v>5631</v>
      </c>
      <c r="B145" s="285" t="str">
        <f>'A) Base RI'!B141</f>
        <v>Denens</v>
      </c>
      <c r="C145" s="10">
        <f>'A) Base RI'!AO141</f>
        <v>742</v>
      </c>
      <c r="D145" s="388">
        <f>'C) Prél. conj.'!H139</f>
        <v>52009.8</v>
      </c>
      <c r="E145" s="10">
        <f>'D) Ecrêtage'!M139</f>
        <v>297742.71118027106</v>
      </c>
      <c r="F145" s="388">
        <f>$F$10*'D) Ecrêtage'!C139</f>
        <v>756240.88035882136</v>
      </c>
      <c r="G145" s="57">
        <f t="shared" si="2"/>
        <v>1105993.3915390924</v>
      </c>
    </row>
    <row r="146" spans="1:7" x14ac:dyDescent="0.25">
      <c r="A146" s="49">
        <f>'A) Base RI'!A142</f>
        <v>5632</v>
      </c>
      <c r="B146" s="285" t="str">
        <f>'A) Base RI'!B142</f>
        <v>Denges</v>
      </c>
      <c r="C146" s="10">
        <f>'A) Base RI'!AO142</f>
        <v>1609</v>
      </c>
      <c r="D146" s="388">
        <f>'C) Prél. conj.'!H140</f>
        <v>172045.965</v>
      </c>
      <c r="E146" s="10">
        <f>'D) Ecrêtage'!M140</f>
        <v>0</v>
      </c>
      <c r="F146" s="388">
        <f>$F$10*'D) Ecrêtage'!C140</f>
        <v>1072338.1191051332</v>
      </c>
      <c r="G146" s="57">
        <f t="shared" si="2"/>
        <v>1244384.0841051333</v>
      </c>
    </row>
    <row r="147" spans="1:7" x14ac:dyDescent="0.25">
      <c r="A147" s="49">
        <f>'A) Base RI'!A143</f>
        <v>5633</v>
      </c>
      <c r="B147" s="285" t="str">
        <f>'A) Base RI'!B143</f>
        <v>Echandens</v>
      </c>
      <c r="C147" s="10">
        <f>'A) Base RI'!AO143</f>
        <v>2739</v>
      </c>
      <c r="D147" s="388">
        <f>'C) Prél. conj.'!H141</f>
        <v>304910.73499999999</v>
      </c>
      <c r="E147" s="10">
        <f>'D) Ecrêtage'!M141</f>
        <v>431942.28794985049</v>
      </c>
      <c r="F147" s="388">
        <f>$F$10*'D) Ecrêtage'!C141</f>
        <v>2363843.2777353083</v>
      </c>
      <c r="G147" s="57">
        <f t="shared" si="2"/>
        <v>3100696.3006851585</v>
      </c>
    </row>
    <row r="148" spans="1:7" x14ac:dyDescent="0.25">
      <c r="A148" s="49">
        <f>'A) Base RI'!A144</f>
        <v>5634</v>
      </c>
      <c r="B148" s="285" t="str">
        <f>'A) Base RI'!B144</f>
        <v>Echichens</v>
      </c>
      <c r="C148" s="10">
        <f>'A) Base RI'!AO144</f>
        <v>3077</v>
      </c>
      <c r="D148" s="388">
        <f>'C) Prél. conj.'!H142</f>
        <v>655514.46500000008</v>
      </c>
      <c r="E148" s="10">
        <f>'D) Ecrêtage'!M142</f>
        <v>384203.11010333063</v>
      </c>
      <c r="F148" s="388">
        <f>$F$10*'D) Ecrêtage'!C142</f>
        <v>2545289.6359465108</v>
      </c>
      <c r="G148" s="57">
        <f t="shared" si="2"/>
        <v>3585007.2110498417</v>
      </c>
    </row>
    <row r="149" spans="1:7" x14ac:dyDescent="0.25">
      <c r="A149" s="49">
        <f>'A) Base RI'!A145</f>
        <v>5635</v>
      </c>
      <c r="B149" s="285" t="str">
        <f>'A) Base RI'!B145</f>
        <v>Ecublens</v>
      </c>
      <c r="C149" s="10">
        <f>'A) Base RI'!AO145</f>
        <v>13089</v>
      </c>
      <c r="D149" s="388">
        <f>'C) Prél. conj.'!H143</f>
        <v>1928374.6600000001</v>
      </c>
      <c r="E149" s="10">
        <f>'D) Ecrêtage'!M143</f>
        <v>0</v>
      </c>
      <c r="F149" s="388">
        <f>$F$10*'D) Ecrêtage'!C143</f>
        <v>7190272.7823422942</v>
      </c>
      <c r="G149" s="57">
        <f t="shared" si="2"/>
        <v>9118647.4423422944</v>
      </c>
    </row>
    <row r="150" spans="1:7" x14ac:dyDescent="0.25">
      <c r="A150" s="49">
        <f>'A) Base RI'!A146</f>
        <v>5636</v>
      </c>
      <c r="B150" s="285" t="str">
        <f>'A) Base RI'!B146</f>
        <v>Etoy</v>
      </c>
      <c r="C150" s="10">
        <f>'A) Base RI'!AO146</f>
        <v>2933</v>
      </c>
      <c r="D150" s="388">
        <f>'C) Prél. conj.'!H144</f>
        <v>642825.49</v>
      </c>
      <c r="E150" s="10">
        <f>'D) Ecrêtage'!M144</f>
        <v>527421.16204023571</v>
      </c>
      <c r="F150" s="388">
        <f>$F$10*'D) Ecrêtage'!C144</f>
        <v>2589349.8401296218</v>
      </c>
      <c r="G150" s="57">
        <f t="shared" si="2"/>
        <v>3759596.492169857</v>
      </c>
    </row>
    <row r="151" spans="1:7" x14ac:dyDescent="0.25">
      <c r="A151" s="49">
        <f>'A) Base RI'!A147</f>
        <v>5637</v>
      </c>
      <c r="B151" s="285" t="str">
        <f>'A) Base RI'!B147</f>
        <v>Lavigny</v>
      </c>
      <c r="C151" s="10">
        <f>'A) Base RI'!AO147</f>
        <v>992</v>
      </c>
      <c r="D151" s="388">
        <f>'C) Prél. conj.'!H145</f>
        <v>120063.94499999999</v>
      </c>
      <c r="E151" s="10">
        <f>'D) Ecrêtage'!M145</f>
        <v>0</v>
      </c>
      <c r="F151" s="388">
        <f>$F$10*'D) Ecrêtage'!C145</f>
        <v>546407.26609418867</v>
      </c>
      <c r="G151" s="57">
        <f t="shared" si="2"/>
        <v>666471.21109418862</v>
      </c>
    </row>
    <row r="152" spans="1:7" x14ac:dyDescent="0.25">
      <c r="A152" s="49">
        <f>'A) Base RI'!A148</f>
        <v>5638</v>
      </c>
      <c r="B152" s="285" t="str">
        <f>'A) Base RI'!B148</f>
        <v>Lonay</v>
      </c>
      <c r="C152" s="10">
        <f>'A) Base RI'!AO148</f>
        <v>2676</v>
      </c>
      <c r="D152" s="388">
        <f>'C) Prél. conj.'!H146</f>
        <v>1638077.5649999999</v>
      </c>
      <c r="E152" s="10">
        <f>'D) Ecrêtage'!M146</f>
        <v>373315.29247694073</v>
      </c>
      <c r="F152" s="388">
        <f>$F$10*'D) Ecrêtage'!C146</f>
        <v>2308541.0670177592</v>
      </c>
      <c r="G152" s="57">
        <f t="shared" si="2"/>
        <v>4319933.9244946996</v>
      </c>
    </row>
    <row r="153" spans="1:7" x14ac:dyDescent="0.25">
      <c r="A153" s="49">
        <f>'A) Base RI'!A149</f>
        <v>5639</v>
      </c>
      <c r="B153" s="285" t="str">
        <f>'A) Base RI'!B149</f>
        <v>Lully</v>
      </c>
      <c r="C153" s="10">
        <f>'A) Base RI'!AO149</f>
        <v>818</v>
      </c>
      <c r="D153" s="388">
        <f>'C) Prél. conj.'!H147</f>
        <v>65147.840000000004</v>
      </c>
      <c r="E153" s="10">
        <f>'D) Ecrêtage'!M147</f>
        <v>110871.25154480498</v>
      </c>
      <c r="F153" s="388">
        <f>$F$10*'D) Ecrêtage'!C147</f>
        <v>693077.04644594085</v>
      </c>
      <c r="G153" s="57">
        <f t="shared" si="2"/>
        <v>869096.13799074583</v>
      </c>
    </row>
    <row r="154" spans="1:7" x14ac:dyDescent="0.25">
      <c r="A154" s="49">
        <f>'A) Base RI'!A150</f>
        <v>5640</v>
      </c>
      <c r="B154" s="285" t="str">
        <f>'A) Base RI'!B150</f>
        <v>Lussy-sur-Morges</v>
      </c>
      <c r="C154" s="10">
        <f>'A) Base RI'!AO150</f>
        <v>696</v>
      </c>
      <c r="D154" s="388">
        <f>'C) Prél. conj.'!H148</f>
        <v>231036.08499999999</v>
      </c>
      <c r="E154" s="10">
        <f>'D) Ecrêtage'!M148</f>
        <v>603553.01122793835</v>
      </c>
      <c r="F154" s="388">
        <f>$F$10*'D) Ecrêtage'!C148</f>
        <v>902044.63394808478</v>
      </c>
      <c r="G154" s="57">
        <f t="shared" si="2"/>
        <v>1736633.7301760232</v>
      </c>
    </row>
    <row r="155" spans="1:7" x14ac:dyDescent="0.25">
      <c r="A155" s="49">
        <f>'A) Base RI'!A151</f>
        <v>5642</v>
      </c>
      <c r="B155" s="285" t="str">
        <f>'A) Base RI'!B151</f>
        <v>Morges</v>
      </c>
      <c r="C155" s="10">
        <f>'A) Base RI'!AO151</f>
        <v>15862</v>
      </c>
      <c r="D155" s="388">
        <f>'C) Prél. conj.'!H149</f>
        <v>3379873.4550000001</v>
      </c>
      <c r="E155" s="10">
        <f>'D) Ecrêtage'!M149</f>
        <v>1296326.9549537427</v>
      </c>
      <c r="F155" s="388">
        <f>$F$10*'D) Ecrêtage'!C149</f>
        <v>12371652.804199187</v>
      </c>
      <c r="G155" s="57">
        <f t="shared" si="2"/>
        <v>17047853.214152928</v>
      </c>
    </row>
    <row r="156" spans="1:7" x14ac:dyDescent="0.25">
      <c r="A156" s="49">
        <f>'A) Base RI'!A152</f>
        <v>5643</v>
      </c>
      <c r="B156" s="285" t="str">
        <f>'A) Base RI'!B152</f>
        <v>Préverenges</v>
      </c>
      <c r="C156" s="10">
        <f>'A) Base RI'!AO152</f>
        <v>5243</v>
      </c>
      <c r="D156" s="388">
        <f>'C) Prél. conj.'!H150</f>
        <v>927538.64</v>
      </c>
      <c r="E156" s="10">
        <f>'D) Ecrêtage'!M150</f>
        <v>157309.78514298113</v>
      </c>
      <c r="F156" s="388">
        <f>$F$10*'D) Ecrêtage'!C150</f>
        <v>3810372.1577696856</v>
      </c>
      <c r="G156" s="57">
        <f t="shared" si="2"/>
        <v>4895220.5829126667</v>
      </c>
    </row>
    <row r="157" spans="1:7" x14ac:dyDescent="0.25">
      <c r="A157" s="49">
        <f>'A) Base RI'!A153</f>
        <v>5644</v>
      </c>
      <c r="B157" s="285" t="str">
        <f>'A) Base RI'!B153</f>
        <v>Reverolle</v>
      </c>
      <c r="C157" s="10">
        <f>'A) Base RI'!AO153</f>
        <v>413</v>
      </c>
      <c r="D157" s="388">
        <f>'C) Prél. conj.'!H151</f>
        <v>40790.045000000006</v>
      </c>
      <c r="E157" s="10">
        <f>'D) Ecrêtage'!M151</f>
        <v>0</v>
      </c>
      <c r="F157" s="388">
        <f>$F$10*'D) Ecrêtage'!C151</f>
        <v>247689.19313299286</v>
      </c>
      <c r="G157" s="57">
        <f t="shared" si="2"/>
        <v>288479.23813299288</v>
      </c>
    </row>
    <row r="158" spans="1:7" x14ac:dyDescent="0.25">
      <c r="A158" s="49">
        <f>'A) Base RI'!A154</f>
        <v>5645</v>
      </c>
      <c r="B158" s="285" t="str">
        <f>'A) Base RI'!B154</f>
        <v>Romanel-sur-Morges</v>
      </c>
      <c r="C158" s="10">
        <f>'A) Base RI'!AO154</f>
        <v>470</v>
      </c>
      <c r="D158" s="388">
        <f>'C) Prél. conj.'!H152</f>
        <v>90026.755000000005</v>
      </c>
      <c r="E158" s="10">
        <f>'D) Ecrêtage'!M152</f>
        <v>102788.39137976004</v>
      </c>
      <c r="F158" s="388">
        <f>$F$10*'D) Ecrêtage'!C152</f>
        <v>436967.62306956801</v>
      </c>
      <c r="G158" s="57">
        <f t="shared" si="2"/>
        <v>629782.76944932796</v>
      </c>
    </row>
    <row r="159" spans="1:7" x14ac:dyDescent="0.25">
      <c r="A159" s="49">
        <f>'A) Base RI'!A155</f>
        <v>5646</v>
      </c>
      <c r="B159" s="285" t="str">
        <f>'A) Base RI'!B155</f>
        <v>Saint-Prex</v>
      </c>
      <c r="C159" s="10">
        <f>'A) Base RI'!AO155</f>
        <v>5774</v>
      </c>
      <c r="D159" s="388">
        <f>'C) Prél. conj.'!H153</f>
        <v>936150.03</v>
      </c>
      <c r="E159" s="10">
        <f>'D) Ecrêtage'!M153</f>
        <v>2186098.1105954433</v>
      </c>
      <c r="F159" s="388">
        <f>$F$10*'D) Ecrêtage'!C153</f>
        <v>6156826.6121642999</v>
      </c>
      <c r="G159" s="57">
        <f t="shared" si="2"/>
        <v>9279074.7527597435</v>
      </c>
    </row>
    <row r="160" spans="1:7" x14ac:dyDescent="0.25">
      <c r="A160" s="49">
        <f>'A) Base RI'!A156</f>
        <v>5648</v>
      </c>
      <c r="B160" s="285" t="str">
        <f>'A) Base RI'!B156</f>
        <v>Saint-Sulpice</v>
      </c>
      <c r="C160" s="10">
        <f>'A) Base RI'!AO156</f>
        <v>4717</v>
      </c>
      <c r="D160" s="388">
        <f>'C) Prél. conj.'!H154</f>
        <v>1188425.72</v>
      </c>
      <c r="E160" s="10">
        <f>'D) Ecrêtage'!M154</f>
        <v>2690249.4004279049</v>
      </c>
      <c r="F160" s="388">
        <f>$F$10*'D) Ecrêtage'!C154</f>
        <v>5633648.1014903234</v>
      </c>
      <c r="G160" s="57">
        <f t="shared" si="2"/>
        <v>9512323.221918229</v>
      </c>
    </row>
    <row r="161" spans="1:7" x14ac:dyDescent="0.25">
      <c r="A161" s="49">
        <f>'A) Base RI'!A157</f>
        <v>5649</v>
      </c>
      <c r="B161" s="285" t="str">
        <f>'A) Base RI'!B157</f>
        <v>Tolochenaz</v>
      </c>
      <c r="C161" s="10">
        <f>'A) Base RI'!AO157</f>
        <v>1907</v>
      </c>
      <c r="D161" s="388">
        <f>'C) Prél. conj.'!H155</f>
        <v>184224.48499999999</v>
      </c>
      <c r="E161" s="10">
        <f>'D) Ecrêtage'!M155</f>
        <v>271757.00436543126</v>
      </c>
      <c r="F161" s="388">
        <f>$F$10*'D) Ecrêtage'!C155</f>
        <v>1613005.8647855166</v>
      </c>
      <c r="G161" s="57">
        <f t="shared" si="2"/>
        <v>2068987.3541509476</v>
      </c>
    </row>
    <row r="162" spans="1:7" x14ac:dyDescent="0.25">
      <c r="A162" s="49">
        <f>'A) Base RI'!A158</f>
        <v>5650</v>
      </c>
      <c r="B162" s="285" t="str">
        <f>'A) Base RI'!B158</f>
        <v>Vaux-sur-Morges</v>
      </c>
      <c r="C162" s="10">
        <f>'A) Base RI'!AO158</f>
        <v>196</v>
      </c>
      <c r="D162" s="388">
        <f>'C) Prél. conj.'!H156</f>
        <v>6924.5</v>
      </c>
      <c r="E162" s="10">
        <f>'D) Ecrêtage'!M156</f>
        <v>4969521.9628617018</v>
      </c>
      <c r="F162" s="388">
        <f>$F$10*'D) Ecrêtage'!C156</f>
        <v>2392232.4010757352</v>
      </c>
      <c r="G162" s="57">
        <f t="shared" si="2"/>
        <v>7368678.8639374375</v>
      </c>
    </row>
    <row r="163" spans="1:7" x14ac:dyDescent="0.25">
      <c r="A163" s="49">
        <f>'A) Base RI'!A159</f>
        <v>5651</v>
      </c>
      <c r="B163" s="285" t="str">
        <f>'A) Base RI'!B159</f>
        <v>Villars-Sainte-Croix</v>
      </c>
      <c r="C163" s="10">
        <f>'A) Base RI'!AO159</f>
        <v>973</v>
      </c>
      <c r="D163" s="388">
        <f>'C) Prél. conj.'!H157</f>
        <v>140810.14499999999</v>
      </c>
      <c r="E163" s="10">
        <f>'D) Ecrêtage'!M157</f>
        <v>181789.44489967322</v>
      </c>
      <c r="F163" s="388">
        <f>$F$10*'D) Ecrêtage'!C157</f>
        <v>862119.18300560769</v>
      </c>
      <c r="G163" s="57">
        <f t="shared" si="2"/>
        <v>1184718.7729052808</v>
      </c>
    </row>
    <row r="164" spans="1:7" x14ac:dyDescent="0.25">
      <c r="A164" s="49">
        <f>'A) Base RI'!A160</f>
        <v>5652</v>
      </c>
      <c r="B164" s="285" t="str">
        <f>'A) Base RI'!B160</f>
        <v>Villars-sous-Yens</v>
      </c>
      <c r="C164" s="10">
        <f>'A) Base RI'!AO160</f>
        <v>603</v>
      </c>
      <c r="D164" s="388">
        <f>'C) Prél. conj.'!H158</f>
        <v>33721.81</v>
      </c>
      <c r="E164" s="10">
        <f>'D) Ecrêtage'!M158</f>
        <v>68688.664024244121</v>
      </c>
      <c r="F164" s="388">
        <f>$F$10*'D) Ecrêtage'!C158</f>
        <v>483856.67302857956</v>
      </c>
      <c r="G164" s="57">
        <f t="shared" si="2"/>
        <v>586267.14705282368</v>
      </c>
    </row>
    <row r="165" spans="1:7" x14ac:dyDescent="0.25">
      <c r="A165" s="49">
        <f>'A) Base RI'!A161</f>
        <v>5653</v>
      </c>
      <c r="B165" s="285" t="str">
        <f>'A) Base RI'!B161</f>
        <v>Vufflens-le-Château</v>
      </c>
      <c r="C165" s="10">
        <f>'A) Base RI'!AO161</f>
        <v>883</v>
      </c>
      <c r="D165" s="388">
        <f>'C) Prél. conj.'!H159</f>
        <v>913471.01</v>
      </c>
      <c r="E165" s="10">
        <f>'D) Ecrêtage'!M159</f>
        <v>551369.94235824107</v>
      </c>
      <c r="F165" s="388">
        <f>$F$10*'D) Ecrêtage'!C159</f>
        <v>1055807.8893159693</v>
      </c>
      <c r="G165" s="57">
        <f t="shared" si="2"/>
        <v>2520648.8416742105</v>
      </c>
    </row>
    <row r="166" spans="1:7" x14ac:dyDescent="0.25">
      <c r="A166" s="49">
        <f>'A) Base RI'!A162</f>
        <v>5654</v>
      </c>
      <c r="B166" s="285" t="str">
        <f>'A) Base RI'!B162</f>
        <v>Vullierens</v>
      </c>
      <c r="C166" s="10">
        <f>'A) Base RI'!AO162</f>
        <v>513</v>
      </c>
      <c r="D166" s="388">
        <f>'C) Prél. conj.'!H160</f>
        <v>26829.84</v>
      </c>
      <c r="E166" s="10">
        <f>'D) Ecrêtage'!M160</f>
        <v>0</v>
      </c>
      <c r="F166" s="388">
        <f>$F$10*'D) Ecrêtage'!C160</f>
        <v>265431.30718037346</v>
      </c>
      <c r="G166" s="57">
        <f t="shared" si="2"/>
        <v>292261.14718037349</v>
      </c>
    </row>
    <row r="167" spans="1:7" x14ac:dyDescent="0.25">
      <c r="A167" s="49">
        <f>'A) Base RI'!A163</f>
        <v>5655</v>
      </c>
      <c r="B167" s="285" t="str">
        <f>'A) Base RI'!B163</f>
        <v>Yens</v>
      </c>
      <c r="C167" s="10">
        <f>'A) Base RI'!AO163</f>
        <v>1477</v>
      </c>
      <c r="D167" s="388">
        <f>'C) Prél. conj.'!H161</f>
        <v>264284.69499999995</v>
      </c>
      <c r="E167" s="10">
        <f>'D) Ecrêtage'!M161</f>
        <v>111374.05315732119</v>
      </c>
      <c r="F167" s="388">
        <f>$F$10*'D) Ecrêtage'!C161</f>
        <v>1134622.3624431633</v>
      </c>
      <c r="G167" s="57">
        <f t="shared" si="2"/>
        <v>1510281.1106004845</v>
      </c>
    </row>
    <row r="168" spans="1:7" x14ac:dyDescent="0.25">
      <c r="A168" s="49">
        <f>'A) Base RI'!A164</f>
        <v>5661</v>
      </c>
      <c r="B168" s="285" t="str">
        <f>'A) Base RI'!B164</f>
        <v>Boulens</v>
      </c>
      <c r="C168" s="10">
        <f>'A) Base RI'!AO164</f>
        <v>361</v>
      </c>
      <c r="D168" s="388">
        <f>'C) Prél. conj.'!H162</f>
        <v>6181.5549999999985</v>
      </c>
      <c r="E168" s="10">
        <f>'D) Ecrêtage'!M162</f>
        <v>0</v>
      </c>
      <c r="F168" s="388">
        <f>$F$10*'D) Ecrêtage'!C162</f>
        <v>147901.4060597088</v>
      </c>
      <c r="G168" s="57">
        <f t="shared" si="2"/>
        <v>154082.96105970879</v>
      </c>
    </row>
    <row r="169" spans="1:7" x14ac:dyDescent="0.25">
      <c r="A169" s="49">
        <f>'A) Base RI'!A165</f>
        <v>5663</v>
      </c>
      <c r="B169" s="285" t="str">
        <f>'A) Base RI'!B165</f>
        <v>Bussy-sur-Moudon</v>
      </c>
      <c r="C169" s="10">
        <f>'A) Base RI'!AO165</f>
        <v>218</v>
      </c>
      <c r="D169" s="388">
        <f>'C) Prél. conj.'!H163</f>
        <v>22697.075000000001</v>
      </c>
      <c r="E169" s="10">
        <f>'D) Ecrêtage'!M163</f>
        <v>0</v>
      </c>
      <c r="F169" s="388">
        <f>$F$10*'D) Ecrêtage'!C163</f>
        <v>93399.524451910489</v>
      </c>
      <c r="G169" s="57">
        <f t="shared" si="2"/>
        <v>116096.59945191049</v>
      </c>
    </row>
    <row r="170" spans="1:7" x14ac:dyDescent="0.25">
      <c r="A170" s="49">
        <f>'A) Base RI'!A166</f>
        <v>5665</v>
      </c>
      <c r="B170" s="285" t="str">
        <f>'A) Base RI'!B166</f>
        <v>Chavannes-sur-Moudon</v>
      </c>
      <c r="C170" s="10">
        <f>'A) Base RI'!AO166</f>
        <v>210</v>
      </c>
      <c r="D170" s="388">
        <f>'C) Prél. conj.'!H164</f>
        <v>14750.674999999999</v>
      </c>
      <c r="E170" s="10">
        <f>'D) Ecrêtage'!M164</f>
        <v>0</v>
      </c>
      <c r="F170" s="388">
        <f>$F$10*'D) Ecrêtage'!C164</f>
        <v>69561.207415610523</v>
      </c>
      <c r="G170" s="57">
        <f t="shared" si="2"/>
        <v>84311.882415610526</v>
      </c>
    </row>
    <row r="171" spans="1:7" x14ac:dyDescent="0.25">
      <c r="A171" s="49">
        <f>'A) Base RI'!A167</f>
        <v>5669</v>
      </c>
      <c r="B171" s="285" t="str">
        <f>'A) Base RI'!B167</f>
        <v>Curtilles</v>
      </c>
      <c r="C171" s="10">
        <f>'A) Base RI'!AO167</f>
        <v>310</v>
      </c>
      <c r="D171" s="388">
        <f>'C) Prél. conj.'!H165</f>
        <v>7616.55</v>
      </c>
      <c r="E171" s="10">
        <f>'D) Ecrêtage'!M165</f>
        <v>0</v>
      </c>
      <c r="F171" s="388">
        <f>$F$10*'D) Ecrêtage'!C165</f>
        <v>146944.02103144847</v>
      </c>
      <c r="G171" s="57">
        <f t="shared" si="2"/>
        <v>154560.57103144846</v>
      </c>
    </row>
    <row r="172" spans="1:7" x14ac:dyDescent="0.25">
      <c r="A172" s="49">
        <f>'A) Base RI'!A168</f>
        <v>5671</v>
      </c>
      <c r="B172" s="285" t="str">
        <f>'A) Base RI'!B168</f>
        <v>Dompierre</v>
      </c>
      <c r="C172" s="10">
        <f>'A) Base RI'!AO168</f>
        <v>232</v>
      </c>
      <c r="D172" s="388">
        <f>'C) Prél. conj.'!H166</f>
        <v>24007.025000000001</v>
      </c>
      <c r="E172" s="10">
        <f>'D) Ecrêtage'!M166</f>
        <v>0</v>
      </c>
      <c r="F172" s="388">
        <f>$F$10*'D) Ecrêtage'!C166</f>
        <v>96541.336133948673</v>
      </c>
      <c r="G172" s="57">
        <f t="shared" si="2"/>
        <v>120548.36113394867</v>
      </c>
    </row>
    <row r="173" spans="1:7" x14ac:dyDescent="0.25">
      <c r="A173" s="49">
        <f>'A) Base RI'!A169</f>
        <v>5673</v>
      </c>
      <c r="B173" s="285" t="str">
        <f>'A) Base RI'!B169</f>
        <v>Hermenches</v>
      </c>
      <c r="C173" s="10">
        <f>'A) Base RI'!AO169</f>
        <v>367</v>
      </c>
      <c r="D173" s="388">
        <f>'C) Prél. conj.'!H167</f>
        <v>23311.829999999998</v>
      </c>
      <c r="E173" s="10">
        <f>'D) Ecrêtage'!M167</f>
        <v>0</v>
      </c>
      <c r="F173" s="388">
        <f>$F$10*'D) Ecrêtage'!C167</f>
        <v>145585.0857165893</v>
      </c>
      <c r="G173" s="57">
        <f t="shared" si="2"/>
        <v>168896.91571658928</v>
      </c>
    </row>
    <row r="174" spans="1:7" x14ac:dyDescent="0.25">
      <c r="A174" s="49">
        <f>'A) Base RI'!A170</f>
        <v>5674</v>
      </c>
      <c r="B174" s="285" t="str">
        <f>'A) Base RI'!B170</f>
        <v>Lovatens</v>
      </c>
      <c r="C174" s="10">
        <f>'A) Base RI'!AO170</f>
        <v>136</v>
      </c>
      <c r="D174" s="388">
        <f>'C) Prél. conj.'!H168</f>
        <v>94.674999999999997</v>
      </c>
      <c r="E174" s="10">
        <f>'D) Ecrêtage'!M168</f>
        <v>0</v>
      </c>
      <c r="F174" s="388">
        <f>$F$10*'D) Ecrêtage'!C168</f>
        <v>47232.862415906515</v>
      </c>
      <c r="G174" s="57">
        <f t="shared" si="2"/>
        <v>47327.537415906518</v>
      </c>
    </row>
    <row r="175" spans="1:7" x14ac:dyDescent="0.25">
      <c r="A175" s="49">
        <f>'A) Base RI'!A171</f>
        <v>5675</v>
      </c>
      <c r="B175" s="285" t="str">
        <f>'A) Base RI'!B171</f>
        <v>Lucens</v>
      </c>
      <c r="C175" s="10">
        <f>'A) Base RI'!AO171</f>
        <v>4220</v>
      </c>
      <c r="D175" s="388">
        <f>'C) Prél. conj.'!H169</f>
        <v>459429.995</v>
      </c>
      <c r="E175" s="10">
        <f>'D) Ecrêtage'!M169</f>
        <v>0</v>
      </c>
      <c r="F175" s="388">
        <f>$F$10*'D) Ecrêtage'!C169</f>
        <v>1436185.4251690584</v>
      </c>
      <c r="G175" s="57">
        <f t="shared" si="2"/>
        <v>1895615.4201690583</v>
      </c>
    </row>
    <row r="176" spans="1:7" x14ac:dyDescent="0.25">
      <c r="A176" s="49">
        <f>'A) Base RI'!A172</f>
        <v>5678</v>
      </c>
      <c r="B176" s="285" t="str">
        <f>'A) Base RI'!B172</f>
        <v>Moudon</v>
      </c>
      <c r="C176" s="10">
        <f>'A) Base RI'!AO172</f>
        <v>6080</v>
      </c>
      <c r="D176" s="388">
        <f>'C) Prél. conj.'!H170</f>
        <v>754097.07</v>
      </c>
      <c r="E176" s="10">
        <f>'D) Ecrêtage'!M170</f>
        <v>0</v>
      </c>
      <c r="F176" s="388">
        <f>$F$10*'D) Ecrêtage'!C170</f>
        <v>1852266.9019164722</v>
      </c>
      <c r="G176" s="57">
        <f t="shared" si="2"/>
        <v>2606363.9719164721</v>
      </c>
    </row>
    <row r="177" spans="1:7" x14ac:dyDescent="0.25">
      <c r="A177" s="49">
        <f>'A) Base RI'!A173</f>
        <v>5680</v>
      </c>
      <c r="B177" s="285" t="str">
        <f>'A) Base RI'!B173</f>
        <v>Ogens</v>
      </c>
      <c r="C177" s="10">
        <f>'A) Base RI'!AO173</f>
        <v>296</v>
      </c>
      <c r="D177" s="388">
        <f>'C) Prél. conj.'!H171</f>
        <v>36675.025000000001</v>
      </c>
      <c r="E177" s="10">
        <f>'D) Ecrêtage'!M171</f>
        <v>0</v>
      </c>
      <c r="F177" s="388">
        <f>$F$10*'D) Ecrêtage'!C171</f>
        <v>92752.7659876119</v>
      </c>
      <c r="G177" s="57">
        <f t="shared" si="2"/>
        <v>129427.79098761189</v>
      </c>
    </row>
    <row r="178" spans="1:7" x14ac:dyDescent="0.25">
      <c r="A178" s="49">
        <f>'A) Base RI'!A174</f>
        <v>5683</v>
      </c>
      <c r="B178" s="285" t="str">
        <f>'A) Base RI'!B174</f>
        <v>Prévonloup</v>
      </c>
      <c r="C178" s="10">
        <f>'A) Base RI'!AO174</f>
        <v>194</v>
      </c>
      <c r="D178" s="388">
        <f>'C) Prél. conj.'!H172</f>
        <v>4126.6499999999996</v>
      </c>
      <c r="E178" s="10">
        <f>'D) Ecrêtage'!M172</f>
        <v>0</v>
      </c>
      <c r="F178" s="388">
        <f>$F$10*'D) Ecrêtage'!C172</f>
        <v>67423.475481803354</v>
      </c>
      <c r="G178" s="57">
        <f t="shared" si="2"/>
        <v>71550.125481803349</v>
      </c>
    </row>
    <row r="179" spans="1:7" x14ac:dyDescent="0.25">
      <c r="A179" s="49">
        <f>'A) Base RI'!A175</f>
        <v>5684</v>
      </c>
      <c r="B179" s="285" t="str">
        <f>'A) Base RI'!B175</f>
        <v>Rossenges</v>
      </c>
      <c r="C179" s="10">
        <f>'A) Base RI'!AO175</f>
        <v>84</v>
      </c>
      <c r="D179" s="388">
        <f>'C) Prél. conj.'!H173</f>
        <v>0</v>
      </c>
      <c r="E179" s="10">
        <f>'D) Ecrêtage'!M173</f>
        <v>0</v>
      </c>
      <c r="F179" s="388">
        <f>$F$10*'D) Ecrêtage'!C173</f>
        <v>45523.841383246661</v>
      </c>
      <c r="G179" s="57">
        <f t="shared" si="2"/>
        <v>45523.841383246661</v>
      </c>
    </row>
    <row r="180" spans="1:7" x14ac:dyDescent="0.25">
      <c r="A180" s="49">
        <f>'A) Base RI'!A176</f>
        <v>5688</v>
      </c>
      <c r="B180" s="285" t="str">
        <f>'A) Base RI'!B176</f>
        <v>Syens</v>
      </c>
      <c r="C180" s="10">
        <f>'A) Base RI'!AO176</f>
        <v>155</v>
      </c>
      <c r="D180" s="388">
        <f>'C) Prél. conj.'!H174</f>
        <v>121.59499999999998</v>
      </c>
      <c r="E180" s="10">
        <f>'D) Ecrêtage'!M174</f>
        <v>0</v>
      </c>
      <c r="F180" s="388">
        <f>$F$10*'D) Ecrêtage'!C174</f>
        <v>40288.017180245522</v>
      </c>
      <c r="G180" s="57">
        <f t="shared" si="2"/>
        <v>40409.612180245524</v>
      </c>
    </row>
    <row r="181" spans="1:7" x14ac:dyDescent="0.25">
      <c r="A181" s="49">
        <f>'A) Base RI'!A177</f>
        <v>5690</v>
      </c>
      <c r="B181" s="285" t="str">
        <f>'A) Base RI'!B177</f>
        <v>Villars-le-Comte</v>
      </c>
      <c r="C181" s="10">
        <f>'A) Base RI'!AO177</f>
        <v>122</v>
      </c>
      <c r="D181" s="388">
        <f>'C) Prél. conj.'!H175</f>
        <v>78866</v>
      </c>
      <c r="E181" s="10">
        <f>'D) Ecrêtage'!M175</f>
        <v>0</v>
      </c>
      <c r="F181" s="388">
        <f>$F$10*'D) Ecrêtage'!C175</f>
        <v>44340.372033024585</v>
      </c>
      <c r="G181" s="57">
        <f t="shared" si="2"/>
        <v>123206.37203302459</v>
      </c>
    </row>
    <row r="182" spans="1:7" x14ac:dyDescent="0.25">
      <c r="A182" s="49">
        <f>'A) Base RI'!A178</f>
        <v>5692</v>
      </c>
      <c r="B182" s="285" t="str">
        <f>'A) Base RI'!B178</f>
        <v>Vucherens</v>
      </c>
      <c r="C182" s="10">
        <f>'A) Base RI'!AO178</f>
        <v>580</v>
      </c>
      <c r="D182" s="388">
        <f>'C) Prél. conj.'!H176</f>
        <v>50592.014999999999</v>
      </c>
      <c r="E182" s="10">
        <f>'D) Ecrêtage'!M176</f>
        <v>0</v>
      </c>
      <c r="F182" s="388">
        <f>$F$10*'D) Ecrêtage'!C176</f>
        <v>235090.92376971728</v>
      </c>
      <c r="G182" s="57">
        <f t="shared" si="2"/>
        <v>285682.93876971729</v>
      </c>
    </row>
    <row r="183" spans="1:7" x14ac:dyDescent="0.25">
      <c r="A183" s="49">
        <f>'A) Base RI'!A179</f>
        <v>5693</v>
      </c>
      <c r="B183" s="285" t="str">
        <f>'A) Base RI'!B179</f>
        <v>Montanaire</v>
      </c>
      <c r="C183" s="10">
        <f>'A) Base RI'!AO179</f>
        <v>2717</v>
      </c>
      <c r="D183" s="388">
        <f>'C) Prél. conj.'!H177</f>
        <v>168577.74999999997</v>
      </c>
      <c r="E183" s="10">
        <f>'D) Ecrêtage'!M177</f>
        <v>0</v>
      </c>
      <c r="F183" s="388">
        <f>$F$10*'D) Ecrêtage'!C177</f>
        <v>1040240.8963697727</v>
      </c>
      <c r="G183" s="57">
        <f t="shared" si="2"/>
        <v>1208818.6463697727</v>
      </c>
    </row>
    <row r="184" spans="1:7" x14ac:dyDescent="0.25">
      <c r="A184" s="49">
        <f>'A) Base RI'!A180</f>
        <v>5701</v>
      </c>
      <c r="B184" s="285" t="str">
        <f>'A) Base RI'!B180</f>
        <v>Arnex-sur-Nyon</v>
      </c>
      <c r="C184" s="10">
        <f>'A) Base RI'!AO180</f>
        <v>229</v>
      </c>
      <c r="D184" s="388">
        <f>'C) Prél. conj.'!H178</f>
        <v>21056.9</v>
      </c>
      <c r="E184" s="10">
        <f>'D) Ecrêtage'!M178</f>
        <v>17872.011353000406</v>
      </c>
      <c r="F184" s="388">
        <f>$F$10*'D) Ecrêtage'!C178</f>
        <v>177295.02947008715</v>
      </c>
      <c r="G184" s="57">
        <f t="shared" si="2"/>
        <v>216223.94082308756</v>
      </c>
    </row>
    <row r="185" spans="1:7" x14ac:dyDescent="0.25">
      <c r="A185" s="49">
        <f>'A) Base RI'!A181</f>
        <v>5702</v>
      </c>
      <c r="B185" s="285" t="str">
        <f>'A) Base RI'!B181</f>
        <v>Arzier-Le Muids</v>
      </c>
      <c r="C185" s="10">
        <f>'A) Base RI'!AO181</f>
        <v>2801</v>
      </c>
      <c r="D185" s="388">
        <f>'C) Prél. conj.'!H179</f>
        <v>672152.8949999999</v>
      </c>
      <c r="E185" s="10">
        <f>'D) Ecrêtage'!M179</f>
        <v>636607.81491783028</v>
      </c>
      <c r="F185" s="388">
        <f>$F$10*'D) Ecrêtage'!C179</f>
        <v>2555569.9479258549</v>
      </c>
      <c r="G185" s="57">
        <f t="shared" si="2"/>
        <v>3864330.6578436852</v>
      </c>
    </row>
    <row r="186" spans="1:7" x14ac:dyDescent="0.25">
      <c r="A186" s="49">
        <f>'A) Base RI'!A182</f>
        <v>5703</v>
      </c>
      <c r="B186" s="285" t="str">
        <f>'A) Base RI'!B182</f>
        <v>Bassins</v>
      </c>
      <c r="C186" s="10">
        <f>'A) Base RI'!AO182</f>
        <v>1395</v>
      </c>
      <c r="D186" s="388">
        <f>'C) Prél. conj.'!H180</f>
        <v>175257.04499999998</v>
      </c>
      <c r="E186" s="10">
        <f>'D) Ecrêtage'!M180</f>
        <v>0</v>
      </c>
      <c r="F186" s="388">
        <f>$F$10*'D) Ecrêtage'!C180</f>
        <v>866665.72099290066</v>
      </c>
      <c r="G186" s="57">
        <f t="shared" si="2"/>
        <v>1041922.7659929006</v>
      </c>
    </row>
    <row r="187" spans="1:7" x14ac:dyDescent="0.25">
      <c r="A187" s="49">
        <f>'A) Base RI'!A183</f>
        <v>5704</v>
      </c>
      <c r="B187" s="285" t="str">
        <f>'A) Base RI'!B183</f>
        <v>Begnins</v>
      </c>
      <c r="C187" s="10">
        <f>'A) Base RI'!AO183</f>
        <v>1931</v>
      </c>
      <c r="D187" s="388">
        <f>'C) Prél. conj.'!H181</f>
        <v>315307.01000000007</v>
      </c>
      <c r="E187" s="10">
        <f>'D) Ecrêtage'!M181</f>
        <v>624009.32372842927</v>
      </c>
      <c r="F187" s="388">
        <f>$F$10*'D) Ecrêtage'!C181</f>
        <v>1903459.460705847</v>
      </c>
      <c r="G187" s="57">
        <f t="shared" si="2"/>
        <v>2842775.7944342764</v>
      </c>
    </row>
    <row r="188" spans="1:7" x14ac:dyDescent="0.25">
      <c r="A188" s="49">
        <f>'A) Base RI'!A184</f>
        <v>5705</v>
      </c>
      <c r="B188" s="285" t="str">
        <f>'A) Base RI'!B184</f>
        <v>Bogis-Bossey</v>
      </c>
      <c r="C188" s="10">
        <f>'A) Base RI'!AO184</f>
        <v>825</v>
      </c>
      <c r="D188" s="388">
        <f>'C) Prél. conj.'!H182</f>
        <v>162222.67000000001</v>
      </c>
      <c r="E188" s="10">
        <f>'D) Ecrêtage'!M182</f>
        <v>136044.36174129756</v>
      </c>
      <c r="F188" s="388">
        <f>$F$10*'D) Ecrêtage'!C182</f>
        <v>696899.45785308594</v>
      </c>
      <c r="G188" s="57">
        <f t="shared" si="2"/>
        <v>995166.48959438351</v>
      </c>
    </row>
    <row r="189" spans="1:7" x14ac:dyDescent="0.25">
      <c r="A189" s="49">
        <f>'A) Base RI'!A185</f>
        <v>5706</v>
      </c>
      <c r="B189" s="285" t="str">
        <f>'A) Base RI'!B185</f>
        <v>Borex</v>
      </c>
      <c r="C189" s="10">
        <f>'A) Base RI'!AO185</f>
        <v>1132</v>
      </c>
      <c r="D189" s="388">
        <f>'C) Prél. conj.'!H183</f>
        <v>120545.37</v>
      </c>
      <c r="E189" s="10">
        <f>'D) Ecrêtage'!M183</f>
        <v>344204.08678166871</v>
      </c>
      <c r="F189" s="388">
        <f>$F$10*'D) Ecrêtage'!C183</f>
        <v>1126568.6626542569</v>
      </c>
      <c r="G189" s="57">
        <f t="shared" si="2"/>
        <v>1591318.1194359257</v>
      </c>
    </row>
    <row r="190" spans="1:7" x14ac:dyDescent="0.25">
      <c r="A190" s="49">
        <f>'A) Base RI'!A186</f>
        <v>5707</v>
      </c>
      <c r="B190" s="285" t="str">
        <f>'A) Base RI'!B186</f>
        <v>Chavannes-de-Bogis</v>
      </c>
      <c r="C190" s="10">
        <f>'A) Base RI'!AO186</f>
        <v>1357</v>
      </c>
      <c r="D190" s="388">
        <f>'C) Prél. conj.'!H184</f>
        <v>382674.58999999997</v>
      </c>
      <c r="E190" s="10">
        <f>'D) Ecrêtage'!M184</f>
        <v>231802.21317058217</v>
      </c>
      <c r="F190" s="388">
        <f>$F$10*'D) Ecrêtage'!C184</f>
        <v>1194504.461779776</v>
      </c>
      <c r="G190" s="57">
        <f t="shared" si="2"/>
        <v>1808981.2649503581</v>
      </c>
    </row>
    <row r="191" spans="1:7" x14ac:dyDescent="0.25">
      <c r="A191" s="49">
        <f>'A) Base RI'!A187</f>
        <v>5708</v>
      </c>
      <c r="B191" s="285" t="str">
        <f>'A) Base RI'!B187</f>
        <v>Chavannes-des-Bois</v>
      </c>
      <c r="C191" s="10">
        <f>'A) Base RI'!AO187</f>
        <v>960</v>
      </c>
      <c r="D191" s="388">
        <f>'C) Prél. conj.'!H185</f>
        <v>239083.16499999998</v>
      </c>
      <c r="E191" s="10">
        <f>'D) Ecrêtage'!M185</f>
        <v>335554.92070481548</v>
      </c>
      <c r="F191" s="388">
        <f>$F$10*'D) Ecrêtage'!C185</f>
        <v>950584.74105147726</v>
      </c>
      <c r="G191" s="57">
        <f t="shared" si="2"/>
        <v>1525222.8267562927</v>
      </c>
    </row>
    <row r="192" spans="1:7" x14ac:dyDescent="0.25">
      <c r="A192" s="49">
        <f>'A) Base RI'!A188</f>
        <v>5709</v>
      </c>
      <c r="B192" s="285" t="str">
        <f>'A) Base RI'!B188</f>
        <v>Chéserex</v>
      </c>
      <c r="C192" s="10">
        <f>'A) Base RI'!AO188</f>
        <v>1238</v>
      </c>
      <c r="D192" s="388">
        <f>'C) Prél. conj.'!H186</f>
        <v>315315.39</v>
      </c>
      <c r="E192" s="10">
        <f>'D) Ecrêtage'!M186</f>
        <v>703989.18108304369</v>
      </c>
      <c r="F192" s="388">
        <f>$F$10*'D) Ecrêtage'!C186</f>
        <v>1460694.6905103787</v>
      </c>
      <c r="G192" s="57">
        <f t="shared" si="2"/>
        <v>2479999.2615934224</v>
      </c>
    </row>
    <row r="193" spans="1:7" x14ac:dyDescent="0.25">
      <c r="A193" s="49">
        <f>'A) Base RI'!A189</f>
        <v>5710</v>
      </c>
      <c r="B193" s="285" t="str">
        <f>'A) Base RI'!B189</f>
        <v>Coinsins</v>
      </c>
      <c r="C193" s="10">
        <f>'A) Base RI'!AO189</f>
        <v>494</v>
      </c>
      <c r="D193" s="388">
        <f>'C) Prél. conj.'!H187</f>
        <v>75543.37</v>
      </c>
      <c r="E193" s="10">
        <f>'D) Ecrêtage'!M187</f>
        <v>2278951.8837355799</v>
      </c>
      <c r="F193" s="388">
        <f>$F$10*'D) Ecrêtage'!C187</f>
        <v>1647040.861499256</v>
      </c>
      <c r="G193" s="57">
        <f t="shared" si="2"/>
        <v>4001536.115234836</v>
      </c>
    </row>
    <row r="194" spans="1:7" x14ac:dyDescent="0.25">
      <c r="A194" s="49">
        <f>'A) Base RI'!A190</f>
        <v>5711</v>
      </c>
      <c r="B194" s="285" t="str">
        <f>'A) Base RI'!B190</f>
        <v>Commugny</v>
      </c>
      <c r="C194" s="10">
        <f>'A) Base RI'!AO190</f>
        <v>2935</v>
      </c>
      <c r="D194" s="388">
        <f>'C) Prél. conj.'!H188</f>
        <v>693631.09000000008</v>
      </c>
      <c r="E194" s="10">
        <f>'D) Ecrêtage'!M188</f>
        <v>2165356.3824985423</v>
      </c>
      <c r="F194" s="388">
        <f>$F$10*'D) Ecrêtage'!C188</f>
        <v>3782789.7127615116</v>
      </c>
      <c r="G194" s="57">
        <f t="shared" si="2"/>
        <v>6641777.1852600537</v>
      </c>
    </row>
    <row r="195" spans="1:7" x14ac:dyDescent="0.25">
      <c r="A195" s="49">
        <f>'A) Base RI'!A191</f>
        <v>5712</v>
      </c>
      <c r="B195" s="285" t="str">
        <f>'A) Base RI'!B191</f>
        <v>Coppet</v>
      </c>
      <c r="C195" s="10">
        <f>'A) Base RI'!AO191</f>
        <v>3211</v>
      </c>
      <c r="D195" s="388">
        <f>'C) Prél. conj.'!H189</f>
        <v>1148127.75</v>
      </c>
      <c r="E195" s="10">
        <f>'D) Ecrêtage'!M189</f>
        <v>4936377.6144048469</v>
      </c>
      <c r="F195" s="388">
        <f>$F$10*'D) Ecrêtage'!C189</f>
        <v>5715509.7447878001</v>
      </c>
      <c r="G195" s="57">
        <f t="shared" si="2"/>
        <v>11800015.109192647</v>
      </c>
    </row>
    <row r="196" spans="1:7" x14ac:dyDescent="0.25">
      <c r="A196" s="49">
        <f>'A) Base RI'!A192</f>
        <v>5713</v>
      </c>
      <c r="B196" s="285" t="str">
        <f>'A) Base RI'!B192</f>
        <v>Crans-près-Céligny</v>
      </c>
      <c r="C196" s="10">
        <f>'A) Base RI'!AO192</f>
        <v>2286</v>
      </c>
      <c r="D196" s="388">
        <f>'C) Prél. conj.'!H190</f>
        <v>537325.255</v>
      </c>
      <c r="E196" s="10">
        <f>'D) Ecrêtage'!M190</f>
        <v>3957372.3690023143</v>
      </c>
      <c r="F196" s="388">
        <f>$F$10*'D) Ecrêtage'!C190</f>
        <v>4197107.1044685096</v>
      </c>
      <c r="G196" s="57">
        <f t="shared" si="2"/>
        <v>8691804.7284708247</v>
      </c>
    </row>
    <row r="197" spans="1:7" x14ac:dyDescent="0.25">
      <c r="A197" s="49">
        <f>'A) Base RI'!A193</f>
        <v>5714</v>
      </c>
      <c r="B197" s="285" t="str">
        <f>'A) Base RI'!B193</f>
        <v>Crassier</v>
      </c>
      <c r="C197" s="10">
        <f>'A) Base RI'!AO193</f>
        <v>1169</v>
      </c>
      <c r="D197" s="388">
        <f>'C) Prél. conj.'!H191</f>
        <v>176756.95</v>
      </c>
      <c r="E197" s="10">
        <f>'D) Ecrêtage'!M191</f>
        <v>224317.71993950964</v>
      </c>
      <c r="F197" s="388">
        <f>$F$10*'D) Ecrêtage'!C191</f>
        <v>1024817.2922812565</v>
      </c>
      <c r="G197" s="57">
        <f t="shared" si="2"/>
        <v>1425891.9622207661</v>
      </c>
    </row>
    <row r="198" spans="1:7" x14ac:dyDescent="0.25">
      <c r="A198" s="49">
        <f>'A) Base RI'!A194</f>
        <v>5715</v>
      </c>
      <c r="B198" s="285" t="str">
        <f>'A) Base RI'!B194</f>
        <v>Duillier</v>
      </c>
      <c r="C198" s="10">
        <f>'A) Base RI'!AO194</f>
        <v>1090</v>
      </c>
      <c r="D198" s="388">
        <f>'C) Prél. conj.'!H192</f>
        <v>167086.88500000001</v>
      </c>
      <c r="E198" s="10">
        <f>'D) Ecrêtage'!M192</f>
        <v>303723.73058738356</v>
      </c>
      <c r="F198" s="388">
        <f>$F$10*'D) Ecrêtage'!C192</f>
        <v>1030290.8141610634</v>
      </c>
      <c r="G198" s="57">
        <f t="shared" si="2"/>
        <v>1501101.4297484469</v>
      </c>
    </row>
    <row r="199" spans="1:7" x14ac:dyDescent="0.25">
      <c r="A199" s="49">
        <f>'A) Base RI'!A195</f>
        <v>5716</v>
      </c>
      <c r="B199" s="285" t="str">
        <f>'A) Base RI'!B195</f>
        <v>Eysins</v>
      </c>
      <c r="C199" s="10">
        <f>'A) Base RI'!AO195</f>
        <v>1737</v>
      </c>
      <c r="D199" s="388">
        <f>'C) Prél. conj.'!H193</f>
        <v>407066.43499999994</v>
      </c>
      <c r="E199" s="10">
        <f>'D) Ecrêtage'!M193</f>
        <v>2942031.5322507205</v>
      </c>
      <c r="F199" s="388">
        <f>$F$10*'D) Ecrêtage'!C193</f>
        <v>3028535.3000655435</v>
      </c>
      <c r="G199" s="57">
        <f t="shared" si="2"/>
        <v>6377633.2673162641</v>
      </c>
    </row>
    <row r="200" spans="1:7" x14ac:dyDescent="0.25">
      <c r="A200" s="49">
        <f>'A) Base RI'!A196</f>
        <v>5717</v>
      </c>
      <c r="B200" s="285" t="str">
        <f>'A) Base RI'!B196</f>
        <v>Founex</v>
      </c>
      <c r="C200" s="10">
        <f>'A) Base RI'!AO196</f>
        <v>3772</v>
      </c>
      <c r="D200" s="388">
        <f>'C) Prél. conj.'!H194</f>
        <v>1243631.415</v>
      </c>
      <c r="E200" s="10">
        <f>'D) Ecrêtage'!M194</f>
        <v>3098832.3309056885</v>
      </c>
      <c r="F200" s="388">
        <f>$F$10*'D) Ecrêtage'!C194</f>
        <v>5065151.4577223808</v>
      </c>
      <c r="G200" s="57">
        <f t="shared" si="2"/>
        <v>9407615.2036280688</v>
      </c>
    </row>
    <row r="201" spans="1:7" x14ac:dyDescent="0.25">
      <c r="A201" s="49">
        <f>'A) Base RI'!A197</f>
        <v>5718</v>
      </c>
      <c r="B201" s="285" t="str">
        <f>'A) Base RI'!B197</f>
        <v>Genolier</v>
      </c>
      <c r="C201" s="10">
        <f>'A) Base RI'!AO197</f>
        <v>2000</v>
      </c>
      <c r="D201" s="388">
        <f>'C) Prél. conj.'!H195</f>
        <v>798637.37999999989</v>
      </c>
      <c r="E201" s="10">
        <f>'D) Ecrêtage'!M195</f>
        <v>1336074.84871058</v>
      </c>
      <c r="F201" s="388">
        <f>$F$10*'D) Ecrêtage'!C195</f>
        <v>2519150.6794072008</v>
      </c>
      <c r="G201" s="57">
        <f t="shared" si="2"/>
        <v>4653862.9081177805</v>
      </c>
    </row>
    <row r="202" spans="1:7" x14ac:dyDescent="0.25">
      <c r="A202" s="49">
        <f>'A) Base RI'!A198</f>
        <v>5719</v>
      </c>
      <c r="B202" s="285" t="str">
        <f>'A) Base RI'!B198</f>
        <v>Gingins</v>
      </c>
      <c r="C202" s="10">
        <f>'A) Base RI'!AO198</f>
        <v>1239</v>
      </c>
      <c r="D202" s="388">
        <f>'C) Prél. conj.'!H196</f>
        <v>193849.31999999998</v>
      </c>
      <c r="E202" s="10">
        <f>'D) Ecrêtage'!M196</f>
        <v>1826233.8849876607</v>
      </c>
      <c r="F202" s="388">
        <f>$F$10*'D) Ecrêtage'!C196</f>
        <v>2090813.4032836175</v>
      </c>
      <c r="G202" s="57">
        <f t="shared" si="2"/>
        <v>4110896.608271278</v>
      </c>
    </row>
    <row r="203" spans="1:7" x14ac:dyDescent="0.25">
      <c r="A203" s="49">
        <f>'A) Base RI'!A199</f>
        <v>5720</v>
      </c>
      <c r="B203" s="285" t="str">
        <f>'A) Base RI'!B199</f>
        <v>Givrins</v>
      </c>
      <c r="C203" s="10">
        <f>'A) Base RI'!AO199</f>
        <v>1032</v>
      </c>
      <c r="D203" s="388">
        <f>'C) Prél. conj.'!H197</f>
        <v>293565.15500000003</v>
      </c>
      <c r="E203" s="10">
        <f>'D) Ecrêtage'!M197</f>
        <v>681280.81096256874</v>
      </c>
      <c r="F203" s="388">
        <f>$F$10*'D) Ecrêtage'!C197</f>
        <v>1212967.2748109696</v>
      </c>
      <c r="G203" s="57">
        <f t="shared" si="2"/>
        <v>2187813.2407735381</v>
      </c>
    </row>
    <row r="204" spans="1:7" x14ac:dyDescent="0.25">
      <c r="A204" s="49">
        <f>'A) Base RI'!A200</f>
        <v>5721</v>
      </c>
      <c r="B204" s="285" t="str">
        <f>'A) Base RI'!B200</f>
        <v>Gland</v>
      </c>
      <c r="C204" s="10">
        <f>'A) Base RI'!AO200</f>
        <v>13194</v>
      </c>
      <c r="D204" s="388">
        <f>'C) Prél. conj.'!H198</f>
        <v>7524227.4249999998</v>
      </c>
      <c r="E204" s="10">
        <f>'D) Ecrêtage'!M198</f>
        <v>415929.14009656879</v>
      </c>
      <c r="F204" s="388">
        <f>$F$10*'D) Ecrêtage'!C198</f>
        <v>9623274.8677742649</v>
      </c>
      <c r="G204" s="57">
        <f t="shared" ref="G204:G267" si="3">D204+F204+E204</f>
        <v>17563431.432870831</v>
      </c>
    </row>
    <row r="205" spans="1:7" x14ac:dyDescent="0.25">
      <c r="A205" s="49">
        <f>'A) Base RI'!A201</f>
        <v>5722</v>
      </c>
      <c r="B205" s="285" t="str">
        <f>'A) Base RI'!B201</f>
        <v>Grens</v>
      </c>
      <c r="C205" s="10">
        <f>'A) Base RI'!AO201</f>
        <v>383</v>
      </c>
      <c r="D205" s="388">
        <f>'C) Prél. conj.'!H199</f>
        <v>68932.040000000008</v>
      </c>
      <c r="E205" s="10">
        <f>'D) Ecrêtage'!M199</f>
        <v>28001.179590040403</v>
      </c>
      <c r="F205" s="388">
        <f>$F$10*'D) Ecrêtage'!C199</f>
        <v>298332.58009690867</v>
      </c>
      <c r="G205" s="57">
        <f t="shared" si="3"/>
        <v>395265.79968694906</v>
      </c>
    </row>
    <row r="206" spans="1:7" x14ac:dyDescent="0.25">
      <c r="A206" s="49">
        <f>'A) Base RI'!A202</f>
        <v>5723</v>
      </c>
      <c r="B206" s="285" t="str">
        <f>'A) Base RI'!B202</f>
        <v>Mies</v>
      </c>
      <c r="C206" s="10">
        <f>'A) Base RI'!AO202</f>
        <v>2116</v>
      </c>
      <c r="D206" s="388">
        <f>'C) Prél. conj.'!H200</f>
        <v>552865.72499999998</v>
      </c>
      <c r="E206" s="10">
        <f>'D) Ecrêtage'!M200</f>
        <v>13055400.176401442</v>
      </c>
      <c r="F206" s="388">
        <f>$F$10*'D) Ecrêtage'!C200</f>
        <v>8399744.4931168519</v>
      </c>
      <c r="G206" s="57">
        <f t="shared" si="3"/>
        <v>22008010.394518293</v>
      </c>
    </row>
    <row r="207" spans="1:7" x14ac:dyDescent="0.25">
      <c r="A207" s="49">
        <f>'A) Base RI'!A203</f>
        <v>5724</v>
      </c>
      <c r="B207" s="285" t="str">
        <f>'A) Base RI'!B203</f>
        <v>Nyon</v>
      </c>
      <c r="C207" s="10">
        <f>'A) Base RI'!AO203</f>
        <v>21416</v>
      </c>
      <c r="D207" s="388">
        <f>'C) Prél. conj.'!H201</f>
        <v>5582764.585</v>
      </c>
      <c r="E207" s="10">
        <f>'D) Ecrêtage'!M201</f>
        <v>5975714.7460536035</v>
      </c>
      <c r="F207" s="388">
        <f>$F$10*'D) Ecrêtage'!C201</f>
        <v>20612395.797001675</v>
      </c>
      <c r="G207" s="57">
        <f t="shared" si="3"/>
        <v>32170875.128055278</v>
      </c>
    </row>
    <row r="208" spans="1:7" x14ac:dyDescent="0.25">
      <c r="A208" s="49">
        <f>'A) Base RI'!A204</f>
        <v>5725</v>
      </c>
      <c r="B208" s="285" t="str">
        <f>'A) Base RI'!B204</f>
        <v>Prangins</v>
      </c>
      <c r="C208" s="10">
        <f>'A) Base RI'!AO204</f>
        <v>4088</v>
      </c>
      <c r="D208" s="388">
        <f>'C) Prél. conj.'!H202</f>
        <v>1643919.01</v>
      </c>
      <c r="E208" s="10">
        <f>'D) Ecrêtage'!M202</f>
        <v>2525763.4321192894</v>
      </c>
      <c r="F208" s="388">
        <f>$F$10*'D) Ecrêtage'!C202</f>
        <v>4982014.232968946</v>
      </c>
      <c r="G208" s="57">
        <f t="shared" si="3"/>
        <v>9151696.6750882342</v>
      </c>
    </row>
    <row r="209" spans="1:7" x14ac:dyDescent="0.25">
      <c r="A209" s="49">
        <f>'A) Base RI'!A205</f>
        <v>5726</v>
      </c>
      <c r="B209" s="285" t="str">
        <f>'A) Base RI'!B205</f>
        <v>La Rippe</v>
      </c>
      <c r="C209" s="10">
        <f>'A) Base RI'!AO205</f>
        <v>1136</v>
      </c>
      <c r="D209" s="388">
        <f>'C) Prél. conj.'!H203</f>
        <v>133248.46</v>
      </c>
      <c r="E209" s="10">
        <f>'D) Ecrêtage'!M203</f>
        <v>101307.02383191208</v>
      </c>
      <c r="F209" s="388">
        <f>$F$10*'D) Ecrêtage'!C203</f>
        <v>900958.64824249432</v>
      </c>
      <c r="G209" s="57">
        <f t="shared" si="3"/>
        <v>1135514.1320744064</v>
      </c>
    </row>
    <row r="210" spans="1:7" x14ac:dyDescent="0.25">
      <c r="A210" s="49">
        <f>'A) Base RI'!A206</f>
        <v>5727</v>
      </c>
      <c r="B210" s="285" t="str">
        <f>'A) Base RI'!B206</f>
        <v>Saint-Cergue</v>
      </c>
      <c r="C210" s="10">
        <f>'A) Base RI'!AO206</f>
        <v>2603</v>
      </c>
      <c r="D210" s="388">
        <f>'C) Prél. conj.'!H204</f>
        <v>371835.31499999994</v>
      </c>
      <c r="E210" s="10">
        <f>'D) Ecrêtage'!M204</f>
        <v>0</v>
      </c>
      <c r="F210" s="388">
        <f>$F$10*'D) Ecrêtage'!C204</f>
        <v>1412191.6563577601</v>
      </c>
      <c r="G210" s="57">
        <f t="shared" si="3"/>
        <v>1784026.97135776</v>
      </c>
    </row>
    <row r="211" spans="1:7" x14ac:dyDescent="0.25">
      <c r="A211" s="49">
        <f>'A) Base RI'!A207</f>
        <v>5728</v>
      </c>
      <c r="B211" s="285" t="str">
        <f>'A) Base RI'!B207</f>
        <v>Signy-Avenex</v>
      </c>
      <c r="C211" s="10">
        <f>'A) Base RI'!AO207</f>
        <v>586</v>
      </c>
      <c r="D211" s="388">
        <f>'C) Prél. conj.'!H205</f>
        <v>107279.465</v>
      </c>
      <c r="E211" s="10">
        <f>'D) Ecrêtage'!M205</f>
        <v>247721.49246915634</v>
      </c>
      <c r="F211" s="388">
        <f>$F$10*'D) Ecrêtage'!C205</f>
        <v>633562.34998640977</v>
      </c>
      <c r="G211" s="57">
        <f t="shared" si="3"/>
        <v>988563.30745556601</v>
      </c>
    </row>
    <row r="212" spans="1:7" x14ac:dyDescent="0.25">
      <c r="A212" s="49">
        <f>'A) Base RI'!A208</f>
        <v>5729</v>
      </c>
      <c r="B212" s="285" t="str">
        <f>'A) Base RI'!B208</f>
        <v>Tannay</v>
      </c>
      <c r="C212" s="10">
        <f>'A) Base RI'!AO208</f>
        <v>1600</v>
      </c>
      <c r="D212" s="388">
        <f>'C) Prél. conj.'!H206</f>
        <v>477620.98000000004</v>
      </c>
      <c r="E212" s="10">
        <f>'D) Ecrêtage'!M206</f>
        <v>2313632.1350755049</v>
      </c>
      <c r="F212" s="388">
        <f>$F$10*'D) Ecrêtage'!C206</f>
        <v>2598753.6605589855</v>
      </c>
      <c r="G212" s="57">
        <f t="shared" si="3"/>
        <v>5390006.77563449</v>
      </c>
    </row>
    <row r="213" spans="1:7" x14ac:dyDescent="0.25">
      <c r="A213" s="49">
        <f>'A) Base RI'!A209</f>
        <v>5730</v>
      </c>
      <c r="B213" s="285" t="str">
        <f>'A) Base RI'!B209</f>
        <v>Trélex</v>
      </c>
      <c r="C213" s="10">
        <f>'A) Base RI'!AO209</f>
        <v>1434</v>
      </c>
      <c r="D213" s="388">
        <f>'C) Prél. conj.'!H207</f>
        <v>262900.51500000001</v>
      </c>
      <c r="E213" s="10">
        <f>'D) Ecrêtage'!M207</f>
        <v>1255811.551355391</v>
      </c>
      <c r="F213" s="388">
        <f>$F$10*'D) Ecrêtage'!C207</f>
        <v>1975701.9275663211</v>
      </c>
      <c r="G213" s="57">
        <f t="shared" si="3"/>
        <v>3494413.993921712</v>
      </c>
    </row>
    <row r="214" spans="1:7" x14ac:dyDescent="0.25">
      <c r="A214" s="49">
        <f>'A) Base RI'!A210</f>
        <v>5731</v>
      </c>
      <c r="B214" s="285" t="str">
        <f>'A) Base RI'!B210</f>
        <v>Le Vaud</v>
      </c>
      <c r="C214" s="10">
        <f>'A) Base RI'!AO210</f>
        <v>1362</v>
      </c>
      <c r="D214" s="388">
        <f>'C) Prél. conj.'!H208</f>
        <v>370987.29000000004</v>
      </c>
      <c r="E214" s="10">
        <f>'D) Ecrêtage'!M208</f>
        <v>0</v>
      </c>
      <c r="F214" s="388">
        <f>$F$10*'D) Ecrêtage'!C208</f>
        <v>910031.23464175302</v>
      </c>
      <c r="G214" s="57">
        <f t="shared" si="3"/>
        <v>1281018.5246417532</v>
      </c>
    </row>
    <row r="215" spans="1:7" x14ac:dyDescent="0.25">
      <c r="A215" s="49">
        <f>'A) Base RI'!A211</f>
        <v>5732</v>
      </c>
      <c r="B215" s="285" t="str">
        <f>'A) Base RI'!B211</f>
        <v>Vich</v>
      </c>
      <c r="C215" s="10">
        <f>'A) Base RI'!AO211</f>
        <v>1083</v>
      </c>
      <c r="D215" s="388">
        <f>'C) Prél. conj.'!H209</f>
        <v>206967.285</v>
      </c>
      <c r="E215" s="10">
        <f>'D) Ecrêtage'!M209</f>
        <v>189167.73294507919</v>
      </c>
      <c r="F215" s="388">
        <f>$F$10*'D) Ecrêtage'!C209</f>
        <v>940123.44018665061</v>
      </c>
      <c r="G215" s="57">
        <f t="shared" si="3"/>
        <v>1336258.4581317299</v>
      </c>
    </row>
    <row r="216" spans="1:7" x14ac:dyDescent="0.25">
      <c r="A216" s="49">
        <f>'A) Base RI'!A212</f>
        <v>5741</v>
      </c>
      <c r="B216" s="285" t="str">
        <f>'A) Base RI'!B212</f>
        <v>L'Abergement</v>
      </c>
      <c r="C216" s="10">
        <f>'A) Base RI'!AO212</f>
        <v>244</v>
      </c>
      <c r="D216" s="388">
        <f>'C) Prél. conj.'!H210</f>
        <v>23870.535</v>
      </c>
      <c r="E216" s="10">
        <f>'D) Ecrêtage'!M210</f>
        <v>0</v>
      </c>
      <c r="F216" s="388">
        <f>$F$10*'D) Ecrêtage'!C210</f>
        <v>104958.96301022008</v>
      </c>
      <c r="G216" s="57">
        <f t="shared" si="3"/>
        <v>128829.49801022008</v>
      </c>
    </row>
    <row r="217" spans="1:7" x14ac:dyDescent="0.25">
      <c r="A217" s="49">
        <f>'A) Base RI'!A213</f>
        <v>5742</v>
      </c>
      <c r="B217" s="285" t="str">
        <f>'A) Base RI'!B213</f>
        <v>Agiez</v>
      </c>
      <c r="C217" s="10">
        <f>'A) Base RI'!AO213</f>
        <v>354</v>
      </c>
      <c r="D217" s="388">
        <f>'C) Prél. conj.'!H211</f>
        <v>33456.425000000003</v>
      </c>
      <c r="E217" s="10">
        <f>'D) Ecrêtage'!M211</f>
        <v>0</v>
      </c>
      <c r="F217" s="388">
        <f>$F$10*'D) Ecrêtage'!C211</f>
        <v>132566.72667257304</v>
      </c>
      <c r="G217" s="57">
        <f t="shared" si="3"/>
        <v>166023.15167257306</v>
      </c>
    </row>
    <row r="218" spans="1:7" x14ac:dyDescent="0.25">
      <c r="A218" s="49">
        <f>'A) Base RI'!A214</f>
        <v>5743</v>
      </c>
      <c r="B218" s="285" t="str">
        <f>'A) Base RI'!B214</f>
        <v>Arnex-sur-Orbe</v>
      </c>
      <c r="C218" s="10">
        <f>'A) Base RI'!AO214</f>
        <v>633</v>
      </c>
      <c r="D218" s="388">
        <f>'C) Prél. conj.'!H212</f>
        <v>108870.48</v>
      </c>
      <c r="E218" s="10">
        <f>'D) Ecrêtage'!M212</f>
        <v>0</v>
      </c>
      <c r="F218" s="388">
        <f>$F$10*'D) Ecrêtage'!C212</f>
        <v>279273.94471080863</v>
      </c>
      <c r="G218" s="57">
        <f t="shared" si="3"/>
        <v>388144.42471080861</v>
      </c>
    </row>
    <row r="219" spans="1:7" x14ac:dyDescent="0.25">
      <c r="A219" s="49">
        <f>'A) Base RI'!A215</f>
        <v>5744</v>
      </c>
      <c r="B219" s="285" t="str">
        <f>'A) Base RI'!B215</f>
        <v>Ballaigues</v>
      </c>
      <c r="C219" s="10">
        <f>'A) Base RI'!AO215</f>
        <v>1108</v>
      </c>
      <c r="D219" s="388">
        <f>'C) Prél. conj.'!H213</f>
        <v>559842.86499999999</v>
      </c>
      <c r="E219" s="10">
        <f>'D) Ecrêtage'!M213</f>
        <v>153687.49009616609</v>
      </c>
      <c r="F219" s="388">
        <f>$F$10*'D) Ecrêtage'!C213</f>
        <v>932259.66569939139</v>
      </c>
      <c r="G219" s="57">
        <f t="shared" si="3"/>
        <v>1645790.0207955574</v>
      </c>
    </row>
    <row r="220" spans="1:7" x14ac:dyDescent="0.25">
      <c r="A220" s="49">
        <f>'A) Base RI'!A216</f>
        <v>5745</v>
      </c>
      <c r="B220" s="285" t="str">
        <f>'A) Base RI'!B216</f>
        <v>Baulmes</v>
      </c>
      <c r="C220" s="10">
        <f>'A) Base RI'!AO216</f>
        <v>1042</v>
      </c>
      <c r="D220" s="388">
        <f>'C) Prél. conj.'!H214</f>
        <v>115243.86</v>
      </c>
      <c r="E220" s="10">
        <f>'D) Ecrêtage'!M214</f>
        <v>0</v>
      </c>
      <c r="F220" s="388">
        <f>$F$10*'D) Ecrêtage'!C214</f>
        <v>407814.84162877343</v>
      </c>
      <c r="G220" s="57">
        <f t="shared" si="3"/>
        <v>523058.70162877341</v>
      </c>
    </row>
    <row r="221" spans="1:7" x14ac:dyDescent="0.25">
      <c r="A221" s="49">
        <f>'A) Base RI'!A217</f>
        <v>5746</v>
      </c>
      <c r="B221" s="285" t="str">
        <f>'A) Base RI'!B217</f>
        <v>Bavois</v>
      </c>
      <c r="C221" s="10">
        <f>'A) Base RI'!AO217</f>
        <v>952</v>
      </c>
      <c r="D221" s="388">
        <f>'C) Prél. conj.'!H215</f>
        <v>104863.715</v>
      </c>
      <c r="E221" s="10">
        <f>'D) Ecrêtage'!M215</f>
        <v>0</v>
      </c>
      <c r="F221" s="388">
        <f>$F$10*'D) Ecrêtage'!C215</f>
        <v>386421.61343917361</v>
      </c>
      <c r="G221" s="57">
        <f t="shared" si="3"/>
        <v>491285.32843917364</v>
      </c>
    </row>
    <row r="222" spans="1:7" x14ac:dyDescent="0.25">
      <c r="A222" s="49">
        <f>'A) Base RI'!A218</f>
        <v>5747</v>
      </c>
      <c r="B222" s="285" t="str">
        <f>'A) Base RI'!B218</f>
        <v>Bofflens</v>
      </c>
      <c r="C222" s="10">
        <f>'A) Base RI'!AO218</f>
        <v>194</v>
      </c>
      <c r="D222" s="388">
        <f>'C) Prél. conj.'!H216</f>
        <v>7085.7250000000004</v>
      </c>
      <c r="E222" s="10">
        <f>'D) Ecrêtage'!M216</f>
        <v>0</v>
      </c>
      <c r="F222" s="388">
        <f>$F$10*'D) Ecrêtage'!C216</f>
        <v>87246.472466748673</v>
      </c>
      <c r="G222" s="57">
        <f t="shared" si="3"/>
        <v>94332.197466748679</v>
      </c>
    </row>
    <row r="223" spans="1:7" x14ac:dyDescent="0.25">
      <c r="A223" s="49">
        <f>'A) Base RI'!A219</f>
        <v>5748</v>
      </c>
      <c r="B223" s="285" t="str">
        <f>'A) Base RI'!B219</f>
        <v>Bretonnières</v>
      </c>
      <c r="C223" s="10">
        <f>'A) Base RI'!AO219</f>
        <v>269</v>
      </c>
      <c r="D223" s="388">
        <f>'C) Prél. conj.'!H217</f>
        <v>16274.684999999999</v>
      </c>
      <c r="E223" s="10">
        <f>'D) Ecrêtage'!M217</f>
        <v>0</v>
      </c>
      <c r="F223" s="388">
        <f>$F$10*'D) Ecrêtage'!C217</f>
        <v>107521.19784568535</v>
      </c>
      <c r="G223" s="57">
        <f t="shared" si="3"/>
        <v>123795.88284568535</v>
      </c>
    </row>
    <row r="224" spans="1:7" x14ac:dyDescent="0.25">
      <c r="A224" s="49">
        <f>'A) Base RI'!A220</f>
        <v>5749</v>
      </c>
      <c r="B224" s="285" t="str">
        <f>'A) Base RI'!B220</f>
        <v>Chavornay</v>
      </c>
      <c r="C224" s="10">
        <f>'A) Base RI'!AO220</f>
        <v>5135</v>
      </c>
      <c r="D224" s="388">
        <f>'C) Prél. conj.'!H218</f>
        <v>614202.91</v>
      </c>
      <c r="E224" s="10">
        <f>'D) Ecrêtage'!M218</f>
        <v>0</v>
      </c>
      <c r="F224" s="388">
        <f>$F$10*'D) Ecrêtage'!C218</f>
        <v>1957395.2246419596</v>
      </c>
      <c r="G224" s="57">
        <f t="shared" si="3"/>
        <v>2571598.1346419598</v>
      </c>
    </row>
    <row r="225" spans="1:7" x14ac:dyDescent="0.25">
      <c r="A225" s="49">
        <f>'A) Base RI'!A221</f>
        <v>5750</v>
      </c>
      <c r="B225" s="285" t="str">
        <f>'A) Base RI'!B221</f>
        <v>Les Clées</v>
      </c>
      <c r="C225" s="10">
        <f>'A) Base RI'!AO221</f>
        <v>185</v>
      </c>
      <c r="D225" s="388">
        <f>'C) Prél. conj.'!H219</f>
        <v>3734.03</v>
      </c>
      <c r="E225" s="10">
        <f>'D) Ecrêtage'!M219</f>
        <v>0</v>
      </c>
      <c r="F225" s="388">
        <f>$F$10*'D) Ecrêtage'!C219</f>
        <v>74232.61910443136</v>
      </c>
      <c r="G225" s="57">
        <f t="shared" si="3"/>
        <v>77966.649104431359</v>
      </c>
    </row>
    <row r="226" spans="1:7" x14ac:dyDescent="0.25">
      <c r="A226" s="49">
        <f>'A) Base RI'!A222</f>
        <v>5752</v>
      </c>
      <c r="B226" s="285" t="str">
        <f>'A) Base RI'!B222</f>
        <v>Croy</v>
      </c>
      <c r="C226" s="10">
        <f>'A) Base RI'!AO222</f>
        <v>403</v>
      </c>
      <c r="D226" s="388">
        <f>'C) Prél. conj.'!H220</f>
        <v>24690.09</v>
      </c>
      <c r="E226" s="10">
        <f>'D) Ecrêtage'!M220</f>
        <v>0</v>
      </c>
      <c r="F226" s="388">
        <f>$F$10*'D) Ecrêtage'!C220</f>
        <v>142870.99822422492</v>
      </c>
      <c r="G226" s="57">
        <f t="shared" si="3"/>
        <v>167561.08822422492</v>
      </c>
    </row>
    <row r="227" spans="1:7" x14ac:dyDescent="0.25">
      <c r="A227" s="49">
        <f>'A) Base RI'!A223</f>
        <v>5754</v>
      </c>
      <c r="B227" s="285" t="str">
        <f>'A) Base RI'!B223</f>
        <v>Juriens</v>
      </c>
      <c r="C227" s="10">
        <f>'A) Base RI'!AO223</f>
        <v>328</v>
      </c>
      <c r="D227" s="388">
        <f>'C) Prél. conj.'!H221</f>
        <v>2915.22</v>
      </c>
      <c r="E227" s="10">
        <f>'D) Ecrêtage'!M221</f>
        <v>0</v>
      </c>
      <c r="F227" s="388">
        <f>$F$10*'D) Ecrêtage'!C221</f>
        <v>135706.19611477476</v>
      </c>
      <c r="G227" s="57">
        <f t="shared" si="3"/>
        <v>138621.41611477477</v>
      </c>
    </row>
    <row r="228" spans="1:7" x14ac:dyDescent="0.25">
      <c r="A228" s="49">
        <f>'A) Base RI'!A224</f>
        <v>5755</v>
      </c>
      <c r="B228" s="285" t="str">
        <f>'A) Base RI'!B224</f>
        <v>Lignerolle</v>
      </c>
      <c r="C228" s="10">
        <f>'A) Base RI'!AO224</f>
        <v>437</v>
      </c>
      <c r="D228" s="388">
        <f>'C) Prél. conj.'!H222</f>
        <v>57028.61</v>
      </c>
      <c r="E228" s="10">
        <f>'D) Ecrêtage'!M222</f>
        <v>0</v>
      </c>
      <c r="F228" s="388">
        <f>$F$10*'D) Ecrêtage'!C222</f>
        <v>144657.18863653482</v>
      </c>
      <c r="G228" s="57">
        <f t="shared" si="3"/>
        <v>201685.79863653483</v>
      </c>
    </row>
    <row r="229" spans="1:7" x14ac:dyDescent="0.25">
      <c r="A229" s="49">
        <f>'A) Base RI'!A225</f>
        <v>5756</v>
      </c>
      <c r="B229" s="285" t="str">
        <f>'A) Base RI'!B225</f>
        <v>Montcherand</v>
      </c>
      <c r="C229" s="10">
        <f>'A) Base RI'!AO225</f>
        <v>505</v>
      </c>
      <c r="D229" s="388">
        <f>'C) Prél. conj.'!H223</f>
        <v>28395.03</v>
      </c>
      <c r="E229" s="10">
        <f>'D) Ecrêtage'!M223</f>
        <v>0</v>
      </c>
      <c r="F229" s="388">
        <f>$F$10*'D) Ecrêtage'!C223</f>
        <v>241362.19788697164</v>
      </c>
      <c r="G229" s="57">
        <f t="shared" si="3"/>
        <v>269757.22788697167</v>
      </c>
    </row>
    <row r="230" spans="1:7" x14ac:dyDescent="0.25">
      <c r="A230" s="49">
        <f>'A) Base RI'!A226</f>
        <v>5757</v>
      </c>
      <c r="B230" s="285" t="str">
        <f>'A) Base RI'!B226</f>
        <v>Orbe</v>
      </c>
      <c r="C230" s="10">
        <f>'A) Base RI'!AO226</f>
        <v>7030</v>
      </c>
      <c r="D230" s="388">
        <f>'C) Prél. conj.'!H224</f>
        <v>1222051.115</v>
      </c>
      <c r="E230" s="10">
        <f>'D) Ecrêtage'!M224</f>
        <v>0</v>
      </c>
      <c r="F230" s="388">
        <f>$F$10*'D) Ecrêtage'!C224</f>
        <v>2991458.9530503489</v>
      </c>
      <c r="G230" s="57">
        <f t="shared" si="3"/>
        <v>4213510.0680503491</v>
      </c>
    </row>
    <row r="231" spans="1:7" x14ac:dyDescent="0.25">
      <c r="A231" s="49">
        <f>'A) Base RI'!A227</f>
        <v>5758</v>
      </c>
      <c r="B231" s="285" t="str">
        <f>'A) Base RI'!B227</f>
        <v>La Praz</v>
      </c>
      <c r="C231" s="10">
        <f>'A) Base RI'!AO227</f>
        <v>165</v>
      </c>
      <c r="D231" s="388">
        <f>'C) Prél. conj.'!H225</f>
        <v>29885.45</v>
      </c>
      <c r="E231" s="10">
        <f>'D) Ecrêtage'!M225</f>
        <v>0</v>
      </c>
      <c r="F231" s="388">
        <f>$F$10*'D) Ecrêtage'!C225</f>
        <v>66312.92162926482</v>
      </c>
      <c r="G231" s="57">
        <f t="shared" si="3"/>
        <v>96198.371629264817</v>
      </c>
    </row>
    <row r="232" spans="1:7" x14ac:dyDescent="0.25">
      <c r="A232" s="49">
        <f>'A) Base RI'!A228</f>
        <v>5759</v>
      </c>
      <c r="B232" s="285" t="str">
        <f>'A) Base RI'!B228</f>
        <v>Premier</v>
      </c>
      <c r="C232" s="10">
        <f>'A) Base RI'!AO228</f>
        <v>215</v>
      </c>
      <c r="D232" s="388">
        <f>'C) Prél. conj.'!H226</f>
        <v>12498.174999999999</v>
      </c>
      <c r="E232" s="10">
        <f>'D) Ecrêtage'!M226</f>
        <v>0</v>
      </c>
      <c r="F232" s="388">
        <f>$F$10*'D) Ecrêtage'!C226</f>
        <v>77367.70431574437</v>
      </c>
      <c r="G232" s="57">
        <f t="shared" si="3"/>
        <v>89865.879315744372</v>
      </c>
    </row>
    <row r="233" spans="1:7" x14ac:dyDescent="0.25">
      <c r="A233" s="49">
        <f>'A) Base RI'!A229</f>
        <v>5760</v>
      </c>
      <c r="B233" s="285" t="str">
        <f>'A) Base RI'!B229</f>
        <v>Rances</v>
      </c>
      <c r="C233" s="10">
        <f>'A) Base RI'!AO229</f>
        <v>505</v>
      </c>
      <c r="D233" s="388">
        <f>'C) Prél. conj.'!H227</f>
        <v>16310.51</v>
      </c>
      <c r="E233" s="10">
        <f>'D) Ecrêtage'!M227</f>
        <v>0</v>
      </c>
      <c r="F233" s="388">
        <f>$F$10*'D) Ecrêtage'!C227</f>
        <v>182069.95947498461</v>
      </c>
      <c r="G233" s="57">
        <f t="shared" si="3"/>
        <v>198380.46947498462</v>
      </c>
    </row>
    <row r="234" spans="1:7" x14ac:dyDescent="0.25">
      <c r="A234" s="49">
        <f>'A) Base RI'!A230</f>
        <v>5761</v>
      </c>
      <c r="B234" s="285" t="str">
        <f>'A) Base RI'!B230</f>
        <v>Romainmôtier-Envy</v>
      </c>
      <c r="C234" s="10">
        <f>'A) Base RI'!AO230</f>
        <v>535</v>
      </c>
      <c r="D234" s="388">
        <f>'C) Prél. conj.'!H228</f>
        <v>71836.485000000001</v>
      </c>
      <c r="E234" s="10">
        <f>'D) Ecrêtage'!M228</f>
        <v>0</v>
      </c>
      <c r="F234" s="388">
        <f>$F$10*'D) Ecrêtage'!C228</f>
        <v>180706.49691184738</v>
      </c>
      <c r="G234" s="57">
        <f t="shared" si="3"/>
        <v>252542.98191184737</v>
      </c>
    </row>
    <row r="235" spans="1:7" x14ac:dyDescent="0.25">
      <c r="A235" s="49">
        <f>'A) Base RI'!A231</f>
        <v>5762</v>
      </c>
      <c r="B235" s="285" t="str">
        <f>'A) Base RI'!B231</f>
        <v>Sergey</v>
      </c>
      <c r="C235" s="10">
        <f>'A) Base RI'!AO231</f>
        <v>145</v>
      </c>
      <c r="D235" s="388">
        <f>'C) Prél. conj.'!H229</f>
        <v>3603.125</v>
      </c>
      <c r="E235" s="10">
        <f>'D) Ecrêtage'!M229</f>
        <v>0</v>
      </c>
      <c r="F235" s="388">
        <f>$F$10*'D) Ecrêtage'!C229</f>
        <v>58892.82470040935</v>
      </c>
      <c r="G235" s="57">
        <f t="shared" si="3"/>
        <v>62495.94970040935</v>
      </c>
    </row>
    <row r="236" spans="1:7" x14ac:dyDescent="0.25">
      <c r="A236" s="49">
        <f>'A) Base RI'!A232</f>
        <v>5763</v>
      </c>
      <c r="B236" s="285" t="str">
        <f>'A) Base RI'!B232</f>
        <v>Valeyres-sous-Rances</v>
      </c>
      <c r="C236" s="10">
        <f>'A) Base RI'!AO232</f>
        <v>620</v>
      </c>
      <c r="D236" s="388">
        <f>'C) Prél. conj.'!H230</f>
        <v>29162.36</v>
      </c>
      <c r="E236" s="10">
        <f>'D) Ecrêtage'!M230</f>
        <v>0</v>
      </c>
      <c r="F236" s="388">
        <f>$F$10*'D) Ecrêtage'!C230</f>
        <v>321971.95905957499</v>
      </c>
      <c r="G236" s="57">
        <f t="shared" si="3"/>
        <v>351134.31905957498</v>
      </c>
    </row>
    <row r="237" spans="1:7" x14ac:dyDescent="0.25">
      <c r="A237" s="49">
        <f>'A) Base RI'!A233</f>
        <v>5764</v>
      </c>
      <c r="B237" s="285" t="str">
        <f>'A) Base RI'!B233</f>
        <v>Vallorbe</v>
      </c>
      <c r="C237" s="10">
        <f>'A) Base RI'!AO233</f>
        <v>3857</v>
      </c>
      <c r="D237" s="388">
        <f>'C) Prél. conj.'!H231</f>
        <v>995212.70500000007</v>
      </c>
      <c r="E237" s="10">
        <f>'D) Ecrêtage'!M231</f>
        <v>0</v>
      </c>
      <c r="F237" s="388">
        <f>$F$10*'D) Ecrêtage'!C231</f>
        <v>1293425.7869502415</v>
      </c>
      <c r="G237" s="57">
        <f t="shared" si="3"/>
        <v>2288638.4919502418</v>
      </c>
    </row>
    <row r="238" spans="1:7" x14ac:dyDescent="0.25">
      <c r="A238" s="49">
        <f>'A) Base RI'!A234</f>
        <v>5765</v>
      </c>
      <c r="B238" s="285" t="str">
        <f>'A) Base RI'!B234</f>
        <v>Vaulion</v>
      </c>
      <c r="C238" s="10">
        <f>'A) Base RI'!AO234</f>
        <v>496</v>
      </c>
      <c r="D238" s="388">
        <f>'C) Prél. conj.'!H232</f>
        <v>50084.084999999999</v>
      </c>
      <c r="E238" s="10">
        <f>'D) Ecrêtage'!M232</f>
        <v>0</v>
      </c>
      <c r="F238" s="388">
        <f>$F$10*'D) Ecrêtage'!C232</f>
        <v>175845.00048712568</v>
      </c>
      <c r="G238" s="57">
        <f t="shared" si="3"/>
        <v>225929.08548712567</v>
      </c>
    </row>
    <row r="239" spans="1:7" x14ac:dyDescent="0.25">
      <c r="A239" s="49">
        <f>'A) Base RI'!A235</f>
        <v>5766</v>
      </c>
      <c r="B239" s="285" t="str">
        <f>'A) Base RI'!B235</f>
        <v>Vuiteboeuf</v>
      </c>
      <c r="C239" s="10">
        <f>'A) Base RI'!AO235</f>
        <v>576</v>
      </c>
      <c r="D239" s="388">
        <f>'C) Prél. conj.'!H233</f>
        <v>47550.274999999994</v>
      </c>
      <c r="E239" s="10">
        <f>'D) Ecrêtage'!M233</f>
        <v>0</v>
      </c>
      <c r="F239" s="388">
        <f>$F$10*'D) Ecrêtage'!C233</f>
        <v>205135.68649867957</v>
      </c>
      <c r="G239" s="57">
        <f t="shared" si="3"/>
        <v>252685.96149867956</v>
      </c>
    </row>
    <row r="240" spans="1:7" x14ac:dyDescent="0.25">
      <c r="A240" s="49">
        <f>'A) Base RI'!A236</f>
        <v>5785</v>
      </c>
      <c r="B240" s="285" t="str">
        <f>'A) Base RI'!B236</f>
        <v>Corcelles-le-Jorat</v>
      </c>
      <c r="C240" s="10">
        <f>'A) Base RI'!AO236</f>
        <v>458</v>
      </c>
      <c r="D240" s="388">
        <f>'C) Prél. conj.'!H234</f>
        <v>45504.800000000003</v>
      </c>
      <c r="E240" s="10">
        <f>'D) Ecrêtage'!M234</f>
        <v>0</v>
      </c>
      <c r="F240" s="388">
        <f>$F$10*'D) Ecrêtage'!C234</f>
        <v>249486.95356166508</v>
      </c>
      <c r="G240" s="57">
        <f t="shared" si="3"/>
        <v>294991.75356166507</v>
      </c>
    </row>
    <row r="241" spans="1:7" x14ac:dyDescent="0.25">
      <c r="A241" s="49">
        <f>'A) Base RI'!A237</f>
        <v>5788</v>
      </c>
      <c r="B241" s="285" t="str">
        <f>'A) Base RI'!B237</f>
        <v>Essertes</v>
      </c>
      <c r="C241" s="10">
        <f>'A) Base RI'!AO237</f>
        <v>380</v>
      </c>
      <c r="D241" s="388">
        <f>'C) Prél. conj.'!H235</f>
        <v>49664.4</v>
      </c>
      <c r="E241" s="10">
        <f>'D) Ecrêtage'!M235</f>
        <v>0</v>
      </c>
      <c r="F241" s="388">
        <f>$F$10*'D) Ecrêtage'!C235</f>
        <v>181778.22027811865</v>
      </c>
      <c r="G241" s="57">
        <f t="shared" si="3"/>
        <v>231442.62027811864</v>
      </c>
    </row>
    <row r="242" spans="1:7" x14ac:dyDescent="0.25">
      <c r="A242" s="49">
        <f>'A) Base RI'!A238</f>
        <v>5790</v>
      </c>
      <c r="B242" s="285" t="str">
        <f>'A) Base RI'!B238</f>
        <v>Maracon</v>
      </c>
      <c r="C242" s="10">
        <f>'A) Base RI'!AO238</f>
        <v>538</v>
      </c>
      <c r="D242" s="388">
        <f>'C) Prél. conj.'!H236</f>
        <v>121735.78</v>
      </c>
      <c r="E242" s="10">
        <f>'D) Ecrêtage'!M236</f>
        <v>0</v>
      </c>
      <c r="F242" s="388">
        <f>$F$10*'D) Ecrêtage'!C236</f>
        <v>212036.03783047822</v>
      </c>
      <c r="G242" s="57">
        <f t="shared" si="3"/>
        <v>333771.81783047819</v>
      </c>
    </row>
    <row r="243" spans="1:7" x14ac:dyDescent="0.25">
      <c r="A243" s="49">
        <f>'A) Base RI'!A239</f>
        <v>5792</v>
      </c>
      <c r="B243" s="285" t="str">
        <f>'A) Base RI'!B239</f>
        <v>Montpreveyres</v>
      </c>
      <c r="C243" s="10">
        <f>'A) Base RI'!AO239</f>
        <v>657</v>
      </c>
      <c r="D243" s="388">
        <f>'C) Prél. conj.'!H237</f>
        <v>60561.375</v>
      </c>
      <c r="E243" s="10">
        <f>'D) Ecrêtage'!M237</f>
        <v>0</v>
      </c>
      <c r="F243" s="388">
        <f>$F$10*'D) Ecrêtage'!C237</f>
        <v>295949.21603289084</v>
      </c>
      <c r="G243" s="57">
        <f t="shared" si="3"/>
        <v>356510.59103289084</v>
      </c>
    </row>
    <row r="244" spans="1:7" x14ac:dyDescent="0.25">
      <c r="A244" s="49">
        <f>'A) Base RI'!A240</f>
        <v>5798</v>
      </c>
      <c r="B244" s="285" t="str">
        <f>'A) Base RI'!B240</f>
        <v>Ropraz</v>
      </c>
      <c r="C244" s="10">
        <f>'A) Base RI'!AO240</f>
        <v>488</v>
      </c>
      <c r="D244" s="388">
        <f>'C) Prél. conj.'!H238</f>
        <v>8334.0499999999993</v>
      </c>
      <c r="E244" s="10">
        <f>'D) Ecrêtage'!M238</f>
        <v>0</v>
      </c>
      <c r="F244" s="388">
        <f>$F$10*'D) Ecrêtage'!C238</f>
        <v>211150.44404045856</v>
      </c>
      <c r="G244" s="57">
        <f t="shared" si="3"/>
        <v>219484.49404045855</v>
      </c>
    </row>
    <row r="245" spans="1:7" x14ac:dyDescent="0.25">
      <c r="A245" s="49">
        <f>'A) Base RI'!A241</f>
        <v>5799</v>
      </c>
      <c r="B245" s="285" t="str">
        <f>'A) Base RI'!B241</f>
        <v>Servion</v>
      </c>
      <c r="C245" s="10">
        <f>'A) Base RI'!AO241</f>
        <v>1997</v>
      </c>
      <c r="D245" s="388">
        <f>'C) Prél. conj.'!H239</f>
        <v>222354.91</v>
      </c>
      <c r="E245" s="10">
        <f>'D) Ecrêtage'!M239</f>
        <v>0</v>
      </c>
      <c r="F245" s="388">
        <f>$F$10*'D) Ecrêtage'!C239</f>
        <v>1044986.2336295709</v>
      </c>
      <c r="G245" s="57">
        <f t="shared" si="3"/>
        <v>1267341.143629571</v>
      </c>
    </row>
    <row r="246" spans="1:7" x14ac:dyDescent="0.25">
      <c r="A246" s="49">
        <f>'A) Base RI'!A242</f>
        <v>5803</v>
      </c>
      <c r="B246" s="285" t="str">
        <f>'A) Base RI'!B242</f>
        <v>Vulliens</v>
      </c>
      <c r="C246" s="10">
        <f>'A) Base RI'!AO242</f>
        <v>614</v>
      </c>
      <c r="D246" s="388">
        <f>'C) Prél. conj.'!H240</f>
        <v>10221.199999999999</v>
      </c>
      <c r="E246" s="10">
        <f>'D) Ecrêtage'!M240</f>
        <v>0</v>
      </c>
      <c r="F246" s="388">
        <f>$F$10*'D) Ecrêtage'!C240</f>
        <v>256683.48023783162</v>
      </c>
      <c r="G246" s="57">
        <f t="shared" si="3"/>
        <v>266904.68023783161</v>
      </c>
    </row>
    <row r="247" spans="1:7" x14ac:dyDescent="0.25">
      <c r="A247" s="49">
        <f>'A) Base RI'!A243</f>
        <v>5804</v>
      </c>
      <c r="B247" s="285" t="str">
        <f>'A) Base RI'!B243</f>
        <v>Jorat-Menthue</v>
      </c>
      <c r="C247" s="10">
        <f>'A) Base RI'!AO243</f>
        <v>1591</v>
      </c>
      <c r="D247" s="388">
        <f>'C) Prél. conj.'!H241</f>
        <v>90407.05</v>
      </c>
      <c r="E247" s="10">
        <f>'D) Ecrêtage'!M241</f>
        <v>0</v>
      </c>
      <c r="F247" s="388">
        <f>$F$10*'D) Ecrêtage'!C241</f>
        <v>650122.69342543755</v>
      </c>
      <c r="G247" s="57">
        <f t="shared" si="3"/>
        <v>740529.7434254376</v>
      </c>
    </row>
    <row r="248" spans="1:7" x14ac:dyDescent="0.25">
      <c r="A248" s="49">
        <f>'A) Base RI'!A244</f>
        <v>5805</v>
      </c>
      <c r="B248" s="285" t="str">
        <f>'A) Base RI'!B244</f>
        <v>Oron</v>
      </c>
      <c r="C248" s="10">
        <f>'A) Base RI'!AO244</f>
        <v>5669</v>
      </c>
      <c r="D248" s="388">
        <f>'C) Prél. conj.'!H242</f>
        <v>682883.51</v>
      </c>
      <c r="E248" s="10">
        <f>'D) Ecrêtage'!M242</f>
        <v>0</v>
      </c>
      <c r="F248" s="388">
        <f>$F$10*'D) Ecrêtage'!C242</f>
        <v>2332045.1589878066</v>
      </c>
      <c r="G248" s="57">
        <f t="shared" si="3"/>
        <v>3014928.6689878069</v>
      </c>
    </row>
    <row r="249" spans="1:7" x14ac:dyDescent="0.25">
      <c r="A249" s="49">
        <f>'A) Base RI'!A245</f>
        <v>5806</v>
      </c>
      <c r="B249" s="285" t="str">
        <f>'A) Base RI'!B245</f>
        <v>Jorat-Mézières</v>
      </c>
      <c r="C249" s="10">
        <f>'A) Base RI'!AO245</f>
        <v>2949</v>
      </c>
      <c r="D249" s="388">
        <f>'C) Prél. conj.'!H243</f>
        <v>180046.58499999999</v>
      </c>
      <c r="E249" s="10">
        <f>'D) Ecrêtage'!M243</f>
        <v>0</v>
      </c>
      <c r="F249" s="388">
        <f>$F$10*'D) Ecrêtage'!C243</f>
        <v>1353065.2942992453</v>
      </c>
      <c r="G249" s="57">
        <f t="shared" si="3"/>
        <v>1533111.8792992453</v>
      </c>
    </row>
    <row r="250" spans="1:7" x14ac:dyDescent="0.25">
      <c r="A250" s="49">
        <f>'A) Base RI'!A246</f>
        <v>5812</v>
      </c>
      <c r="B250" s="285" t="str">
        <f>'A) Base RI'!B246</f>
        <v>Champtauroz</v>
      </c>
      <c r="C250" s="10">
        <f>'A) Base RI'!AO246</f>
        <v>130</v>
      </c>
      <c r="D250" s="388">
        <f>'C) Prél. conj.'!H244</f>
        <v>31214</v>
      </c>
      <c r="E250" s="10">
        <f>'D) Ecrêtage'!M244</f>
        <v>0</v>
      </c>
      <c r="F250" s="388">
        <f>$F$10*'D) Ecrêtage'!C244</f>
        <v>54326.196112842088</v>
      </c>
      <c r="G250" s="57">
        <f t="shared" si="3"/>
        <v>85540.196112842095</v>
      </c>
    </row>
    <row r="251" spans="1:7" x14ac:dyDescent="0.25">
      <c r="A251" s="49">
        <f>'A) Base RI'!A247</f>
        <v>5813</v>
      </c>
      <c r="B251" s="285" t="str">
        <f>'A) Base RI'!B247</f>
        <v>Chevroux</v>
      </c>
      <c r="C251" s="10">
        <f>'A) Base RI'!AO247</f>
        <v>492</v>
      </c>
      <c r="D251" s="388">
        <f>'C) Prél. conj.'!H245</f>
        <v>20054.650000000001</v>
      </c>
      <c r="E251" s="10">
        <f>'D) Ecrêtage'!M245</f>
        <v>0</v>
      </c>
      <c r="F251" s="388">
        <f>$F$10*'D) Ecrêtage'!C245</f>
        <v>216222.01440006035</v>
      </c>
      <c r="G251" s="57">
        <f t="shared" si="3"/>
        <v>236276.66440006034</v>
      </c>
    </row>
    <row r="252" spans="1:7" x14ac:dyDescent="0.25">
      <c r="A252" s="49">
        <f>'A) Base RI'!A248</f>
        <v>5816</v>
      </c>
      <c r="B252" s="285" t="str">
        <f>'A) Base RI'!B248</f>
        <v>Corcelles-près-Payerne</v>
      </c>
      <c r="C252" s="10">
        <f>'A) Base RI'!AO248</f>
        <v>2571</v>
      </c>
      <c r="D252" s="388">
        <f>'C) Prél. conj.'!H246</f>
        <v>428666.95500000002</v>
      </c>
      <c r="E252" s="10">
        <f>'D) Ecrêtage'!M246</f>
        <v>0</v>
      </c>
      <c r="F252" s="388">
        <f>$F$10*'D) Ecrêtage'!C246</f>
        <v>892538.96882831759</v>
      </c>
      <c r="G252" s="57">
        <f t="shared" si="3"/>
        <v>1321205.9238283176</v>
      </c>
    </row>
    <row r="253" spans="1:7" x14ac:dyDescent="0.25">
      <c r="A253" s="49">
        <f>'A) Base RI'!A249</f>
        <v>5817</v>
      </c>
      <c r="B253" s="285" t="str">
        <f>'A) Base RI'!B249</f>
        <v>Grandcour</v>
      </c>
      <c r="C253" s="10">
        <f>'A) Base RI'!AO249</f>
        <v>953</v>
      </c>
      <c r="D253" s="388">
        <f>'C) Prél. conj.'!H247</f>
        <v>23966.824999999997</v>
      </c>
      <c r="E253" s="10">
        <f>'D) Ecrêtage'!M247</f>
        <v>0</v>
      </c>
      <c r="F253" s="388">
        <f>$F$10*'D) Ecrêtage'!C247</f>
        <v>320918.54466232588</v>
      </c>
      <c r="G253" s="57">
        <f t="shared" si="3"/>
        <v>344885.36966232589</v>
      </c>
    </row>
    <row r="254" spans="1:7" x14ac:dyDescent="0.25">
      <c r="A254" s="49">
        <f>'A) Base RI'!A250</f>
        <v>5819</v>
      </c>
      <c r="B254" s="285" t="str">
        <f>'A) Base RI'!B250</f>
        <v>Henniez</v>
      </c>
      <c r="C254" s="10">
        <f>'A) Base RI'!AO250</f>
        <v>376</v>
      </c>
      <c r="D254" s="388">
        <f>'C) Prél. conj.'!H248</f>
        <v>32044.77</v>
      </c>
      <c r="E254" s="10">
        <f>'D) Ecrêtage'!M248</f>
        <v>0</v>
      </c>
      <c r="F254" s="388">
        <f>$F$10*'D) Ecrêtage'!C248</f>
        <v>184003.51321543052</v>
      </c>
      <c r="G254" s="57">
        <f t="shared" si="3"/>
        <v>216048.28321543051</v>
      </c>
    </row>
    <row r="255" spans="1:7" x14ac:dyDescent="0.25">
      <c r="A255" s="49">
        <f>'A) Base RI'!A251</f>
        <v>5821</v>
      </c>
      <c r="B255" s="285" t="str">
        <f>'A) Base RI'!B251</f>
        <v>Missy</v>
      </c>
      <c r="C255" s="10">
        <f>'A) Base RI'!AO251</f>
        <v>362</v>
      </c>
      <c r="D255" s="388">
        <f>'C) Prél. conj.'!H249</f>
        <v>1815</v>
      </c>
      <c r="E255" s="10">
        <f>'D) Ecrêtage'!M249</f>
        <v>0</v>
      </c>
      <c r="F255" s="388">
        <f>$F$10*'D) Ecrêtage'!C249</f>
        <v>122806.84411293354</v>
      </c>
      <c r="G255" s="57">
        <f t="shared" si="3"/>
        <v>124621.84411293354</v>
      </c>
    </row>
    <row r="256" spans="1:7" x14ac:dyDescent="0.25">
      <c r="A256" s="49">
        <f>'A) Base RI'!A252</f>
        <v>5822</v>
      </c>
      <c r="B256" s="285" t="str">
        <f>'A) Base RI'!B252</f>
        <v>Payerne</v>
      </c>
      <c r="C256" s="10">
        <f>'A) Base RI'!AO252</f>
        <v>10072</v>
      </c>
      <c r="D256" s="388">
        <f>'C) Prél. conj.'!H250</f>
        <v>607420.68999999994</v>
      </c>
      <c r="E256" s="10">
        <f>'D) Ecrêtage'!M250</f>
        <v>0</v>
      </c>
      <c r="F256" s="388">
        <f>$F$10*'D) Ecrêtage'!C250</f>
        <v>3623754.5114104445</v>
      </c>
      <c r="G256" s="57">
        <f t="shared" si="3"/>
        <v>4231175.2014104445</v>
      </c>
    </row>
    <row r="257" spans="1:7" x14ac:dyDescent="0.25">
      <c r="A257" s="49">
        <f>'A) Base RI'!A253</f>
        <v>5827</v>
      </c>
      <c r="B257" s="285" t="str">
        <f>'A) Base RI'!B253</f>
        <v>Trey</v>
      </c>
      <c r="C257" s="10">
        <f>'A) Base RI'!AO253</f>
        <v>285</v>
      </c>
      <c r="D257" s="388">
        <f>'C) Prél. conj.'!H251</f>
        <v>10146.35</v>
      </c>
      <c r="E257" s="10">
        <f>'D) Ecrêtage'!M251</f>
        <v>0</v>
      </c>
      <c r="F257" s="388">
        <f>$F$10*'D) Ecrêtage'!C251</f>
        <v>99443.057347110967</v>
      </c>
      <c r="G257" s="57">
        <f t="shared" si="3"/>
        <v>109589.40734711097</v>
      </c>
    </row>
    <row r="258" spans="1:7" x14ac:dyDescent="0.25">
      <c r="A258" s="49">
        <f>'A) Base RI'!A254</f>
        <v>5828</v>
      </c>
      <c r="B258" s="285" t="str">
        <f>'A) Base RI'!B254</f>
        <v>Treytorrens (Payerne)</v>
      </c>
      <c r="C258" s="10">
        <f>'A) Base RI'!AO254</f>
        <v>111</v>
      </c>
      <c r="D258" s="388">
        <f>'C) Prél. conj.'!H252</f>
        <v>15980.175000000001</v>
      </c>
      <c r="E258" s="10">
        <f>'D) Ecrêtage'!M252</f>
        <v>0</v>
      </c>
      <c r="F258" s="388">
        <f>$F$10*'D) Ecrêtage'!C252</f>
        <v>35618.609264531697</v>
      </c>
      <c r="G258" s="57">
        <f t="shared" si="3"/>
        <v>51598.7842645317</v>
      </c>
    </row>
    <row r="259" spans="1:7" x14ac:dyDescent="0.25">
      <c r="A259" s="49">
        <f>'A) Base RI'!A255</f>
        <v>5830</v>
      </c>
      <c r="B259" s="285" t="str">
        <f>'A) Base RI'!B255</f>
        <v>Villarzel</v>
      </c>
      <c r="C259" s="10">
        <f>'A) Base RI'!AO255</f>
        <v>451</v>
      </c>
      <c r="D259" s="388">
        <f>'C) Prél. conj.'!H253</f>
        <v>40812.9</v>
      </c>
      <c r="E259" s="10">
        <f>'D) Ecrêtage'!M253</f>
        <v>0</v>
      </c>
      <c r="F259" s="388">
        <f>$F$10*'D) Ecrêtage'!C253</f>
        <v>200575.65564379146</v>
      </c>
      <c r="G259" s="57">
        <f t="shared" si="3"/>
        <v>241388.55564379145</v>
      </c>
    </row>
    <row r="260" spans="1:7" x14ac:dyDescent="0.25">
      <c r="A260" s="49">
        <f>'A) Base RI'!A256</f>
        <v>5831</v>
      </c>
      <c r="B260" s="285" t="str">
        <f>'A) Base RI'!B256</f>
        <v>Valbroye</v>
      </c>
      <c r="C260" s="10">
        <f>'A) Base RI'!AO256</f>
        <v>3296</v>
      </c>
      <c r="D260" s="388">
        <f>'C) Prél. conj.'!H254</f>
        <v>295152.08499999996</v>
      </c>
      <c r="E260" s="10">
        <f>'D) Ecrêtage'!M254</f>
        <v>0</v>
      </c>
      <c r="F260" s="388">
        <f>$F$10*'D) Ecrêtage'!C254</f>
        <v>1330630.4580916581</v>
      </c>
      <c r="G260" s="57">
        <f t="shared" si="3"/>
        <v>1625782.543091658</v>
      </c>
    </row>
    <row r="261" spans="1:7" x14ac:dyDescent="0.25">
      <c r="A261" s="49">
        <f>'A) Base RI'!A257</f>
        <v>5841</v>
      </c>
      <c r="B261" s="285" t="str">
        <f>'A) Base RI'!B257</f>
        <v>Château-d'Oex</v>
      </c>
      <c r="C261" s="10">
        <f>'A) Base RI'!AO257</f>
        <v>3468</v>
      </c>
      <c r="D261" s="388">
        <f>'C) Prél. conj.'!H255</f>
        <v>341873.82499999995</v>
      </c>
      <c r="E261" s="10">
        <f>'D) Ecrêtage'!M255</f>
        <v>0</v>
      </c>
      <c r="F261" s="388">
        <f>$F$10*'D) Ecrêtage'!C255</f>
        <v>1743013.6881062165</v>
      </c>
      <c r="G261" s="57">
        <f t="shared" si="3"/>
        <v>2084887.5131062164</v>
      </c>
    </row>
    <row r="262" spans="1:7" x14ac:dyDescent="0.25">
      <c r="A262" s="49">
        <f>'A) Base RI'!A258</f>
        <v>5842</v>
      </c>
      <c r="B262" s="285" t="str">
        <f>'A) Base RI'!B258</f>
        <v>Rossinière</v>
      </c>
      <c r="C262" s="10">
        <f>'A) Base RI'!AO258</f>
        <v>548</v>
      </c>
      <c r="D262" s="388">
        <f>'C) Prél. conj.'!H256</f>
        <v>23889.825000000001</v>
      </c>
      <c r="E262" s="10">
        <f>'D) Ecrêtage'!M256</f>
        <v>0</v>
      </c>
      <c r="F262" s="388">
        <f>$F$10*'D) Ecrêtage'!C256</f>
        <v>201672.698922279</v>
      </c>
      <c r="G262" s="57">
        <f t="shared" si="3"/>
        <v>225562.52392227901</v>
      </c>
    </row>
    <row r="263" spans="1:7" x14ac:dyDescent="0.25">
      <c r="A263" s="49">
        <f>'A) Base RI'!A259</f>
        <v>5843</v>
      </c>
      <c r="B263" s="285" t="str">
        <f>'A) Base RI'!B259</f>
        <v>Rougemont</v>
      </c>
      <c r="C263" s="10">
        <f>'A) Base RI'!AO259</f>
        <v>858</v>
      </c>
      <c r="D263" s="388">
        <f>'C) Prél. conj.'!H257</f>
        <v>906503.29999999993</v>
      </c>
      <c r="E263" s="10">
        <f>'D) Ecrêtage'!M257</f>
        <v>1185649.4177935175</v>
      </c>
      <c r="F263" s="388">
        <f>$F$10*'D) Ecrêtage'!C257</f>
        <v>1266743.5785598133</v>
      </c>
      <c r="G263" s="57">
        <f t="shared" si="3"/>
        <v>3358896.2963533308</v>
      </c>
    </row>
    <row r="264" spans="1:7" x14ac:dyDescent="0.25">
      <c r="A264" s="49">
        <f>'A) Base RI'!A260</f>
        <v>5851</v>
      </c>
      <c r="B264" s="285" t="str">
        <f>'A) Base RI'!B260</f>
        <v>Allaman</v>
      </c>
      <c r="C264" s="10">
        <f>'A) Base RI'!AO260</f>
        <v>451</v>
      </c>
      <c r="D264" s="388">
        <f>'C) Prél. conj.'!H258</f>
        <v>196865.15500000003</v>
      </c>
      <c r="E264" s="10">
        <f>'D) Ecrêtage'!M258</f>
        <v>29869.393391927479</v>
      </c>
      <c r="F264" s="388">
        <f>$F$10*'D) Ecrêtage'!C258</f>
        <v>347623.57146313769</v>
      </c>
      <c r="G264" s="57">
        <f t="shared" si="3"/>
        <v>574358.11985506513</v>
      </c>
    </row>
    <row r="265" spans="1:7" x14ac:dyDescent="0.25">
      <c r="A265" s="49">
        <f>'A) Base RI'!A261</f>
        <v>5852</v>
      </c>
      <c r="B265" s="285" t="str">
        <f>'A) Base RI'!B261</f>
        <v>Bursinel</v>
      </c>
      <c r="C265" s="10">
        <f>'A) Base RI'!AO261</f>
        <v>473</v>
      </c>
      <c r="D265" s="388">
        <f>'C) Prél. conj.'!H259</f>
        <v>233117.97</v>
      </c>
      <c r="E265" s="10">
        <f>'D) Ecrêtage'!M259</f>
        <v>353597.81555160193</v>
      </c>
      <c r="F265" s="388">
        <f>$F$10*'D) Ecrêtage'!C259</f>
        <v>583046.22699200059</v>
      </c>
      <c r="G265" s="57">
        <f t="shared" si="3"/>
        <v>1169762.0125436024</v>
      </c>
    </row>
    <row r="266" spans="1:7" x14ac:dyDescent="0.25">
      <c r="A266" s="49">
        <f>'A) Base RI'!A262</f>
        <v>5853</v>
      </c>
      <c r="B266" s="285" t="str">
        <f>'A) Base RI'!B262</f>
        <v>Bursins</v>
      </c>
      <c r="C266" s="10">
        <f>'A) Base RI'!AO262</f>
        <v>782</v>
      </c>
      <c r="D266" s="388">
        <f>'C) Prél. conj.'!H260</f>
        <v>181003.44500000001</v>
      </c>
      <c r="E266" s="10">
        <f>'D) Ecrêtage'!M260</f>
        <v>0</v>
      </c>
      <c r="F266" s="388">
        <f>$F$10*'D) Ecrêtage'!C260</f>
        <v>535196.1260959286</v>
      </c>
      <c r="G266" s="57">
        <f t="shared" si="3"/>
        <v>716199.57109592855</v>
      </c>
    </row>
    <row r="267" spans="1:7" x14ac:dyDescent="0.25">
      <c r="A267" s="49">
        <f>'A) Base RI'!A263</f>
        <v>5854</v>
      </c>
      <c r="B267" s="285" t="str">
        <f>'A) Base RI'!B263</f>
        <v>Burtigny</v>
      </c>
      <c r="C267" s="10">
        <f>'A) Base RI'!AO263</f>
        <v>390</v>
      </c>
      <c r="D267" s="388">
        <f>'C) Prél. conj.'!H261</f>
        <v>97731.854999999996</v>
      </c>
      <c r="E267" s="10">
        <f>'D) Ecrêtage'!M261</f>
        <v>0</v>
      </c>
      <c r="F267" s="388">
        <f>$F$10*'D) Ecrêtage'!C261</f>
        <v>162967.21916849737</v>
      </c>
      <c r="G267" s="57">
        <f t="shared" si="3"/>
        <v>260699.07416849735</v>
      </c>
    </row>
    <row r="268" spans="1:7" x14ac:dyDescent="0.25">
      <c r="A268" s="49">
        <f>'A) Base RI'!A264</f>
        <v>5855</v>
      </c>
      <c r="B268" s="285" t="str">
        <f>'A) Base RI'!B264</f>
        <v>Dully</v>
      </c>
      <c r="C268" s="10">
        <f>'A) Base RI'!AO264</f>
        <v>639</v>
      </c>
      <c r="D268" s="388">
        <f>'C) Prél. conj.'!H262</f>
        <v>289519.82499999995</v>
      </c>
      <c r="E268" s="10">
        <f>'D) Ecrêtage'!M262</f>
        <v>963457.91585834161</v>
      </c>
      <c r="F268" s="388">
        <f>$F$10*'D) Ecrêtage'!C262</f>
        <v>1170531.2762906135</v>
      </c>
      <c r="G268" s="57">
        <f t="shared" ref="G268:G319" si="4">D268+F268+E268</f>
        <v>2423509.0171489548</v>
      </c>
    </row>
    <row r="269" spans="1:7" x14ac:dyDescent="0.25">
      <c r="A269" s="49">
        <f>'A) Base RI'!A265</f>
        <v>5856</v>
      </c>
      <c r="B269" s="285" t="str">
        <f>'A) Base RI'!B265</f>
        <v>Essertines-sur-Rolle</v>
      </c>
      <c r="C269" s="10">
        <f>'A) Base RI'!AO265</f>
        <v>722</v>
      </c>
      <c r="D269" s="388">
        <f>'C) Prél. conj.'!H263</f>
        <v>64043.594999999994</v>
      </c>
      <c r="E269" s="10">
        <f>'D) Ecrêtage'!M263</f>
        <v>33737.847370362324</v>
      </c>
      <c r="F269" s="388">
        <f>$F$10*'D) Ecrêtage'!C263</f>
        <v>536297.91569161543</v>
      </c>
      <c r="G269" s="57">
        <f t="shared" si="4"/>
        <v>634079.35806197778</v>
      </c>
    </row>
    <row r="270" spans="1:7" x14ac:dyDescent="0.25">
      <c r="A270" s="49">
        <f>'A) Base RI'!A266</f>
        <v>5857</v>
      </c>
      <c r="B270" s="285" t="str">
        <f>'A) Base RI'!B266</f>
        <v>Gilly</v>
      </c>
      <c r="C270" s="10">
        <f>'A) Base RI'!AO266</f>
        <v>1370</v>
      </c>
      <c r="D270" s="388">
        <f>'C) Prél. conj.'!H264</f>
        <v>233824.19499999998</v>
      </c>
      <c r="E270" s="10">
        <f>'D) Ecrêtage'!M264</f>
        <v>326296.27327955549</v>
      </c>
      <c r="F270" s="388">
        <f>$F$10*'D) Ecrêtage'!C264</f>
        <v>1253811.2866450755</v>
      </c>
      <c r="G270" s="57">
        <f t="shared" si="4"/>
        <v>1813931.7549246312</v>
      </c>
    </row>
    <row r="271" spans="1:7" x14ac:dyDescent="0.25">
      <c r="A271" s="49">
        <f>'A) Base RI'!A267</f>
        <v>5858</v>
      </c>
      <c r="B271" s="285" t="str">
        <f>'A) Base RI'!B267</f>
        <v>Luins</v>
      </c>
      <c r="C271" s="10">
        <f>'A) Base RI'!AO267</f>
        <v>621</v>
      </c>
      <c r="D271" s="388">
        <f>'C) Prél. conj.'!H265</f>
        <v>24960.355</v>
      </c>
      <c r="E271" s="10">
        <f>'D) Ecrêtage'!M265</f>
        <v>295513.85989935952</v>
      </c>
      <c r="F271" s="388">
        <f>$F$10*'D) Ecrêtage'!C265</f>
        <v>686060.24143371591</v>
      </c>
      <c r="G271" s="57">
        <f t="shared" si="4"/>
        <v>1006534.4563330754</v>
      </c>
    </row>
    <row r="272" spans="1:7" x14ac:dyDescent="0.25">
      <c r="A272" s="49">
        <f>'A) Base RI'!A268</f>
        <v>5859</v>
      </c>
      <c r="B272" s="285" t="str">
        <f>'A) Base RI'!B268</f>
        <v>Mont-sur-Rolle</v>
      </c>
      <c r="C272" s="10">
        <f>'A) Base RI'!AO268</f>
        <v>2677</v>
      </c>
      <c r="D272" s="388">
        <f>'C) Prél. conj.'!H266</f>
        <v>678149.46499999997</v>
      </c>
      <c r="E272" s="10">
        <f>'D) Ecrêtage'!M266</f>
        <v>133248.45605108151</v>
      </c>
      <c r="F272" s="388">
        <f>$F$10*'D) Ecrêtage'!C266</f>
        <v>2003916.4802906788</v>
      </c>
      <c r="G272" s="57">
        <f t="shared" si="4"/>
        <v>2815314.4013417601</v>
      </c>
    </row>
    <row r="273" spans="1:7" x14ac:dyDescent="0.25">
      <c r="A273" s="49">
        <f>'A) Base RI'!A269</f>
        <v>5860</v>
      </c>
      <c r="B273" s="285" t="str">
        <f>'A) Base RI'!B269</f>
        <v>Perroy</v>
      </c>
      <c r="C273" s="10">
        <f>'A) Base RI'!AO269</f>
        <v>1497</v>
      </c>
      <c r="D273" s="388">
        <f>'C) Prél. conj.'!H267</f>
        <v>241873.33499999999</v>
      </c>
      <c r="E273" s="10">
        <f>'D) Ecrêtage'!M267</f>
        <v>492023.78488195734</v>
      </c>
      <c r="F273" s="388">
        <f>$F$10*'D) Ecrêtage'!C267</f>
        <v>1507070.5451903632</v>
      </c>
      <c r="G273" s="57">
        <f t="shared" si="4"/>
        <v>2240967.6650723205</v>
      </c>
    </row>
    <row r="274" spans="1:7" x14ac:dyDescent="0.25">
      <c r="A274" s="49">
        <f>'A) Base RI'!A270</f>
        <v>5861</v>
      </c>
      <c r="B274" s="285" t="str">
        <f>'A) Base RI'!B270</f>
        <v>Rolle</v>
      </c>
      <c r="C274" s="10">
        <f>'A) Base RI'!AO270</f>
        <v>6245</v>
      </c>
      <c r="D274" s="388">
        <f>'C) Prél. conj.'!H268</f>
        <v>1488950.0599999998</v>
      </c>
      <c r="E274" s="10">
        <f>'D) Ecrêtage'!M268</f>
        <v>10950717.034466332</v>
      </c>
      <c r="F274" s="388">
        <f>$F$10*'D) Ecrêtage'!C268</f>
        <v>11201212.627742678</v>
      </c>
      <c r="G274" s="57">
        <f t="shared" si="4"/>
        <v>23640879.72220901</v>
      </c>
    </row>
    <row r="275" spans="1:7" x14ac:dyDescent="0.25">
      <c r="A275" s="49">
        <f>'A) Base RI'!A271</f>
        <v>5862</v>
      </c>
      <c r="B275" s="285" t="str">
        <f>'A) Base RI'!B271</f>
        <v>Tartegnin</v>
      </c>
      <c r="C275" s="10">
        <f>'A) Base RI'!AO271</f>
        <v>233</v>
      </c>
      <c r="D275" s="388">
        <f>'C) Prél. conj.'!H269</f>
        <v>3110.99</v>
      </c>
      <c r="E275" s="10">
        <f>'D) Ecrêtage'!M269</f>
        <v>0</v>
      </c>
      <c r="F275" s="388">
        <f>$F$10*'D) Ecrêtage'!C269</f>
        <v>160955.27154078404</v>
      </c>
      <c r="G275" s="57">
        <f t="shared" si="4"/>
        <v>164066.26154078403</v>
      </c>
    </row>
    <row r="276" spans="1:7" x14ac:dyDescent="0.25">
      <c r="A276" s="49">
        <f>'A) Base RI'!A272</f>
        <v>5863</v>
      </c>
      <c r="B276" s="285" t="str">
        <f>'A) Base RI'!B272</f>
        <v>Vinzel</v>
      </c>
      <c r="C276" s="10">
        <f>'A) Base RI'!AO272</f>
        <v>355</v>
      </c>
      <c r="D276" s="388">
        <f>'C) Prél. conj.'!H270</f>
        <v>49071.794999999998</v>
      </c>
      <c r="E276" s="10">
        <f>'D) Ecrêtage'!M270</f>
        <v>15492.480734317773</v>
      </c>
      <c r="F276" s="388">
        <f>$F$10*'D) Ecrêtage'!C270</f>
        <v>262757.95745858329</v>
      </c>
      <c r="G276" s="57">
        <f t="shared" si="4"/>
        <v>327322.23319290107</v>
      </c>
    </row>
    <row r="277" spans="1:7" x14ac:dyDescent="0.25">
      <c r="A277" s="49">
        <f>'A) Base RI'!A273</f>
        <v>5871</v>
      </c>
      <c r="B277" s="285" t="str">
        <f>'A) Base RI'!B273</f>
        <v>L'Abbaye</v>
      </c>
      <c r="C277" s="10">
        <f>'A) Base RI'!AO273</f>
        <v>1481</v>
      </c>
      <c r="D277" s="388">
        <f>'C) Prél. conj.'!H271</f>
        <v>329988.41499999998</v>
      </c>
      <c r="E277" s="10">
        <f>'D) Ecrêtage'!M271</f>
        <v>0</v>
      </c>
      <c r="F277" s="388">
        <f>$F$10*'D) Ecrêtage'!C271</f>
        <v>687005.10049686022</v>
      </c>
      <c r="G277" s="57">
        <f t="shared" si="4"/>
        <v>1016993.5154968603</v>
      </c>
    </row>
    <row r="278" spans="1:7" x14ac:dyDescent="0.25">
      <c r="A278" s="49">
        <f>'A) Base RI'!A274</f>
        <v>5872</v>
      </c>
      <c r="B278" s="285" t="str">
        <f>'A) Base RI'!B274</f>
        <v>Le Chenit</v>
      </c>
      <c r="C278" s="10">
        <f>'A) Base RI'!AO274</f>
        <v>4657</v>
      </c>
      <c r="D278" s="388">
        <f>'C) Prél. conj.'!H272</f>
        <v>2668050.5049999999</v>
      </c>
      <c r="E278" s="10">
        <f>'D) Ecrêtage'!M272</f>
        <v>718879.89947473526</v>
      </c>
      <c r="F278" s="388">
        <f>$F$10*'D) Ecrêtage'!C272</f>
        <v>3953816.7041098848</v>
      </c>
      <c r="G278" s="57">
        <f t="shared" si="4"/>
        <v>7340747.1085846201</v>
      </c>
    </row>
    <row r="279" spans="1:7" x14ac:dyDescent="0.25">
      <c r="A279" s="49">
        <f>'A) Base RI'!A275</f>
        <v>5873</v>
      </c>
      <c r="B279" s="285" t="str">
        <f>'A) Base RI'!B275</f>
        <v>Le Lieu</v>
      </c>
      <c r="C279" s="10">
        <f>'A) Base RI'!AO275</f>
        <v>900</v>
      </c>
      <c r="D279" s="388">
        <f>'C) Prél. conj.'!H273</f>
        <v>284266.40999999997</v>
      </c>
      <c r="E279" s="10">
        <f>'D) Ecrêtage'!M273</f>
        <v>0</v>
      </c>
      <c r="F279" s="388">
        <f>$F$10*'D) Ecrêtage'!C273</f>
        <v>425541.42668312072</v>
      </c>
      <c r="G279" s="57">
        <f t="shared" si="4"/>
        <v>709807.83668312069</v>
      </c>
    </row>
    <row r="280" spans="1:7" x14ac:dyDescent="0.25">
      <c r="A280" s="49">
        <f>'A) Base RI'!A276</f>
        <v>5881</v>
      </c>
      <c r="B280" s="285" t="str">
        <f>'A) Base RI'!B276</f>
        <v>Blonay</v>
      </c>
      <c r="C280" s="10">
        <f>'A) Base RI'!AO276</f>
        <v>6151</v>
      </c>
      <c r="D280" s="388">
        <f>'C) Prél. conj.'!H274</f>
        <v>1341327.1850000001</v>
      </c>
      <c r="E280" s="10">
        <f>'D) Ecrêtage'!M274</f>
        <v>980915.50539602106</v>
      </c>
      <c r="F280" s="388">
        <f>$F$10*'D) Ecrêtage'!C274</f>
        <v>5228569.1780263949</v>
      </c>
      <c r="G280" s="57">
        <f t="shared" si="4"/>
        <v>7550811.868422417</v>
      </c>
    </row>
    <row r="281" spans="1:7" x14ac:dyDescent="0.25">
      <c r="A281" s="49">
        <f>'A) Base RI'!A277</f>
        <v>5882</v>
      </c>
      <c r="B281" s="285" t="str">
        <f>'A) Base RI'!B277</f>
        <v>Chardonne</v>
      </c>
      <c r="C281" s="10">
        <f>'A) Base RI'!AO277</f>
        <v>3032</v>
      </c>
      <c r="D281" s="388">
        <f>'C) Prél. conj.'!H275</f>
        <v>1169217.0399999998</v>
      </c>
      <c r="E281" s="10">
        <f>'D) Ecrêtage'!M275</f>
        <v>646172.38537604013</v>
      </c>
      <c r="F281" s="388">
        <f>$F$10*'D) Ecrêtage'!C275</f>
        <v>2704391.3992862608</v>
      </c>
      <c r="G281" s="57">
        <f t="shared" si="4"/>
        <v>4519780.8246623008</v>
      </c>
    </row>
    <row r="282" spans="1:7" x14ac:dyDescent="0.25">
      <c r="A282" s="49">
        <f>'A) Base RI'!A278</f>
        <v>5883</v>
      </c>
      <c r="B282" s="285" t="str">
        <f>'A) Base RI'!B278</f>
        <v>Corseaux</v>
      </c>
      <c r="C282" s="10">
        <f>'A) Base RI'!AO278</f>
        <v>2287</v>
      </c>
      <c r="D282" s="388">
        <f>'C) Prél. conj.'!H276</f>
        <v>341085.92499999999</v>
      </c>
      <c r="E282" s="10">
        <f>'D) Ecrêtage'!M276</f>
        <v>1046625.6369169797</v>
      </c>
      <c r="F282" s="388">
        <f>$F$10*'D) Ecrêtage'!C276</f>
        <v>2417519.7883056677</v>
      </c>
      <c r="G282" s="57">
        <f t="shared" si="4"/>
        <v>3805231.3502226472</v>
      </c>
    </row>
    <row r="283" spans="1:7" x14ac:dyDescent="0.25">
      <c r="A283" s="49">
        <f>'A) Base RI'!A279</f>
        <v>5884</v>
      </c>
      <c r="B283" s="285" t="str">
        <f>'A) Base RI'!B279</f>
        <v>Corsier-sur-Vevey</v>
      </c>
      <c r="C283" s="10">
        <f>'A) Base RI'!AO279</f>
        <v>3363</v>
      </c>
      <c r="D283" s="388">
        <f>'C) Prél. conj.'!H277</f>
        <v>377769.5</v>
      </c>
      <c r="E283" s="10">
        <f>'D) Ecrêtage'!M277</f>
        <v>0</v>
      </c>
      <c r="F283" s="388">
        <f>$F$10*'D) Ecrêtage'!C277</f>
        <v>1867339.2980423092</v>
      </c>
      <c r="G283" s="57">
        <f t="shared" si="4"/>
        <v>2245108.7980423095</v>
      </c>
    </row>
    <row r="284" spans="1:7" x14ac:dyDescent="0.25">
      <c r="A284" s="49">
        <f>'A) Base RI'!A280</f>
        <v>5885</v>
      </c>
      <c r="B284" s="285" t="str">
        <f>'A) Base RI'!B280</f>
        <v>Jongny</v>
      </c>
      <c r="C284" s="10">
        <f>'A) Base RI'!AO280</f>
        <v>1544</v>
      </c>
      <c r="D284" s="388">
        <f>'C) Prél. conj.'!H278</f>
        <v>293523.01</v>
      </c>
      <c r="E284" s="10">
        <f>'D) Ecrêtage'!M278</f>
        <v>90314.410288915678</v>
      </c>
      <c r="F284" s="388">
        <f>$F$10*'D) Ecrêtage'!C278</f>
        <v>1162376.431543183</v>
      </c>
      <c r="G284" s="57">
        <f t="shared" si="4"/>
        <v>1546213.8518320988</v>
      </c>
    </row>
    <row r="285" spans="1:7" x14ac:dyDescent="0.25">
      <c r="A285" s="49">
        <f>'A) Base RI'!A281</f>
        <v>5886</v>
      </c>
      <c r="B285" s="285" t="str">
        <f>'A) Base RI'!B281</f>
        <v>Montreux</v>
      </c>
      <c r="C285" s="10">
        <f>'A) Base RI'!AO281</f>
        <v>26065</v>
      </c>
      <c r="D285" s="388">
        <f>'C) Prél. conj.'!H279</f>
        <v>8111116.8549999995</v>
      </c>
      <c r="E285" s="10">
        <f>'D) Ecrêtage'!M279</f>
        <v>0</v>
      </c>
      <c r="F285" s="388">
        <f>$F$10*'D) Ecrêtage'!C279</f>
        <v>16778193.146661121</v>
      </c>
      <c r="G285" s="57">
        <f t="shared" si="4"/>
        <v>24889310.001661122</v>
      </c>
    </row>
    <row r="286" spans="1:7" x14ac:dyDescent="0.25">
      <c r="A286" s="49">
        <f>'A) Base RI'!A282</f>
        <v>5888</v>
      </c>
      <c r="B286" s="285" t="str">
        <f>'A) Base RI'!B282</f>
        <v>Saint-Légier-La Chiésaz</v>
      </c>
      <c r="C286" s="10">
        <f>'A) Base RI'!AO282</f>
        <v>5243</v>
      </c>
      <c r="D286" s="388">
        <f>'C) Prél. conj.'!H280</f>
        <v>933001.375</v>
      </c>
      <c r="E286" s="10">
        <f>'D) Ecrêtage'!M280</f>
        <v>1568751.9595002185</v>
      </c>
      <c r="F286" s="388">
        <f>$F$10*'D) Ecrêtage'!C280</f>
        <v>4969275.0713271713</v>
      </c>
      <c r="G286" s="57">
        <f t="shared" si="4"/>
        <v>7471028.40582739</v>
      </c>
    </row>
    <row r="287" spans="1:7" x14ac:dyDescent="0.25">
      <c r="A287" s="49">
        <f>'A) Base RI'!A283</f>
        <v>5889</v>
      </c>
      <c r="B287" s="285" t="str">
        <f>'A) Base RI'!B283</f>
        <v>La Tour-de-Peilz</v>
      </c>
      <c r="C287" s="10">
        <f>'A) Base RI'!AO283</f>
        <v>11906</v>
      </c>
      <c r="D287" s="388">
        <f>'C) Prél. conj.'!H281</f>
        <v>1954733.83</v>
      </c>
      <c r="E287" s="10">
        <f>'D) Ecrêtage'!M281</f>
        <v>1817957.7440034579</v>
      </c>
      <c r="F287" s="388">
        <f>$F$10*'D) Ecrêtage'!C281</f>
        <v>10183284.504281975</v>
      </c>
      <c r="G287" s="57">
        <f t="shared" si="4"/>
        <v>13955976.078285433</v>
      </c>
    </row>
    <row r="288" spans="1:7" x14ac:dyDescent="0.25">
      <c r="A288" s="49">
        <f>'A) Base RI'!A284</f>
        <v>5890</v>
      </c>
      <c r="B288" s="285" t="str">
        <f>'A) Base RI'!B284</f>
        <v>Vevey</v>
      </c>
      <c r="C288" s="10">
        <f>'A) Base RI'!AO284</f>
        <v>19871</v>
      </c>
      <c r="D288" s="388">
        <f>'C) Prél. conj.'!H282</f>
        <v>1721318.2249999999</v>
      </c>
      <c r="E288" s="10">
        <f>'D) Ecrêtage'!M282</f>
        <v>614448.21879948967</v>
      </c>
      <c r="F288" s="388">
        <f>$F$10*'D) Ecrêtage'!C282</f>
        <v>14350918.557184789</v>
      </c>
      <c r="G288" s="57">
        <f t="shared" si="4"/>
        <v>16686685.000984279</v>
      </c>
    </row>
    <row r="289" spans="1:7" x14ac:dyDescent="0.25">
      <c r="A289" s="49">
        <f>'A) Base RI'!A285</f>
        <v>5891</v>
      </c>
      <c r="B289" s="285" t="str">
        <f>'A) Base RI'!B285</f>
        <v>Veytaux</v>
      </c>
      <c r="C289" s="10">
        <f>'A) Base RI'!AO285</f>
        <v>922</v>
      </c>
      <c r="D289" s="388">
        <f>'C) Prél. conj.'!H283</f>
        <v>110649.9</v>
      </c>
      <c r="E289" s="10">
        <f>'D) Ecrêtage'!M283</f>
        <v>0</v>
      </c>
      <c r="F289" s="388">
        <f>$F$10*'D) Ecrêtage'!C283</f>
        <v>546481.77224249789</v>
      </c>
      <c r="G289" s="57">
        <f t="shared" si="4"/>
        <v>657131.67224249791</v>
      </c>
    </row>
    <row r="290" spans="1:7" x14ac:dyDescent="0.25">
      <c r="A290" s="49">
        <f>'A) Base RI'!A286</f>
        <v>5902</v>
      </c>
      <c r="B290" s="285" t="str">
        <f>'A) Base RI'!B286</f>
        <v>Belmont-sur-Yverdon</v>
      </c>
      <c r="C290" s="10">
        <f>'A) Base RI'!AO286</f>
        <v>374</v>
      </c>
      <c r="D290" s="388">
        <f>'C) Prél. conj.'!H284</f>
        <v>227536.45</v>
      </c>
      <c r="E290" s="10">
        <f>'D) Ecrêtage'!M284</f>
        <v>0</v>
      </c>
      <c r="F290" s="388">
        <f>$F$10*'D) Ecrêtage'!C284</f>
        <v>158336.89319812364</v>
      </c>
      <c r="G290" s="57">
        <f t="shared" si="4"/>
        <v>385873.34319812362</v>
      </c>
    </row>
    <row r="291" spans="1:7" x14ac:dyDescent="0.25">
      <c r="A291" s="49">
        <f>'A) Base RI'!A287</f>
        <v>5903</v>
      </c>
      <c r="B291" s="285" t="str">
        <f>'A) Base RI'!B287</f>
        <v>Bioley-Magnoux</v>
      </c>
      <c r="C291" s="10">
        <f>'A) Base RI'!AO287</f>
        <v>228</v>
      </c>
      <c r="D291" s="388">
        <f>'C) Prél. conj.'!H285</f>
        <v>7495.9849999999997</v>
      </c>
      <c r="E291" s="10">
        <f>'D) Ecrêtage'!M285</f>
        <v>0</v>
      </c>
      <c r="F291" s="388">
        <f>$F$10*'D) Ecrêtage'!C285</f>
        <v>95239.518223599938</v>
      </c>
      <c r="G291" s="57">
        <f t="shared" si="4"/>
        <v>102735.50322359994</v>
      </c>
    </row>
    <row r="292" spans="1:7" x14ac:dyDescent="0.25">
      <c r="A292" s="49">
        <f>'A) Base RI'!A288</f>
        <v>5904</v>
      </c>
      <c r="B292" s="285" t="str">
        <f>'A) Base RI'!B288</f>
        <v>Chamblon</v>
      </c>
      <c r="C292" s="10">
        <f>'A) Base RI'!AO288</f>
        <v>540</v>
      </c>
      <c r="D292" s="388">
        <f>'C) Prél. conj.'!H286</f>
        <v>26436.68</v>
      </c>
      <c r="E292" s="10">
        <f>'D) Ecrêtage'!M286</f>
        <v>0</v>
      </c>
      <c r="F292" s="388">
        <f>$F$10*'D) Ecrêtage'!C286</f>
        <v>322873.9020549712</v>
      </c>
      <c r="G292" s="57">
        <f t="shared" si="4"/>
        <v>349310.58205497119</v>
      </c>
    </row>
    <row r="293" spans="1:7" x14ac:dyDescent="0.25">
      <c r="A293" s="49">
        <f>'A) Base RI'!A289</f>
        <v>5905</v>
      </c>
      <c r="B293" s="285" t="str">
        <f>'A) Base RI'!B289</f>
        <v>Champvent</v>
      </c>
      <c r="C293" s="10">
        <f>'A) Base RI'!AO289</f>
        <v>689</v>
      </c>
      <c r="D293" s="388">
        <f>'C) Prél. conj.'!H287</f>
        <v>176602.76500000001</v>
      </c>
      <c r="E293" s="10">
        <f>'D) Ecrêtage'!M287</f>
        <v>0</v>
      </c>
      <c r="F293" s="388">
        <f>$F$10*'D) Ecrêtage'!C287</f>
        <v>347612.82671682059</v>
      </c>
      <c r="G293" s="57">
        <f t="shared" si="4"/>
        <v>524215.59171682061</v>
      </c>
    </row>
    <row r="294" spans="1:7" x14ac:dyDescent="0.25">
      <c r="A294" s="49">
        <f>'A) Base RI'!A290</f>
        <v>5907</v>
      </c>
      <c r="B294" s="285" t="str">
        <f>'A) Base RI'!B290</f>
        <v>Chavannes-le-Chêne</v>
      </c>
      <c r="C294" s="10">
        <f>'A) Base RI'!AO290</f>
        <v>311</v>
      </c>
      <c r="D294" s="388">
        <f>'C) Prél. conj.'!H288</f>
        <v>5508.4050000000007</v>
      </c>
      <c r="E294" s="10">
        <f>'D) Ecrêtage'!M288</f>
        <v>0</v>
      </c>
      <c r="F294" s="388">
        <f>$F$10*'D) Ecrêtage'!C288</f>
        <v>139295.02737457945</v>
      </c>
      <c r="G294" s="57">
        <f t="shared" si="4"/>
        <v>144803.43237457945</v>
      </c>
    </row>
    <row r="295" spans="1:7" x14ac:dyDescent="0.25">
      <c r="A295" s="49">
        <f>'A) Base RI'!A291</f>
        <v>5908</v>
      </c>
      <c r="B295" s="285" t="str">
        <f>'A) Base RI'!B291</f>
        <v>Chêne-Pâquier</v>
      </c>
      <c r="C295" s="10">
        <f>'A) Base RI'!AO291</f>
        <v>153</v>
      </c>
      <c r="D295" s="388">
        <f>'C) Prél. conj.'!H289</f>
        <v>2336.0250000000001</v>
      </c>
      <c r="E295" s="10">
        <f>'D) Ecrêtage'!M289</f>
        <v>0</v>
      </c>
      <c r="F295" s="388">
        <f>$F$10*'D) Ecrêtage'!C289</f>
        <v>49588.663683510502</v>
      </c>
      <c r="G295" s="57">
        <f t="shared" si="4"/>
        <v>51924.688683510503</v>
      </c>
    </row>
    <row r="296" spans="1:7" x14ac:dyDescent="0.25">
      <c r="A296" s="49">
        <f>'A) Base RI'!A292</f>
        <v>5909</v>
      </c>
      <c r="B296" s="285" t="str">
        <f>'A) Base RI'!B292</f>
        <v>Cheseaux-Noréaz</v>
      </c>
      <c r="C296" s="10">
        <f>'A) Base RI'!AO292</f>
        <v>725</v>
      </c>
      <c r="D296" s="388">
        <f>'C) Prél. conj.'!H290</f>
        <v>111574.15</v>
      </c>
      <c r="E296" s="10">
        <f>'D) Ecrêtage'!M290</f>
        <v>0</v>
      </c>
      <c r="F296" s="388">
        <f>$F$10*'D) Ecrêtage'!C290</f>
        <v>475249.72853651532</v>
      </c>
      <c r="G296" s="57">
        <f t="shared" si="4"/>
        <v>586823.87853651529</v>
      </c>
    </row>
    <row r="297" spans="1:7" x14ac:dyDescent="0.25">
      <c r="A297" s="49">
        <f>'A) Base RI'!A293</f>
        <v>5910</v>
      </c>
      <c r="B297" s="285" t="str">
        <f>'A) Base RI'!B293</f>
        <v>Cronay</v>
      </c>
      <c r="C297" s="10">
        <f>'A) Base RI'!AO293</f>
        <v>394</v>
      </c>
      <c r="D297" s="388">
        <f>'C) Prél. conj.'!H291</f>
        <v>76827.975000000006</v>
      </c>
      <c r="E297" s="10">
        <f>'D) Ecrêtage'!M291</f>
        <v>0</v>
      </c>
      <c r="F297" s="388">
        <f>$F$10*'D) Ecrêtage'!C291</f>
        <v>149858.43771492221</v>
      </c>
      <c r="G297" s="57">
        <f t="shared" si="4"/>
        <v>226686.41271492222</v>
      </c>
    </row>
    <row r="298" spans="1:7" x14ac:dyDescent="0.25">
      <c r="A298" s="49">
        <f>'A) Base RI'!A294</f>
        <v>5911</v>
      </c>
      <c r="B298" s="285" t="str">
        <f>'A) Base RI'!B294</f>
        <v>Cuarny</v>
      </c>
      <c r="C298" s="10">
        <f>'A) Base RI'!AO294</f>
        <v>239</v>
      </c>
      <c r="D298" s="388">
        <f>'C) Prél. conj.'!H292</f>
        <v>-7651.58</v>
      </c>
      <c r="E298" s="10">
        <f>'D) Ecrêtage'!M292</f>
        <v>0</v>
      </c>
      <c r="F298" s="388">
        <f>$F$10*'D) Ecrêtage'!C292</f>
        <v>115134.4946734999</v>
      </c>
      <c r="G298" s="57">
        <f t="shared" si="4"/>
        <v>107482.91467349989</v>
      </c>
    </row>
    <row r="299" spans="1:7" x14ac:dyDescent="0.25">
      <c r="A299" s="49">
        <f>'A) Base RI'!A295</f>
        <v>5912</v>
      </c>
      <c r="B299" s="285" t="str">
        <f>'A) Base RI'!B295</f>
        <v>Démoret</v>
      </c>
      <c r="C299" s="10">
        <f>'A) Base RI'!AO295</f>
        <v>156</v>
      </c>
      <c r="D299" s="388">
        <f>'C) Prél. conj.'!H293</f>
        <v>0</v>
      </c>
      <c r="E299" s="10">
        <f>'D) Ecrêtage'!M293</f>
        <v>0</v>
      </c>
      <c r="F299" s="388">
        <f>$F$10*'D) Ecrêtage'!C293</f>
        <v>58257.568193833831</v>
      </c>
      <c r="G299" s="57">
        <f t="shared" si="4"/>
        <v>58257.568193833831</v>
      </c>
    </row>
    <row r="300" spans="1:7" x14ac:dyDescent="0.25">
      <c r="A300" s="49">
        <f>'A) Base RI'!A296</f>
        <v>5913</v>
      </c>
      <c r="B300" s="285" t="str">
        <f>'A) Base RI'!B296</f>
        <v>Donneloye</v>
      </c>
      <c r="C300" s="10">
        <f>'A) Base RI'!AO296</f>
        <v>823</v>
      </c>
      <c r="D300" s="388">
        <f>'C) Prél. conj.'!H294</f>
        <v>83029.354999999996</v>
      </c>
      <c r="E300" s="10">
        <f>'D) Ecrêtage'!M294</f>
        <v>0</v>
      </c>
      <c r="F300" s="388">
        <f>$F$10*'D) Ecrêtage'!C294</f>
        <v>317375.55161387153</v>
      </c>
      <c r="G300" s="57">
        <f t="shared" si="4"/>
        <v>400404.90661387151</v>
      </c>
    </row>
    <row r="301" spans="1:7" x14ac:dyDescent="0.25">
      <c r="A301" s="49">
        <f>'A) Base RI'!A297</f>
        <v>5914</v>
      </c>
      <c r="B301" s="285" t="str">
        <f>'A) Base RI'!B297</f>
        <v>Ependes</v>
      </c>
      <c r="C301" s="10">
        <f>'A) Base RI'!AO297</f>
        <v>357</v>
      </c>
      <c r="D301" s="388">
        <f>'C) Prél. conj.'!H295</f>
        <v>11237.395</v>
      </c>
      <c r="E301" s="10">
        <f>'D) Ecrêtage'!M295</f>
        <v>0</v>
      </c>
      <c r="F301" s="388">
        <f>$F$10*'D) Ecrêtage'!C295</f>
        <v>148607.77856497376</v>
      </c>
      <c r="G301" s="57">
        <f t="shared" si="4"/>
        <v>159845.17356497375</v>
      </c>
    </row>
    <row r="302" spans="1:7" x14ac:dyDescent="0.25">
      <c r="A302" s="49">
        <f>'A) Base RI'!A298</f>
        <v>5919</v>
      </c>
      <c r="B302" s="285" t="str">
        <f>'A) Base RI'!B298</f>
        <v>Mathod</v>
      </c>
      <c r="C302" s="10">
        <f>'A) Base RI'!AO298</f>
        <v>601</v>
      </c>
      <c r="D302" s="388">
        <f>'C) Prél. conj.'!H296</f>
        <v>30660.09</v>
      </c>
      <c r="E302" s="10">
        <f>'D) Ecrêtage'!M296</f>
        <v>0</v>
      </c>
      <c r="F302" s="388">
        <f>$F$10*'D) Ecrêtage'!C296</f>
        <v>256734.7281500657</v>
      </c>
      <c r="G302" s="57">
        <f t="shared" si="4"/>
        <v>287394.81815006572</v>
      </c>
    </row>
    <row r="303" spans="1:7" x14ac:dyDescent="0.25">
      <c r="A303" s="49">
        <f>'A) Base RI'!A299</f>
        <v>5921</v>
      </c>
      <c r="B303" s="285" t="str">
        <f>'A) Base RI'!B299</f>
        <v>Molondin</v>
      </c>
      <c r="C303" s="10">
        <f>'A) Base RI'!AO299</f>
        <v>240</v>
      </c>
      <c r="D303" s="388">
        <f>'C) Prél. conj.'!H297</f>
        <v>21605.15</v>
      </c>
      <c r="E303" s="10">
        <f>'D) Ecrêtage'!M297</f>
        <v>0</v>
      </c>
      <c r="F303" s="388">
        <f>$F$10*'D) Ecrêtage'!C297</f>
        <v>83234.516611200132</v>
      </c>
      <c r="G303" s="57">
        <f t="shared" si="4"/>
        <v>104839.66661120014</v>
      </c>
    </row>
    <row r="304" spans="1:7" x14ac:dyDescent="0.25">
      <c r="A304" s="49">
        <f>'A) Base RI'!A300</f>
        <v>5922</v>
      </c>
      <c r="B304" s="285" t="str">
        <f>'A) Base RI'!B300</f>
        <v>Montagny-près-Yverdon</v>
      </c>
      <c r="C304" s="10">
        <f>'A) Base RI'!AO300</f>
        <v>747</v>
      </c>
      <c r="D304" s="388">
        <f>'C) Prél. conj.'!H298</f>
        <v>162944.75</v>
      </c>
      <c r="E304" s="10">
        <f>'D) Ecrêtage'!M298</f>
        <v>31423.625125385806</v>
      </c>
      <c r="F304" s="388">
        <f>$F$10*'D) Ecrêtage'!C298</f>
        <v>552672.63642169267</v>
      </c>
      <c r="G304" s="57">
        <f t="shared" si="4"/>
        <v>747041.01154707849</v>
      </c>
    </row>
    <row r="305" spans="1:7" x14ac:dyDescent="0.25">
      <c r="A305" s="49">
        <f>'A) Base RI'!A301</f>
        <v>5923</v>
      </c>
      <c r="B305" s="285" t="str">
        <f>'A) Base RI'!B301</f>
        <v>Oppens</v>
      </c>
      <c r="C305" s="10">
        <f>'A) Base RI'!AO301</f>
        <v>202</v>
      </c>
      <c r="D305" s="388">
        <f>'C) Prél. conj.'!H299</f>
        <v>14281.14</v>
      </c>
      <c r="E305" s="10">
        <f>'D) Ecrêtage'!M299</f>
        <v>0</v>
      </c>
      <c r="F305" s="388">
        <f>$F$10*'D) Ecrêtage'!C299</f>
        <v>79325.018152203527</v>
      </c>
      <c r="G305" s="57">
        <f t="shared" si="4"/>
        <v>93606.158152203527</v>
      </c>
    </row>
    <row r="306" spans="1:7" x14ac:dyDescent="0.25">
      <c r="A306" s="49">
        <f>'A) Base RI'!A302</f>
        <v>5924</v>
      </c>
      <c r="B306" s="285" t="str">
        <f>'A) Base RI'!B302</f>
        <v>Orges</v>
      </c>
      <c r="C306" s="10">
        <f>'A) Base RI'!AO302</f>
        <v>332</v>
      </c>
      <c r="D306" s="388">
        <f>'C) Prél. conj.'!H300</f>
        <v>47783.165000000008</v>
      </c>
      <c r="E306" s="10">
        <f>'D) Ecrêtage'!M300</f>
        <v>0</v>
      </c>
      <c r="F306" s="388">
        <f>$F$10*'D) Ecrêtage'!C300</f>
        <v>174991.73230027038</v>
      </c>
      <c r="G306" s="57">
        <f t="shared" si="4"/>
        <v>222774.89730027039</v>
      </c>
    </row>
    <row r="307" spans="1:7" x14ac:dyDescent="0.25">
      <c r="A307" s="49">
        <f>'A) Base RI'!A303</f>
        <v>5925</v>
      </c>
      <c r="B307" s="285" t="str">
        <f>'A) Base RI'!B303</f>
        <v>Orzens</v>
      </c>
      <c r="C307" s="10">
        <f>'A) Base RI'!AO303</f>
        <v>208</v>
      </c>
      <c r="D307" s="388">
        <f>'C) Prél. conj.'!H301</f>
        <v>95358.565000000002</v>
      </c>
      <c r="E307" s="10">
        <f>'D) Ecrêtage'!M301</f>
        <v>0</v>
      </c>
      <c r="F307" s="388">
        <f>$F$10*'D) Ecrêtage'!C301</f>
        <v>78574.090117533095</v>
      </c>
      <c r="G307" s="57">
        <f t="shared" si="4"/>
        <v>173932.65511753311</v>
      </c>
    </row>
    <row r="308" spans="1:7" x14ac:dyDescent="0.25">
      <c r="A308" s="49">
        <f>'A) Base RI'!A304</f>
        <v>5926</v>
      </c>
      <c r="B308" s="285" t="str">
        <f>'A) Base RI'!B304</f>
        <v>Pomy</v>
      </c>
      <c r="C308" s="10">
        <f>'A) Base RI'!AO304</f>
        <v>793</v>
      </c>
      <c r="D308" s="388">
        <f>'C) Prél. conj.'!H302</f>
        <v>47234.44</v>
      </c>
      <c r="E308" s="10">
        <f>'D) Ecrêtage'!M302</f>
        <v>0</v>
      </c>
      <c r="F308" s="388">
        <f>$F$10*'D) Ecrêtage'!C302</f>
        <v>404946.78679011256</v>
      </c>
      <c r="G308" s="57">
        <f t="shared" si="4"/>
        <v>452181.22679011256</v>
      </c>
    </row>
    <row r="309" spans="1:7" x14ac:dyDescent="0.25">
      <c r="A309" s="49">
        <f>'A) Base RI'!A305</f>
        <v>5928</v>
      </c>
      <c r="B309" s="285" t="str">
        <f>'A) Base RI'!B305</f>
        <v>Rovray</v>
      </c>
      <c r="C309" s="10">
        <f>'A) Base RI'!AO305</f>
        <v>185</v>
      </c>
      <c r="D309" s="388">
        <f>'C) Prél. conj.'!H303</f>
        <v>28699.350000000002</v>
      </c>
      <c r="E309" s="10">
        <f>'D) Ecrêtage'!M303</f>
        <v>0</v>
      </c>
      <c r="F309" s="388">
        <f>$F$10*'D) Ecrêtage'!C303</f>
        <v>88176.694603470532</v>
      </c>
      <c r="G309" s="57">
        <f t="shared" si="4"/>
        <v>116876.04460347054</v>
      </c>
    </row>
    <row r="310" spans="1:7" x14ac:dyDescent="0.25">
      <c r="A310" s="49">
        <f>'A) Base RI'!A306</f>
        <v>5929</v>
      </c>
      <c r="B310" s="285" t="str">
        <f>'A) Base RI'!B306</f>
        <v>Suchy</v>
      </c>
      <c r="C310" s="10">
        <f>'A) Base RI'!AO306</f>
        <v>645</v>
      </c>
      <c r="D310" s="388">
        <f>'C) Prél. conj.'!H304</f>
        <v>105945.72000000002</v>
      </c>
      <c r="E310" s="10">
        <f>'D) Ecrêtage'!M304</f>
        <v>0</v>
      </c>
      <c r="F310" s="388">
        <f>$F$10*'D) Ecrêtage'!C304</f>
        <v>253546.99739480129</v>
      </c>
      <c r="G310" s="57">
        <f t="shared" si="4"/>
        <v>359492.71739480132</v>
      </c>
    </row>
    <row r="311" spans="1:7" x14ac:dyDescent="0.25">
      <c r="A311" s="49">
        <f>'A) Base RI'!A307</f>
        <v>5930</v>
      </c>
      <c r="B311" s="285" t="str">
        <f>'A) Base RI'!B307</f>
        <v>Suscévaz</v>
      </c>
      <c r="C311" s="10">
        <f>'A) Base RI'!AO307</f>
        <v>215</v>
      </c>
      <c r="D311" s="388">
        <f>'C) Prél. conj.'!H305</f>
        <v>1350.7</v>
      </c>
      <c r="E311" s="10">
        <f>'D) Ecrêtage'!M305</f>
        <v>0</v>
      </c>
      <c r="F311" s="388">
        <f>$F$10*'D) Ecrêtage'!C305</f>
        <v>85982.827148583994</v>
      </c>
      <c r="G311" s="57">
        <f t="shared" si="4"/>
        <v>87333.527148583991</v>
      </c>
    </row>
    <row r="312" spans="1:7" x14ac:dyDescent="0.25">
      <c r="A312" s="49">
        <f>'A) Base RI'!A308</f>
        <v>5931</v>
      </c>
      <c r="B312" s="285" t="str">
        <f>'A) Base RI'!B308</f>
        <v>Treycovagnes</v>
      </c>
      <c r="C312" s="10">
        <f>'A) Base RI'!AO308</f>
        <v>492</v>
      </c>
      <c r="D312" s="388">
        <f>'C) Prél. conj.'!H306</f>
        <v>22906.255000000001</v>
      </c>
      <c r="E312" s="10">
        <f>'D) Ecrêtage'!M306</f>
        <v>0</v>
      </c>
      <c r="F312" s="388">
        <f>$F$10*'D) Ecrêtage'!C306</f>
        <v>179263.37388370399</v>
      </c>
      <c r="G312" s="57">
        <f t="shared" si="4"/>
        <v>202169.62888370399</v>
      </c>
    </row>
    <row r="313" spans="1:7" x14ac:dyDescent="0.25">
      <c r="A313" s="49">
        <f>'A) Base RI'!A309</f>
        <v>5932</v>
      </c>
      <c r="B313" s="285" t="str">
        <f>'A) Base RI'!B309</f>
        <v>Ursins</v>
      </c>
      <c r="C313" s="10">
        <f>'A) Base RI'!AO309</f>
        <v>225</v>
      </c>
      <c r="D313" s="388">
        <f>'C) Prél. conj.'!H307</f>
        <v>23261.875</v>
      </c>
      <c r="E313" s="10">
        <f>'D) Ecrêtage'!M307</f>
        <v>0</v>
      </c>
      <c r="F313" s="388">
        <f>$F$10*'D) Ecrêtage'!C307</f>
        <v>121619.03857761036</v>
      </c>
      <c r="G313" s="57">
        <f t="shared" si="4"/>
        <v>144880.91357761036</v>
      </c>
    </row>
    <row r="314" spans="1:7" x14ac:dyDescent="0.25">
      <c r="A314" s="49">
        <f>'A) Base RI'!A310</f>
        <v>5933</v>
      </c>
      <c r="B314" s="285" t="str">
        <f>'A) Base RI'!B310</f>
        <v>Valeyres-sous-Montagny</v>
      </c>
      <c r="C314" s="10">
        <f>'A) Base RI'!AO310</f>
        <v>709</v>
      </c>
      <c r="D314" s="388">
        <f>'C) Prél. conj.'!H308</f>
        <v>68492.864999999991</v>
      </c>
      <c r="E314" s="10">
        <f>'D) Ecrêtage'!M308</f>
        <v>0</v>
      </c>
      <c r="F314" s="388">
        <f>$F$10*'D) Ecrêtage'!C308</f>
        <v>325198.51022251783</v>
      </c>
      <c r="G314" s="57">
        <f t="shared" si="4"/>
        <v>393691.37522251782</v>
      </c>
    </row>
    <row r="315" spans="1:7" x14ac:dyDescent="0.25">
      <c r="A315" s="49">
        <f>'A) Base RI'!A311</f>
        <v>5934</v>
      </c>
      <c r="B315" s="285" t="str">
        <f>'A) Base RI'!B311</f>
        <v>Valeyres-sous-Ursins</v>
      </c>
      <c r="C315" s="10">
        <f>'A) Base RI'!AO311</f>
        <v>227</v>
      </c>
      <c r="D315" s="388">
        <f>'C) Prél. conj.'!H309</f>
        <v>18759.175000000003</v>
      </c>
      <c r="E315" s="10">
        <f>'D) Ecrêtage'!M309</f>
        <v>0</v>
      </c>
      <c r="F315" s="388">
        <f>$F$10*'D) Ecrêtage'!C309</f>
        <v>111110.09373665741</v>
      </c>
      <c r="G315" s="57">
        <f t="shared" si="4"/>
        <v>129869.26873665741</v>
      </c>
    </row>
    <row r="316" spans="1:7" x14ac:dyDescent="0.25">
      <c r="A316" s="49">
        <f>'A) Base RI'!A312</f>
        <v>5935</v>
      </c>
      <c r="B316" s="285" t="str">
        <f>'A) Base RI'!B312</f>
        <v>Villars-Epeney</v>
      </c>
      <c r="C316" s="10">
        <f>'A) Base RI'!AO312</f>
        <v>102</v>
      </c>
      <c r="D316" s="388">
        <f>'C) Prél. conj.'!H310</f>
        <v>550</v>
      </c>
      <c r="E316" s="10">
        <f>'D) Ecrêtage'!M310</f>
        <v>626.25848661026191</v>
      </c>
      <c r="F316" s="388">
        <f>$F$10*'D) Ecrêtage'!C310</f>
        <v>71383.082156405144</v>
      </c>
      <c r="G316" s="57">
        <f t="shared" si="4"/>
        <v>72559.340643015399</v>
      </c>
    </row>
    <row r="317" spans="1:7" x14ac:dyDescent="0.25">
      <c r="A317" s="49">
        <f>'A) Base RI'!A313</f>
        <v>5937</v>
      </c>
      <c r="B317" s="285" t="str">
        <f>'A) Base RI'!B313</f>
        <v>Vugelles-La Mothe</v>
      </c>
      <c r="C317" s="10">
        <f>'A) Base RI'!AO313</f>
        <v>135</v>
      </c>
      <c r="D317" s="388">
        <f>'C) Prél. conj.'!H311</f>
        <v>17226.055</v>
      </c>
      <c r="E317" s="10">
        <f>'D) Ecrêtage'!M311</f>
        <v>0</v>
      </c>
      <c r="F317" s="388">
        <f>$F$10*'D) Ecrêtage'!C311</f>
        <v>43844.158679869732</v>
      </c>
      <c r="G317" s="57">
        <f t="shared" si="4"/>
        <v>61070.213679869732</v>
      </c>
    </row>
    <row r="318" spans="1:7" x14ac:dyDescent="0.25">
      <c r="A318" s="49">
        <f>'A) Base RI'!A314</f>
        <v>5938</v>
      </c>
      <c r="B318" s="285" t="str">
        <f>'A) Base RI'!B314</f>
        <v>Yverdon-les-Bains</v>
      </c>
      <c r="C318" s="10">
        <f>'A) Base RI'!AO314</f>
        <v>30189</v>
      </c>
      <c r="D318" s="388">
        <f>'C) Prél. conj.'!H312</f>
        <v>3188812.5999999996</v>
      </c>
      <c r="E318" s="10">
        <f>'D) Ecrêtage'!M312</f>
        <v>0</v>
      </c>
      <c r="F318" s="388">
        <f>$F$10*'D) Ecrêtage'!C312</f>
        <v>11582847.355779978</v>
      </c>
      <c r="G318" s="57">
        <f t="shared" si="4"/>
        <v>14771659.955779977</v>
      </c>
    </row>
    <row r="319" spans="1:7" x14ac:dyDescent="0.25">
      <c r="A319" s="49">
        <f>'A) Base RI'!A315</f>
        <v>5939</v>
      </c>
      <c r="B319" s="285" t="str">
        <f>'A) Base RI'!B315</f>
        <v>Yvonand</v>
      </c>
      <c r="C319" s="10">
        <f>'A) Base RI'!AO315</f>
        <v>3434</v>
      </c>
      <c r="D319" s="388">
        <f>'C) Prél. conj.'!H313</f>
        <v>654394.505</v>
      </c>
      <c r="E319" s="10">
        <f>'D) Ecrêtage'!M313</f>
        <v>0</v>
      </c>
      <c r="F319" s="388">
        <f>$F$10*'D) Ecrêtage'!C313</f>
        <v>1397464.8351681426</v>
      </c>
      <c r="G319" s="57">
        <f t="shared" si="4"/>
        <v>2051859.3401681427</v>
      </c>
    </row>
    <row r="320" spans="1:7" x14ac:dyDescent="0.25">
      <c r="A320" s="30"/>
      <c r="B320" s="292">
        <f>COUNTA(B11:B319)</f>
        <v>309</v>
      </c>
      <c r="C320" s="11">
        <f>SUM(C11:C319)</f>
        <v>806088</v>
      </c>
      <c r="D320" s="293">
        <f>SUM(D11:D319)</f>
        <v>141029667.09</v>
      </c>
      <c r="E320" s="11">
        <f>SUM(E11:E319)</f>
        <v>126557533.05453105</v>
      </c>
      <c r="F320" s="293">
        <f>SUM(F11:F319)</f>
        <v>558068759.85546887</v>
      </c>
      <c r="G320" s="37">
        <f>SUM(G11:G319)</f>
        <v>825655960</v>
      </c>
    </row>
    <row r="321" spans="1:13" x14ac:dyDescent="0.25">
      <c r="C321" s="464"/>
      <c r="D321" s="464"/>
      <c r="E321" s="464"/>
      <c r="F321" s="464"/>
      <c r="G321" s="464"/>
    </row>
    <row r="322" spans="1:13" x14ac:dyDescent="0.25">
      <c r="A322" s="75"/>
      <c r="B322" s="76"/>
      <c r="C322" s="76"/>
      <c r="D322" s="45"/>
      <c r="E322" s="77"/>
      <c r="F322" s="16"/>
      <c r="G322" s="16"/>
      <c r="H322" s="16"/>
      <c r="I322" s="16"/>
      <c r="J322" s="16"/>
      <c r="M322" s="16"/>
    </row>
    <row r="323" spans="1:13" x14ac:dyDescent="0.25">
      <c r="F323" s="75"/>
      <c r="G323" s="75"/>
      <c r="H323" s="75"/>
      <c r="I323" s="75"/>
      <c r="J323" s="75"/>
      <c r="K323" s="75"/>
      <c r="L323" s="76"/>
      <c r="M323" s="75"/>
    </row>
    <row r="324" spans="1:13" x14ac:dyDescent="0.25">
      <c r="F324" s="76"/>
      <c r="G324" s="75"/>
      <c r="H324" s="75"/>
      <c r="I324" s="75"/>
      <c r="J324" s="75"/>
      <c r="K324" s="75"/>
      <c r="L324" s="75"/>
      <c r="M324" s="75"/>
    </row>
    <row r="325" spans="1:13" x14ac:dyDescent="0.25">
      <c r="F325" s="76"/>
      <c r="G325" s="75"/>
      <c r="H325" s="75"/>
      <c r="I325" s="75"/>
      <c r="M325" s="75"/>
    </row>
    <row r="326" spans="1:13" x14ac:dyDescent="0.25">
      <c r="F326" s="76"/>
      <c r="G326" s="75"/>
      <c r="H326" s="75"/>
      <c r="I326" s="75"/>
      <c r="M326" s="75"/>
    </row>
    <row r="327" spans="1:13" x14ac:dyDescent="0.25">
      <c r="F327" s="88"/>
      <c r="G327" s="75"/>
      <c r="H327" s="75"/>
      <c r="I327" s="75"/>
      <c r="M327" s="75"/>
    </row>
    <row r="328" spans="1:13" x14ac:dyDescent="0.25">
      <c r="D328" s="17"/>
      <c r="E328" s="75"/>
      <c r="F328" s="75"/>
      <c r="G328" s="75"/>
      <c r="H328" s="75"/>
      <c r="I328" s="75"/>
      <c r="J328" s="75"/>
      <c r="K328" s="75"/>
      <c r="L328" s="75"/>
      <c r="M328" s="75"/>
    </row>
    <row r="329" spans="1:13" x14ac:dyDescent="0.25">
      <c r="C329" s="61"/>
      <c r="E329" s="75"/>
      <c r="F329" s="75"/>
      <c r="G329" s="75"/>
      <c r="H329" s="75"/>
      <c r="I329" s="75"/>
      <c r="J329" s="75"/>
      <c r="K329" s="75"/>
      <c r="L329" s="75"/>
      <c r="M329" s="75"/>
    </row>
    <row r="330" spans="1:13" x14ac:dyDescent="0.25">
      <c r="E330" s="75"/>
      <c r="F330" s="75"/>
      <c r="G330" s="75"/>
      <c r="H330" s="75"/>
      <c r="I330" s="75"/>
      <c r="J330" s="75"/>
      <c r="M330" s="75"/>
    </row>
    <row r="331" spans="1:13" x14ac:dyDescent="0.25">
      <c r="E331" s="75"/>
      <c r="F331" s="75"/>
      <c r="G331" s="75"/>
      <c r="H331" s="75"/>
      <c r="I331" s="75"/>
      <c r="J331" s="75"/>
      <c r="M331" s="75"/>
    </row>
    <row r="332" spans="1:13" x14ac:dyDescent="0.25">
      <c r="E332" s="75"/>
      <c r="F332" s="75"/>
      <c r="G332" s="75"/>
      <c r="H332" s="75"/>
      <c r="I332" s="75"/>
      <c r="J332" s="75"/>
      <c r="M332" s="75"/>
    </row>
  </sheetData>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00B050"/>
  </sheetPr>
  <dimension ref="A1:L328"/>
  <sheetViews>
    <sheetView workbookViewId="0"/>
  </sheetViews>
  <sheetFormatPr baseColWidth="10" defaultColWidth="11" defaultRowHeight="15" x14ac:dyDescent="0.25"/>
  <cols>
    <col min="1" max="1" width="7.25" style="13" customWidth="1"/>
    <col min="2" max="2" width="17.375" style="13" bestFit="1" customWidth="1"/>
    <col min="3" max="3" width="9.5" style="13" customWidth="1"/>
    <col min="4" max="9" width="11" style="13"/>
    <col min="10" max="10" width="8.25" style="13" bestFit="1" customWidth="1"/>
    <col min="11" max="11" width="10.75" style="13" bestFit="1" customWidth="1"/>
    <col min="12" max="16384" width="11" style="13"/>
  </cols>
  <sheetData>
    <row r="1" spans="1:12" ht="21" x14ac:dyDescent="0.25">
      <c r="A1" s="51" t="s">
        <v>451</v>
      </c>
      <c r="B1" s="42"/>
      <c r="C1" s="71"/>
    </row>
    <row r="2" spans="1:12" x14ac:dyDescent="0.25">
      <c r="A2" s="27"/>
      <c r="B2" s="53"/>
    </row>
    <row r="3" spans="1:12" x14ac:dyDescent="0.25">
      <c r="A3" s="27"/>
      <c r="B3" s="53"/>
      <c r="C3" s="578" t="s">
        <v>308</v>
      </c>
      <c r="D3" s="579"/>
      <c r="E3" s="579"/>
      <c r="F3" s="579"/>
      <c r="G3" s="579"/>
      <c r="H3" s="579"/>
      <c r="I3" s="579"/>
      <c r="J3" s="580"/>
    </row>
    <row r="4" spans="1:12" x14ac:dyDescent="0.25">
      <c r="C4" s="108" t="s">
        <v>307</v>
      </c>
      <c r="D4" s="105">
        <f>Paramètres!B24</f>
        <v>0</v>
      </c>
      <c r="E4" s="105">
        <f>Paramètres!C24</f>
        <v>1000</v>
      </c>
      <c r="F4" s="105">
        <f>Paramètres!D24</f>
        <v>3000</v>
      </c>
      <c r="G4" s="105">
        <f>Paramètres!E24</f>
        <v>5000</v>
      </c>
      <c r="H4" s="105">
        <f>Paramètres!F24</f>
        <v>9000</v>
      </c>
      <c r="I4" s="105">
        <f>Paramètres!G24</f>
        <v>12000</v>
      </c>
      <c r="J4" s="105">
        <f>Paramètres!H24</f>
        <v>15000</v>
      </c>
    </row>
    <row r="5" spans="1:12" x14ac:dyDescent="0.25">
      <c r="C5" s="109" t="s">
        <v>309</v>
      </c>
      <c r="D5" s="105">
        <f>Paramètres!B25</f>
        <v>1000</v>
      </c>
      <c r="E5" s="105">
        <f>Paramètres!C25</f>
        <v>3000</v>
      </c>
      <c r="F5" s="105">
        <f>Paramètres!D25</f>
        <v>5000</v>
      </c>
      <c r="G5" s="105">
        <f>Paramètres!E25</f>
        <v>9000</v>
      </c>
      <c r="H5" s="105">
        <f>Paramètres!F25</f>
        <v>12000</v>
      </c>
      <c r="I5" s="105">
        <f>Paramètres!G25</f>
        <v>15000</v>
      </c>
      <c r="J5" s="105"/>
    </row>
    <row r="6" spans="1:12" ht="30" customHeight="1" x14ac:dyDescent="0.25">
      <c r="A6" s="559" t="s">
        <v>46</v>
      </c>
      <c r="B6" s="559" t="s">
        <v>96</v>
      </c>
      <c r="C6" s="559" t="s">
        <v>304</v>
      </c>
      <c r="D6" s="566" t="s">
        <v>310</v>
      </c>
      <c r="E6" s="567"/>
      <c r="F6" s="567"/>
      <c r="G6" s="567"/>
      <c r="H6" s="567"/>
      <c r="I6" s="567"/>
      <c r="J6" s="568"/>
      <c r="K6" s="577" t="s">
        <v>295</v>
      </c>
    </row>
    <row r="7" spans="1:12" x14ac:dyDescent="0.25">
      <c r="A7" s="560"/>
      <c r="B7" s="560"/>
      <c r="C7" s="561"/>
      <c r="D7" s="265">
        <f>Paramètres!B29</f>
        <v>125.62877263581488</v>
      </c>
      <c r="E7" s="265">
        <f>Paramètres!C29</f>
        <v>351.76056338028167</v>
      </c>
      <c r="F7" s="265">
        <f>Paramètres!D29</f>
        <v>502.51509054325953</v>
      </c>
      <c r="G7" s="265">
        <f>Paramètres!E29</f>
        <v>603.01810865191146</v>
      </c>
      <c r="H7" s="265">
        <f>Paramètres!F29</f>
        <v>854.2756539235412</v>
      </c>
      <c r="I7" s="265">
        <f>Paramètres!G29</f>
        <v>1005.0301810865191</v>
      </c>
      <c r="J7" s="265">
        <f>Paramètres!H29</f>
        <v>1055.2816901408451</v>
      </c>
      <c r="K7" s="577"/>
    </row>
    <row r="8" spans="1:12" x14ac:dyDescent="0.25">
      <c r="A8" s="46">
        <f>'A) Base RI'!A7</f>
        <v>5401</v>
      </c>
      <c r="B8" s="291" t="str">
        <f>'A) Base RI'!B7</f>
        <v>Aigle</v>
      </c>
      <c r="C8" s="14">
        <f>'A) Base RI'!AO7</f>
        <v>10217</v>
      </c>
      <c r="D8" s="10">
        <f>IF($C8&gt;D$4,IF($C8&lt;D$5,$C8-D$4,D$5-D$4),0)</f>
        <v>1000</v>
      </c>
      <c r="E8" s="14">
        <f t="shared" ref="E8:I23" si="0">IF($C8&gt;E$4,IF($C8&lt;E$5,$C8-E$4,E$5-E$4),0)</f>
        <v>2000</v>
      </c>
      <c r="F8" s="10">
        <f t="shared" si="0"/>
        <v>2000</v>
      </c>
      <c r="G8" s="14">
        <f t="shared" si="0"/>
        <v>4000</v>
      </c>
      <c r="H8" s="41">
        <f t="shared" si="0"/>
        <v>1217</v>
      </c>
      <c r="I8" s="10">
        <f t="shared" si="0"/>
        <v>0</v>
      </c>
      <c r="J8" s="10">
        <f>IF(C8&gt;$J$4,C8-$J$4,0)</f>
        <v>0</v>
      </c>
      <c r="K8" s="118">
        <f>(D8*D$7)+(E8*E$7)+(F8*F$7)+(G8*G$7)+(H8*H$7)+(I8*I$7)+(J8*J$7)</f>
        <v>5285905.9859154932</v>
      </c>
    </row>
    <row r="9" spans="1:12" x14ac:dyDescent="0.25">
      <c r="A9" s="49">
        <f>'A) Base RI'!A8</f>
        <v>5402</v>
      </c>
      <c r="B9" s="32" t="str">
        <f>'A) Base RI'!B8</f>
        <v>Bex</v>
      </c>
      <c r="C9" s="14">
        <f>'A) Base RI'!AO8</f>
        <v>7869</v>
      </c>
      <c r="D9" s="10">
        <f t="shared" ref="D9:I63" si="1">IF($C9&gt;D$4,IF($C9&lt;D$5,$C9-D$4,D$5-D$4),0)</f>
        <v>1000</v>
      </c>
      <c r="E9" s="14">
        <f t="shared" si="0"/>
        <v>2000</v>
      </c>
      <c r="F9" s="10">
        <f t="shared" si="0"/>
        <v>2000</v>
      </c>
      <c r="G9" s="14">
        <f t="shared" si="0"/>
        <v>2869</v>
      </c>
      <c r="H9" s="41">
        <f t="shared" si="0"/>
        <v>0</v>
      </c>
      <c r="I9" s="10">
        <f t="shared" si="0"/>
        <v>0</v>
      </c>
      <c r="J9" s="10">
        <f t="shared" ref="J9:J72" si="2">IF(C9&gt;$J$4,C9-$J$4,0)</f>
        <v>0</v>
      </c>
      <c r="K9" s="118">
        <f t="shared" ref="K9:K72" si="3">(D9*D$7)+(E9*E$7)+(F9*F$7)+(G9*G$7)+(H9*H$7)+(I9*I$7)+(J9*J$7)</f>
        <v>3564239.0342052313</v>
      </c>
    </row>
    <row r="10" spans="1:12" x14ac:dyDescent="0.25">
      <c r="A10" s="49">
        <f>'A) Base RI'!A9</f>
        <v>5403</v>
      </c>
      <c r="B10" s="32" t="str">
        <f>'A) Base RI'!B9</f>
        <v>Chessel</v>
      </c>
      <c r="C10" s="14">
        <f>'A) Base RI'!AO9</f>
        <v>429</v>
      </c>
      <c r="D10" s="10">
        <f t="shared" si="1"/>
        <v>429</v>
      </c>
      <c r="E10" s="14">
        <f t="shared" si="0"/>
        <v>0</v>
      </c>
      <c r="F10" s="10">
        <f t="shared" si="0"/>
        <v>0</v>
      </c>
      <c r="G10" s="14">
        <f t="shared" si="0"/>
        <v>0</v>
      </c>
      <c r="H10" s="41">
        <f t="shared" si="0"/>
        <v>0</v>
      </c>
      <c r="I10" s="10">
        <f t="shared" si="0"/>
        <v>0</v>
      </c>
      <c r="J10" s="10">
        <f t="shared" si="2"/>
        <v>0</v>
      </c>
      <c r="K10" s="118">
        <f t="shared" si="3"/>
        <v>53894.743460764585</v>
      </c>
    </row>
    <row r="11" spans="1:12" x14ac:dyDescent="0.25">
      <c r="A11" s="49">
        <f>'A) Base RI'!A10</f>
        <v>5404</v>
      </c>
      <c r="B11" s="32" t="str">
        <f>'A) Base RI'!B10</f>
        <v>Corbeyrier</v>
      </c>
      <c r="C11" s="14">
        <f>'A) Base RI'!AO10</f>
        <v>437</v>
      </c>
      <c r="D11" s="10">
        <f t="shared" si="1"/>
        <v>437</v>
      </c>
      <c r="E11" s="14">
        <f t="shared" si="0"/>
        <v>0</v>
      </c>
      <c r="F11" s="10">
        <f t="shared" si="0"/>
        <v>0</v>
      </c>
      <c r="G11" s="14">
        <f t="shared" si="0"/>
        <v>0</v>
      </c>
      <c r="H11" s="41">
        <f t="shared" si="0"/>
        <v>0</v>
      </c>
      <c r="I11" s="10">
        <f t="shared" si="0"/>
        <v>0</v>
      </c>
      <c r="J11" s="10">
        <f t="shared" si="2"/>
        <v>0</v>
      </c>
      <c r="K11" s="118">
        <f t="shared" si="3"/>
        <v>54899.773641851105</v>
      </c>
    </row>
    <row r="12" spans="1:12" x14ac:dyDescent="0.25">
      <c r="A12" s="49">
        <f>'A) Base RI'!A11</f>
        <v>5405</v>
      </c>
      <c r="B12" s="32" t="str">
        <f>'A) Base RI'!B11</f>
        <v>Gryon</v>
      </c>
      <c r="C12" s="14">
        <f>'A) Base RI'!AO11</f>
        <v>1347</v>
      </c>
      <c r="D12" s="10">
        <f t="shared" si="1"/>
        <v>1000</v>
      </c>
      <c r="E12" s="14">
        <f t="shared" si="0"/>
        <v>347</v>
      </c>
      <c r="F12" s="10">
        <f t="shared" si="0"/>
        <v>0</v>
      </c>
      <c r="G12" s="14">
        <f t="shared" si="0"/>
        <v>0</v>
      </c>
      <c r="H12" s="41">
        <f t="shared" si="0"/>
        <v>0</v>
      </c>
      <c r="I12" s="10">
        <f t="shared" si="0"/>
        <v>0</v>
      </c>
      <c r="J12" s="10">
        <f t="shared" si="2"/>
        <v>0</v>
      </c>
      <c r="K12" s="118">
        <f t="shared" si="3"/>
        <v>247689.6881287726</v>
      </c>
    </row>
    <row r="13" spans="1:12" x14ac:dyDescent="0.25">
      <c r="A13" s="49">
        <f>'A) Base RI'!A12</f>
        <v>5406</v>
      </c>
      <c r="B13" s="32" t="str">
        <f>'A) Base RI'!B12</f>
        <v>Lavey-Morcles</v>
      </c>
      <c r="C13" s="14">
        <f>'A) Base RI'!AO12</f>
        <v>931</v>
      </c>
      <c r="D13" s="10">
        <f t="shared" si="1"/>
        <v>931</v>
      </c>
      <c r="E13" s="14">
        <f t="shared" si="0"/>
        <v>0</v>
      </c>
      <c r="F13" s="10">
        <f t="shared" si="0"/>
        <v>0</v>
      </c>
      <c r="G13" s="14">
        <f t="shared" si="0"/>
        <v>0</v>
      </c>
      <c r="H13" s="41">
        <f t="shared" si="0"/>
        <v>0</v>
      </c>
      <c r="I13" s="10">
        <f t="shared" si="0"/>
        <v>0</v>
      </c>
      <c r="J13" s="10">
        <f t="shared" si="2"/>
        <v>0</v>
      </c>
      <c r="K13" s="118">
        <f t="shared" si="3"/>
        <v>116960.38732394365</v>
      </c>
    </row>
    <row r="14" spans="1:12" x14ac:dyDescent="0.25">
      <c r="A14" s="49">
        <f>'A) Base RI'!A13</f>
        <v>5407</v>
      </c>
      <c r="B14" s="32" t="str">
        <f>'A) Base RI'!B13</f>
        <v>Leysin</v>
      </c>
      <c r="C14" s="14">
        <f>'A) Base RI'!AO13</f>
        <v>3776</v>
      </c>
      <c r="D14" s="10">
        <f t="shared" si="1"/>
        <v>1000</v>
      </c>
      <c r="E14" s="14">
        <f t="shared" si="0"/>
        <v>2000</v>
      </c>
      <c r="F14" s="10">
        <f t="shared" si="0"/>
        <v>776</v>
      </c>
      <c r="G14" s="14">
        <f t="shared" si="0"/>
        <v>0</v>
      </c>
      <c r="H14" s="41">
        <f t="shared" si="0"/>
        <v>0</v>
      </c>
      <c r="I14" s="10">
        <f t="shared" si="0"/>
        <v>0</v>
      </c>
      <c r="J14" s="10">
        <f t="shared" si="2"/>
        <v>0</v>
      </c>
      <c r="K14" s="118">
        <f t="shared" si="3"/>
        <v>1219101.6096579477</v>
      </c>
      <c r="L14" s="12"/>
    </row>
    <row r="15" spans="1:12" x14ac:dyDescent="0.25">
      <c r="A15" s="49">
        <f>'A) Base RI'!A14</f>
        <v>5408</v>
      </c>
      <c r="B15" s="32" t="str">
        <f>'A) Base RI'!B14</f>
        <v>Noville</v>
      </c>
      <c r="C15" s="14">
        <f>'A) Base RI'!AO14</f>
        <v>1167</v>
      </c>
      <c r="D15" s="10">
        <f t="shared" si="1"/>
        <v>1000</v>
      </c>
      <c r="E15" s="14">
        <f t="shared" si="0"/>
        <v>167</v>
      </c>
      <c r="F15" s="10">
        <f t="shared" si="0"/>
        <v>0</v>
      </c>
      <c r="G15" s="14">
        <f t="shared" si="0"/>
        <v>0</v>
      </c>
      <c r="H15" s="41">
        <f t="shared" si="0"/>
        <v>0</v>
      </c>
      <c r="I15" s="10">
        <f t="shared" si="0"/>
        <v>0</v>
      </c>
      <c r="J15" s="10">
        <f t="shared" si="2"/>
        <v>0</v>
      </c>
      <c r="K15" s="118">
        <f t="shared" si="3"/>
        <v>184372.78672032192</v>
      </c>
    </row>
    <row r="16" spans="1:12" x14ac:dyDescent="0.25">
      <c r="A16" s="49">
        <f>'A) Base RI'!A15</f>
        <v>5409</v>
      </c>
      <c r="B16" s="32" t="str">
        <f>'A) Base RI'!B15</f>
        <v>Ollon</v>
      </c>
      <c r="C16" s="14">
        <f>'A) Base RI'!AO15</f>
        <v>7560</v>
      </c>
      <c r="D16" s="10">
        <f t="shared" si="1"/>
        <v>1000</v>
      </c>
      <c r="E16" s="14">
        <f t="shared" si="0"/>
        <v>2000</v>
      </c>
      <c r="F16" s="10">
        <f t="shared" si="0"/>
        <v>2000</v>
      </c>
      <c r="G16" s="14">
        <f t="shared" si="0"/>
        <v>2560</v>
      </c>
      <c r="H16" s="41">
        <f t="shared" si="0"/>
        <v>0</v>
      </c>
      <c r="I16" s="10">
        <f t="shared" si="0"/>
        <v>0</v>
      </c>
      <c r="J16" s="10">
        <f t="shared" si="2"/>
        <v>0</v>
      </c>
      <c r="K16" s="118">
        <f t="shared" si="3"/>
        <v>3377906.4386317907</v>
      </c>
    </row>
    <row r="17" spans="1:11" x14ac:dyDescent="0.25">
      <c r="A17" s="49">
        <f>'A) Base RI'!A16</f>
        <v>5410</v>
      </c>
      <c r="B17" s="32" t="str">
        <f>'A) Base RI'!B16</f>
        <v>Ormont-Dessous</v>
      </c>
      <c r="C17" s="14">
        <f>'A) Base RI'!AO16</f>
        <v>1141</v>
      </c>
      <c r="D17" s="10">
        <f t="shared" si="1"/>
        <v>1000</v>
      </c>
      <c r="E17" s="14">
        <f t="shared" si="0"/>
        <v>141</v>
      </c>
      <c r="F17" s="10">
        <f t="shared" si="0"/>
        <v>0</v>
      </c>
      <c r="G17" s="14">
        <f t="shared" si="0"/>
        <v>0</v>
      </c>
      <c r="H17" s="41">
        <f t="shared" si="0"/>
        <v>0</v>
      </c>
      <c r="I17" s="10">
        <f t="shared" si="0"/>
        <v>0</v>
      </c>
      <c r="J17" s="10">
        <f t="shared" si="2"/>
        <v>0</v>
      </c>
      <c r="K17" s="118">
        <f t="shared" si="3"/>
        <v>175227.01207243459</v>
      </c>
    </row>
    <row r="18" spans="1:11" x14ac:dyDescent="0.25">
      <c r="A18" s="49">
        <f>'A) Base RI'!A17</f>
        <v>5411</v>
      </c>
      <c r="B18" s="32" t="str">
        <f>'A) Base RI'!B17</f>
        <v>Ormont-Dessus</v>
      </c>
      <c r="C18" s="14">
        <f>'A) Base RI'!AO17</f>
        <v>1434</v>
      </c>
      <c r="D18" s="10">
        <f t="shared" si="1"/>
        <v>1000</v>
      </c>
      <c r="E18" s="14">
        <f t="shared" si="0"/>
        <v>434</v>
      </c>
      <c r="F18" s="10">
        <f t="shared" si="0"/>
        <v>0</v>
      </c>
      <c r="G18" s="14">
        <f t="shared" si="0"/>
        <v>0</v>
      </c>
      <c r="H18" s="41">
        <f t="shared" si="0"/>
        <v>0</v>
      </c>
      <c r="I18" s="10">
        <f t="shared" si="0"/>
        <v>0</v>
      </c>
      <c r="J18" s="10">
        <f t="shared" si="2"/>
        <v>0</v>
      </c>
      <c r="K18" s="118">
        <f t="shared" si="3"/>
        <v>278292.85714285716</v>
      </c>
    </row>
    <row r="19" spans="1:11" x14ac:dyDescent="0.25">
      <c r="A19" s="49">
        <f>'A) Base RI'!A18</f>
        <v>5412</v>
      </c>
      <c r="B19" s="32" t="str">
        <f>'A) Base RI'!B18</f>
        <v>Rennaz</v>
      </c>
      <c r="C19" s="14">
        <f>'A) Base RI'!AO18</f>
        <v>871</v>
      </c>
      <c r="D19" s="10">
        <f t="shared" si="1"/>
        <v>871</v>
      </c>
      <c r="E19" s="14">
        <f t="shared" si="0"/>
        <v>0</v>
      </c>
      <c r="F19" s="10">
        <f t="shared" si="0"/>
        <v>0</v>
      </c>
      <c r="G19" s="14">
        <f t="shared" si="0"/>
        <v>0</v>
      </c>
      <c r="H19" s="41">
        <f t="shared" si="0"/>
        <v>0</v>
      </c>
      <c r="I19" s="10">
        <f t="shared" si="0"/>
        <v>0</v>
      </c>
      <c r="J19" s="10">
        <f t="shared" si="2"/>
        <v>0</v>
      </c>
      <c r="K19" s="118">
        <f t="shared" si="3"/>
        <v>109422.66096579477</v>
      </c>
    </row>
    <row r="20" spans="1:11" x14ac:dyDescent="0.25">
      <c r="A20" s="49">
        <f>'A) Base RI'!A19</f>
        <v>5413</v>
      </c>
      <c r="B20" s="32" t="str">
        <f>'A) Base RI'!B19</f>
        <v>Roche</v>
      </c>
      <c r="C20" s="14">
        <f>'A) Base RI'!AO19</f>
        <v>1826</v>
      </c>
      <c r="D20" s="10">
        <f t="shared" si="1"/>
        <v>1000</v>
      </c>
      <c r="E20" s="14">
        <f t="shared" si="0"/>
        <v>826</v>
      </c>
      <c r="F20" s="10">
        <f t="shared" si="0"/>
        <v>0</v>
      </c>
      <c r="G20" s="14">
        <f t="shared" si="0"/>
        <v>0</v>
      </c>
      <c r="H20" s="41">
        <f t="shared" si="0"/>
        <v>0</v>
      </c>
      <c r="I20" s="10">
        <f t="shared" si="0"/>
        <v>0</v>
      </c>
      <c r="J20" s="10">
        <f t="shared" si="2"/>
        <v>0</v>
      </c>
      <c r="K20" s="118">
        <f t="shared" si="3"/>
        <v>416182.99798792752</v>
      </c>
    </row>
    <row r="21" spans="1:11" x14ac:dyDescent="0.25">
      <c r="A21" s="49">
        <f>'A) Base RI'!A20</f>
        <v>5414</v>
      </c>
      <c r="B21" s="32" t="str">
        <f>'A) Base RI'!B20</f>
        <v>Villeneuve</v>
      </c>
      <c r="C21" s="14">
        <f>'A) Base RI'!AO20</f>
        <v>5772</v>
      </c>
      <c r="D21" s="10">
        <f t="shared" si="1"/>
        <v>1000</v>
      </c>
      <c r="E21" s="14">
        <f t="shared" si="0"/>
        <v>2000</v>
      </c>
      <c r="F21" s="10">
        <f t="shared" si="0"/>
        <v>2000</v>
      </c>
      <c r="G21" s="14">
        <f t="shared" si="0"/>
        <v>772</v>
      </c>
      <c r="H21" s="41">
        <f t="shared" si="0"/>
        <v>0</v>
      </c>
      <c r="I21" s="10">
        <f t="shared" si="0"/>
        <v>0</v>
      </c>
      <c r="J21" s="10">
        <f t="shared" si="2"/>
        <v>0</v>
      </c>
      <c r="K21" s="118">
        <f t="shared" si="3"/>
        <v>2299710.0603621732</v>
      </c>
    </row>
    <row r="22" spans="1:11" x14ac:dyDescent="0.25">
      <c r="A22" s="49">
        <f>'A) Base RI'!A21</f>
        <v>5415</v>
      </c>
      <c r="B22" s="32" t="str">
        <f>'A) Base RI'!B21</f>
        <v>Yvorne</v>
      </c>
      <c r="C22" s="14">
        <f>'A) Base RI'!AO21</f>
        <v>1071</v>
      </c>
      <c r="D22" s="10">
        <f t="shared" si="1"/>
        <v>1000</v>
      </c>
      <c r="E22" s="14">
        <f t="shared" si="0"/>
        <v>71</v>
      </c>
      <c r="F22" s="10">
        <f t="shared" si="0"/>
        <v>0</v>
      </c>
      <c r="G22" s="14">
        <f t="shared" si="0"/>
        <v>0</v>
      </c>
      <c r="H22" s="41">
        <f t="shared" si="0"/>
        <v>0</v>
      </c>
      <c r="I22" s="10">
        <f t="shared" si="0"/>
        <v>0</v>
      </c>
      <c r="J22" s="10">
        <f t="shared" si="2"/>
        <v>0</v>
      </c>
      <c r="K22" s="118">
        <f t="shared" si="3"/>
        <v>150603.77263581488</v>
      </c>
    </row>
    <row r="23" spans="1:11" x14ac:dyDescent="0.25">
      <c r="A23" s="49">
        <f>'A) Base RI'!A22</f>
        <v>5421</v>
      </c>
      <c r="B23" s="32" t="str">
        <f>'A) Base RI'!B22</f>
        <v>Apples</v>
      </c>
      <c r="C23" s="14">
        <f>'A) Base RI'!AO22</f>
        <v>1460</v>
      </c>
      <c r="D23" s="10">
        <f t="shared" si="1"/>
        <v>1000</v>
      </c>
      <c r="E23" s="14">
        <f t="shared" si="0"/>
        <v>460</v>
      </c>
      <c r="F23" s="10">
        <f t="shared" si="0"/>
        <v>0</v>
      </c>
      <c r="G23" s="14">
        <f t="shared" si="0"/>
        <v>0</v>
      </c>
      <c r="H23" s="41">
        <f t="shared" si="0"/>
        <v>0</v>
      </c>
      <c r="I23" s="10">
        <f t="shared" si="0"/>
        <v>0</v>
      </c>
      <c r="J23" s="10">
        <f t="shared" si="2"/>
        <v>0</v>
      </c>
      <c r="K23" s="118">
        <f t="shared" si="3"/>
        <v>287438.63179074443</v>
      </c>
    </row>
    <row r="24" spans="1:11" x14ac:dyDescent="0.25">
      <c r="A24" s="49">
        <f>'A) Base RI'!A23</f>
        <v>5422</v>
      </c>
      <c r="B24" s="32" t="str">
        <f>'A) Base RI'!B23</f>
        <v>Aubonne</v>
      </c>
      <c r="C24" s="14">
        <f>'A) Base RI'!AO23</f>
        <v>3276</v>
      </c>
      <c r="D24" s="10">
        <f t="shared" si="1"/>
        <v>1000</v>
      </c>
      <c r="E24" s="14">
        <f t="shared" si="1"/>
        <v>2000</v>
      </c>
      <c r="F24" s="10">
        <f t="shared" si="1"/>
        <v>276</v>
      </c>
      <c r="G24" s="14">
        <f t="shared" si="1"/>
        <v>0</v>
      </c>
      <c r="H24" s="41">
        <f t="shared" si="1"/>
        <v>0</v>
      </c>
      <c r="I24" s="10">
        <f t="shared" si="1"/>
        <v>0</v>
      </c>
      <c r="J24" s="10">
        <f t="shared" si="2"/>
        <v>0</v>
      </c>
      <c r="K24" s="118">
        <f t="shared" si="3"/>
        <v>967844.06438631786</v>
      </c>
    </row>
    <row r="25" spans="1:11" x14ac:dyDescent="0.25">
      <c r="A25" s="49">
        <f>'A) Base RI'!A24</f>
        <v>5423</v>
      </c>
      <c r="B25" s="32" t="str">
        <f>'A) Base RI'!B24</f>
        <v>Ballens</v>
      </c>
      <c r="C25" s="14">
        <f>'A) Base RI'!AO24</f>
        <v>545</v>
      </c>
      <c r="D25" s="10">
        <f t="shared" si="1"/>
        <v>545</v>
      </c>
      <c r="E25" s="14">
        <f t="shared" si="1"/>
        <v>0</v>
      </c>
      <c r="F25" s="10">
        <f t="shared" si="1"/>
        <v>0</v>
      </c>
      <c r="G25" s="14">
        <f t="shared" si="1"/>
        <v>0</v>
      </c>
      <c r="H25" s="41">
        <f t="shared" si="1"/>
        <v>0</v>
      </c>
      <c r="I25" s="10">
        <f t="shared" si="1"/>
        <v>0</v>
      </c>
      <c r="J25" s="10">
        <f t="shared" si="2"/>
        <v>0</v>
      </c>
      <c r="K25" s="118">
        <f t="shared" si="3"/>
        <v>68467.681086519107</v>
      </c>
    </row>
    <row r="26" spans="1:11" x14ac:dyDescent="0.25">
      <c r="A26" s="49">
        <f>'A) Base RI'!A25</f>
        <v>5424</v>
      </c>
      <c r="B26" s="32" t="str">
        <f>'A) Base RI'!B25</f>
        <v>Berolle</v>
      </c>
      <c r="C26" s="14">
        <f>'A) Base RI'!AO25</f>
        <v>300</v>
      </c>
      <c r="D26" s="10">
        <f t="shared" si="1"/>
        <v>300</v>
      </c>
      <c r="E26" s="14">
        <f t="shared" si="1"/>
        <v>0</v>
      </c>
      <c r="F26" s="10">
        <f t="shared" si="1"/>
        <v>0</v>
      </c>
      <c r="G26" s="14">
        <f t="shared" si="1"/>
        <v>0</v>
      </c>
      <c r="H26" s="41">
        <f t="shared" si="1"/>
        <v>0</v>
      </c>
      <c r="I26" s="10">
        <f t="shared" si="1"/>
        <v>0</v>
      </c>
      <c r="J26" s="10">
        <f t="shared" si="2"/>
        <v>0</v>
      </c>
      <c r="K26" s="118">
        <f t="shared" si="3"/>
        <v>37688.631790744468</v>
      </c>
    </row>
    <row r="27" spans="1:11" x14ac:dyDescent="0.25">
      <c r="A27" s="49">
        <f>'A) Base RI'!A26</f>
        <v>5425</v>
      </c>
      <c r="B27" s="32" t="str">
        <f>'A) Base RI'!B26</f>
        <v>Bière</v>
      </c>
      <c r="C27" s="14">
        <f>'A) Base RI'!AO26</f>
        <v>1596</v>
      </c>
      <c r="D27" s="10">
        <f t="shared" si="1"/>
        <v>1000</v>
      </c>
      <c r="E27" s="14">
        <f t="shared" si="1"/>
        <v>596</v>
      </c>
      <c r="F27" s="10">
        <f t="shared" si="1"/>
        <v>0</v>
      </c>
      <c r="G27" s="14">
        <f t="shared" si="1"/>
        <v>0</v>
      </c>
      <c r="H27" s="41">
        <f t="shared" si="1"/>
        <v>0</v>
      </c>
      <c r="I27" s="10">
        <f t="shared" si="1"/>
        <v>0</v>
      </c>
      <c r="J27" s="10">
        <f t="shared" si="2"/>
        <v>0</v>
      </c>
      <c r="K27" s="118">
        <f t="shared" si="3"/>
        <v>335278.06841046276</v>
      </c>
    </row>
    <row r="28" spans="1:11" x14ac:dyDescent="0.25">
      <c r="A28" s="49">
        <f>'A) Base RI'!A27</f>
        <v>5426</v>
      </c>
      <c r="B28" s="32" t="str">
        <f>'A) Base RI'!B27</f>
        <v>Bougy-Villars</v>
      </c>
      <c r="C28" s="14">
        <f>'A) Base RI'!AO27</f>
        <v>475</v>
      </c>
      <c r="D28" s="10">
        <f t="shared" si="1"/>
        <v>475</v>
      </c>
      <c r="E28" s="14">
        <f t="shared" si="1"/>
        <v>0</v>
      </c>
      <c r="F28" s="10">
        <f t="shared" si="1"/>
        <v>0</v>
      </c>
      <c r="G28" s="14">
        <f t="shared" si="1"/>
        <v>0</v>
      </c>
      <c r="H28" s="41">
        <f t="shared" si="1"/>
        <v>0</v>
      </c>
      <c r="I28" s="10">
        <f t="shared" si="1"/>
        <v>0</v>
      </c>
      <c r="J28" s="10">
        <f t="shared" si="2"/>
        <v>0</v>
      </c>
      <c r="K28" s="118">
        <f t="shared" si="3"/>
        <v>59673.667002012073</v>
      </c>
    </row>
    <row r="29" spans="1:11" x14ac:dyDescent="0.25">
      <c r="A29" s="49">
        <f>'A) Base RI'!A28</f>
        <v>5427</v>
      </c>
      <c r="B29" s="32" t="str">
        <f>'A) Base RI'!B28</f>
        <v>Féchy</v>
      </c>
      <c r="C29" s="14">
        <f>'A) Base RI'!AO28</f>
        <v>861</v>
      </c>
      <c r="D29" s="10">
        <f t="shared" si="1"/>
        <v>861</v>
      </c>
      <c r="E29" s="14">
        <f t="shared" si="1"/>
        <v>0</v>
      </c>
      <c r="F29" s="10">
        <f t="shared" si="1"/>
        <v>0</v>
      </c>
      <c r="G29" s="14">
        <f t="shared" si="1"/>
        <v>0</v>
      </c>
      <c r="H29" s="41">
        <f t="shared" si="1"/>
        <v>0</v>
      </c>
      <c r="I29" s="10">
        <f t="shared" si="1"/>
        <v>0</v>
      </c>
      <c r="J29" s="10">
        <f t="shared" si="2"/>
        <v>0</v>
      </c>
      <c r="K29" s="118">
        <f t="shared" si="3"/>
        <v>108166.37323943661</v>
      </c>
    </row>
    <row r="30" spans="1:11" x14ac:dyDescent="0.25">
      <c r="A30" s="49">
        <f>'A) Base RI'!A29</f>
        <v>5428</v>
      </c>
      <c r="B30" s="32" t="str">
        <f>'A) Base RI'!B29</f>
        <v>Gimel</v>
      </c>
      <c r="C30" s="14">
        <f>'A) Base RI'!AO29</f>
        <v>2238</v>
      </c>
      <c r="D30" s="10">
        <f t="shared" si="1"/>
        <v>1000</v>
      </c>
      <c r="E30" s="14">
        <f t="shared" si="1"/>
        <v>1238</v>
      </c>
      <c r="F30" s="10">
        <f t="shared" si="1"/>
        <v>0</v>
      </c>
      <c r="G30" s="14">
        <f t="shared" si="1"/>
        <v>0</v>
      </c>
      <c r="H30" s="41">
        <f t="shared" si="1"/>
        <v>0</v>
      </c>
      <c r="I30" s="10">
        <f t="shared" si="1"/>
        <v>0</v>
      </c>
      <c r="J30" s="10">
        <f t="shared" si="2"/>
        <v>0</v>
      </c>
      <c r="K30" s="118">
        <f t="shared" si="3"/>
        <v>561108.35010060354</v>
      </c>
    </row>
    <row r="31" spans="1:11" x14ac:dyDescent="0.25">
      <c r="A31" s="49">
        <f>'A) Base RI'!A30</f>
        <v>5429</v>
      </c>
      <c r="B31" s="32" t="str">
        <f>'A) Base RI'!B30</f>
        <v>Longirod</v>
      </c>
      <c r="C31" s="14">
        <f>'A) Base RI'!AO30</f>
        <v>482</v>
      </c>
      <c r="D31" s="10">
        <f t="shared" si="1"/>
        <v>482</v>
      </c>
      <c r="E31" s="14">
        <f t="shared" si="1"/>
        <v>0</v>
      </c>
      <c r="F31" s="10">
        <f t="shared" si="1"/>
        <v>0</v>
      </c>
      <c r="G31" s="14">
        <f t="shared" si="1"/>
        <v>0</v>
      </c>
      <c r="H31" s="41">
        <f t="shared" si="1"/>
        <v>0</v>
      </c>
      <c r="I31" s="10">
        <f t="shared" si="1"/>
        <v>0</v>
      </c>
      <c r="J31" s="10">
        <f t="shared" si="2"/>
        <v>0</v>
      </c>
      <c r="K31" s="118">
        <f t="shared" si="3"/>
        <v>60553.068410462773</v>
      </c>
    </row>
    <row r="32" spans="1:11" x14ac:dyDescent="0.25">
      <c r="A32" s="49">
        <f>'A) Base RI'!A31</f>
        <v>5430</v>
      </c>
      <c r="B32" s="32" t="str">
        <f>'A) Base RI'!B31</f>
        <v>Marchissy</v>
      </c>
      <c r="C32" s="14">
        <f>'A) Base RI'!AO31</f>
        <v>472</v>
      </c>
      <c r="D32" s="10">
        <f t="shared" si="1"/>
        <v>472</v>
      </c>
      <c r="E32" s="14">
        <f t="shared" si="1"/>
        <v>0</v>
      </c>
      <c r="F32" s="10">
        <f t="shared" si="1"/>
        <v>0</v>
      </c>
      <c r="G32" s="14">
        <f t="shared" si="1"/>
        <v>0</v>
      </c>
      <c r="H32" s="41">
        <f t="shared" si="1"/>
        <v>0</v>
      </c>
      <c r="I32" s="10">
        <f t="shared" si="1"/>
        <v>0</v>
      </c>
      <c r="J32" s="10">
        <f t="shared" si="2"/>
        <v>0</v>
      </c>
      <c r="K32" s="118">
        <f t="shared" si="3"/>
        <v>59296.780684104626</v>
      </c>
    </row>
    <row r="33" spans="1:11" x14ac:dyDescent="0.25">
      <c r="A33" s="49">
        <f>'A) Base RI'!A32</f>
        <v>5431</v>
      </c>
      <c r="B33" s="32" t="str">
        <f>'A) Base RI'!B32</f>
        <v>Mollens</v>
      </c>
      <c r="C33" s="14">
        <f>'A) Base RI'!AO32</f>
        <v>308</v>
      </c>
      <c r="D33" s="10">
        <f t="shared" si="1"/>
        <v>308</v>
      </c>
      <c r="E33" s="14">
        <f t="shared" si="1"/>
        <v>0</v>
      </c>
      <c r="F33" s="10">
        <f t="shared" si="1"/>
        <v>0</v>
      </c>
      <c r="G33" s="14">
        <f t="shared" si="1"/>
        <v>0</v>
      </c>
      <c r="H33" s="41">
        <f t="shared" si="1"/>
        <v>0</v>
      </c>
      <c r="I33" s="10">
        <f t="shared" si="1"/>
        <v>0</v>
      </c>
      <c r="J33" s="10">
        <f t="shared" si="2"/>
        <v>0</v>
      </c>
      <c r="K33" s="118">
        <f t="shared" si="3"/>
        <v>38693.661971830981</v>
      </c>
    </row>
    <row r="34" spans="1:11" x14ac:dyDescent="0.25">
      <c r="A34" s="49">
        <f>'A) Base RI'!A33</f>
        <v>5432</v>
      </c>
      <c r="B34" s="32" t="str">
        <f>'A) Base RI'!B33</f>
        <v>Montherod</v>
      </c>
      <c r="C34" s="14">
        <f>'A) Base RI'!AO33</f>
        <v>541</v>
      </c>
      <c r="D34" s="10">
        <f t="shared" si="1"/>
        <v>541</v>
      </c>
      <c r="E34" s="14">
        <f t="shared" si="1"/>
        <v>0</v>
      </c>
      <c r="F34" s="10">
        <f t="shared" si="1"/>
        <v>0</v>
      </c>
      <c r="G34" s="14">
        <f t="shared" si="1"/>
        <v>0</v>
      </c>
      <c r="H34" s="41">
        <f t="shared" si="1"/>
        <v>0</v>
      </c>
      <c r="I34" s="10">
        <f t="shared" si="1"/>
        <v>0</v>
      </c>
      <c r="J34" s="10">
        <f t="shared" si="2"/>
        <v>0</v>
      </c>
      <c r="K34" s="118">
        <f t="shared" si="3"/>
        <v>67965.165995975854</v>
      </c>
    </row>
    <row r="35" spans="1:11" x14ac:dyDescent="0.25">
      <c r="A35" s="49">
        <f>'A) Base RI'!A34</f>
        <v>5434</v>
      </c>
      <c r="B35" s="32" t="str">
        <f>'A) Base RI'!B34</f>
        <v>Saint-George</v>
      </c>
      <c r="C35" s="14">
        <f>'A) Base RI'!AO34</f>
        <v>1063</v>
      </c>
      <c r="D35" s="10">
        <f t="shared" si="1"/>
        <v>1000</v>
      </c>
      <c r="E35" s="14">
        <f t="shared" si="1"/>
        <v>63</v>
      </c>
      <c r="F35" s="10">
        <f t="shared" si="1"/>
        <v>0</v>
      </c>
      <c r="G35" s="14">
        <f t="shared" si="1"/>
        <v>0</v>
      </c>
      <c r="H35" s="41">
        <f t="shared" si="1"/>
        <v>0</v>
      </c>
      <c r="I35" s="10">
        <f t="shared" si="1"/>
        <v>0</v>
      </c>
      <c r="J35" s="10">
        <f t="shared" si="2"/>
        <v>0</v>
      </c>
      <c r="K35" s="118">
        <f t="shared" si="3"/>
        <v>147789.68812877263</v>
      </c>
    </row>
    <row r="36" spans="1:11" x14ac:dyDescent="0.25">
      <c r="A36" s="49">
        <f>'A) Base RI'!A35</f>
        <v>5435</v>
      </c>
      <c r="B36" s="32" t="str">
        <f>'A) Base RI'!B35</f>
        <v>Saint-Livres</v>
      </c>
      <c r="C36" s="14">
        <f>'A) Base RI'!AO35</f>
        <v>691</v>
      </c>
      <c r="D36" s="10">
        <f t="shared" si="1"/>
        <v>691</v>
      </c>
      <c r="E36" s="14">
        <f t="shared" si="1"/>
        <v>0</v>
      </c>
      <c r="F36" s="10">
        <f t="shared" si="1"/>
        <v>0</v>
      </c>
      <c r="G36" s="14">
        <f t="shared" si="1"/>
        <v>0</v>
      </c>
      <c r="H36" s="41">
        <f t="shared" si="1"/>
        <v>0</v>
      </c>
      <c r="I36" s="10">
        <f t="shared" si="1"/>
        <v>0</v>
      </c>
      <c r="J36" s="10">
        <f t="shared" si="2"/>
        <v>0</v>
      </c>
      <c r="K36" s="118">
        <f t="shared" si="3"/>
        <v>86809.481891348085</v>
      </c>
    </row>
    <row r="37" spans="1:11" x14ac:dyDescent="0.25">
      <c r="A37" s="49">
        <f>'A) Base RI'!A36</f>
        <v>5436</v>
      </c>
      <c r="B37" s="32" t="str">
        <f>'A) Base RI'!B36</f>
        <v>Saint-Oyens</v>
      </c>
      <c r="C37" s="14">
        <f>'A) Base RI'!AO36</f>
        <v>447</v>
      </c>
      <c r="D37" s="10">
        <f t="shared" si="1"/>
        <v>447</v>
      </c>
      <c r="E37" s="14">
        <f t="shared" si="1"/>
        <v>0</v>
      </c>
      <c r="F37" s="10">
        <f t="shared" si="1"/>
        <v>0</v>
      </c>
      <c r="G37" s="14">
        <f t="shared" si="1"/>
        <v>0</v>
      </c>
      <c r="H37" s="41">
        <f t="shared" si="1"/>
        <v>0</v>
      </c>
      <c r="I37" s="10">
        <f t="shared" si="1"/>
        <v>0</v>
      </c>
      <c r="J37" s="10">
        <f t="shared" si="2"/>
        <v>0</v>
      </c>
      <c r="K37" s="118">
        <f t="shared" si="3"/>
        <v>56156.061368209252</v>
      </c>
    </row>
    <row r="38" spans="1:11" x14ac:dyDescent="0.25">
      <c r="A38" s="49">
        <f>'A) Base RI'!A37</f>
        <v>5437</v>
      </c>
      <c r="B38" s="32" t="str">
        <f>'A) Base RI'!B37</f>
        <v>Saubraz</v>
      </c>
      <c r="C38" s="14">
        <f>'A) Base RI'!AO37</f>
        <v>423</v>
      </c>
      <c r="D38" s="10">
        <f t="shared" si="1"/>
        <v>423</v>
      </c>
      <c r="E38" s="14">
        <f t="shared" si="1"/>
        <v>0</v>
      </c>
      <c r="F38" s="10">
        <f t="shared" si="1"/>
        <v>0</v>
      </c>
      <c r="G38" s="14">
        <f t="shared" si="1"/>
        <v>0</v>
      </c>
      <c r="H38" s="41">
        <f t="shared" si="1"/>
        <v>0</v>
      </c>
      <c r="I38" s="10">
        <f t="shared" si="1"/>
        <v>0</v>
      </c>
      <c r="J38" s="10">
        <f t="shared" si="2"/>
        <v>0</v>
      </c>
      <c r="K38" s="118">
        <f t="shared" si="3"/>
        <v>53140.970824949698</v>
      </c>
    </row>
    <row r="39" spans="1:11" x14ac:dyDescent="0.25">
      <c r="A39" s="49">
        <f>'A) Base RI'!A38</f>
        <v>5451</v>
      </c>
      <c r="B39" s="32" t="str">
        <f>'A) Base RI'!B38</f>
        <v>Avenches</v>
      </c>
      <c r="C39" s="14">
        <f>'A) Base RI'!AO38</f>
        <v>4305</v>
      </c>
      <c r="D39" s="10">
        <f t="shared" si="1"/>
        <v>1000</v>
      </c>
      <c r="E39" s="14">
        <f t="shared" si="1"/>
        <v>2000</v>
      </c>
      <c r="F39" s="10">
        <f t="shared" si="1"/>
        <v>1305</v>
      </c>
      <c r="G39" s="14">
        <f t="shared" si="1"/>
        <v>0</v>
      </c>
      <c r="H39" s="41">
        <f t="shared" si="1"/>
        <v>0</v>
      </c>
      <c r="I39" s="10">
        <f t="shared" si="1"/>
        <v>0</v>
      </c>
      <c r="J39" s="10">
        <f t="shared" si="2"/>
        <v>0</v>
      </c>
      <c r="K39" s="118">
        <f t="shared" si="3"/>
        <v>1484932.092555332</v>
      </c>
    </row>
    <row r="40" spans="1:11" x14ac:dyDescent="0.25">
      <c r="A40" s="49">
        <f>'A) Base RI'!A39</f>
        <v>5456</v>
      </c>
      <c r="B40" s="32" t="str">
        <f>'A) Base RI'!B39</f>
        <v>Cudrefin</v>
      </c>
      <c r="C40" s="14">
        <f>'A) Base RI'!AO39</f>
        <v>1735</v>
      </c>
      <c r="D40" s="10">
        <f t="shared" si="1"/>
        <v>1000</v>
      </c>
      <c r="E40" s="14">
        <f t="shared" si="1"/>
        <v>735</v>
      </c>
      <c r="F40" s="10">
        <f t="shared" si="1"/>
        <v>0</v>
      </c>
      <c r="G40" s="14">
        <f t="shared" si="1"/>
        <v>0</v>
      </c>
      <c r="H40" s="41">
        <f t="shared" si="1"/>
        <v>0</v>
      </c>
      <c r="I40" s="10">
        <f t="shared" si="1"/>
        <v>0</v>
      </c>
      <c r="J40" s="10">
        <f t="shared" si="2"/>
        <v>0</v>
      </c>
      <c r="K40" s="118">
        <f t="shared" si="3"/>
        <v>384172.78672032186</v>
      </c>
    </row>
    <row r="41" spans="1:11" x14ac:dyDescent="0.25">
      <c r="A41" s="49">
        <f>'A) Base RI'!A40</f>
        <v>5458</v>
      </c>
      <c r="B41" s="32" t="str">
        <f>'A) Base RI'!B40</f>
        <v>Faoug</v>
      </c>
      <c r="C41" s="14">
        <f>'A) Base RI'!AO40</f>
        <v>884</v>
      </c>
      <c r="D41" s="10">
        <f t="shared" si="1"/>
        <v>884</v>
      </c>
      <c r="E41" s="14">
        <f t="shared" si="1"/>
        <v>0</v>
      </c>
      <c r="F41" s="10">
        <f t="shared" si="1"/>
        <v>0</v>
      </c>
      <c r="G41" s="14">
        <f t="shared" si="1"/>
        <v>0</v>
      </c>
      <c r="H41" s="41">
        <f t="shared" si="1"/>
        <v>0</v>
      </c>
      <c r="I41" s="10">
        <f t="shared" si="1"/>
        <v>0</v>
      </c>
      <c r="J41" s="10">
        <f t="shared" si="2"/>
        <v>0</v>
      </c>
      <c r="K41" s="118">
        <f t="shared" si="3"/>
        <v>111055.83501006036</v>
      </c>
    </row>
    <row r="42" spans="1:11" x14ac:dyDescent="0.25">
      <c r="A42" s="49">
        <f>'A) Base RI'!A41</f>
        <v>5464</v>
      </c>
      <c r="B42" s="32" t="str">
        <f>'A) Base RI'!B41</f>
        <v>Vully-les-Lacs</v>
      </c>
      <c r="C42" s="14">
        <f>'A) Base RI'!AO41</f>
        <v>3278</v>
      </c>
      <c r="D42" s="10">
        <f t="shared" si="1"/>
        <v>1000</v>
      </c>
      <c r="E42" s="14">
        <f t="shared" si="1"/>
        <v>2000</v>
      </c>
      <c r="F42" s="10">
        <f t="shared" si="1"/>
        <v>278</v>
      </c>
      <c r="G42" s="14">
        <f t="shared" si="1"/>
        <v>0</v>
      </c>
      <c r="H42" s="41">
        <f t="shared" si="1"/>
        <v>0</v>
      </c>
      <c r="I42" s="10">
        <f t="shared" si="1"/>
        <v>0</v>
      </c>
      <c r="J42" s="10">
        <f t="shared" si="2"/>
        <v>0</v>
      </c>
      <c r="K42" s="118">
        <f t="shared" si="3"/>
        <v>968849.09456740436</v>
      </c>
    </row>
    <row r="43" spans="1:11" x14ac:dyDescent="0.25">
      <c r="A43" s="49">
        <f>'A) Base RI'!A42</f>
        <v>5471</v>
      </c>
      <c r="B43" s="32" t="str">
        <f>'A) Base RI'!B42</f>
        <v>Bettens</v>
      </c>
      <c r="C43" s="14">
        <f>'A) Base RI'!AO42</f>
        <v>650</v>
      </c>
      <c r="D43" s="10">
        <f t="shared" si="1"/>
        <v>650</v>
      </c>
      <c r="E43" s="14">
        <f t="shared" si="1"/>
        <v>0</v>
      </c>
      <c r="F43" s="10">
        <f t="shared" si="1"/>
        <v>0</v>
      </c>
      <c r="G43" s="14">
        <f t="shared" si="1"/>
        <v>0</v>
      </c>
      <c r="H43" s="41">
        <f t="shared" si="1"/>
        <v>0</v>
      </c>
      <c r="I43" s="10">
        <f t="shared" si="1"/>
        <v>0</v>
      </c>
      <c r="J43" s="10">
        <f t="shared" si="2"/>
        <v>0</v>
      </c>
      <c r="K43" s="118">
        <f t="shared" si="3"/>
        <v>81658.70221327967</v>
      </c>
    </row>
    <row r="44" spans="1:11" x14ac:dyDescent="0.25">
      <c r="A44" s="49">
        <f>'A) Base RI'!A43</f>
        <v>5472</v>
      </c>
      <c r="B44" s="32" t="str">
        <f>'A) Base RI'!B43</f>
        <v>Bournens</v>
      </c>
      <c r="C44" s="14">
        <f>'A) Base RI'!AO43</f>
        <v>422</v>
      </c>
      <c r="D44" s="10">
        <f t="shared" si="1"/>
        <v>422</v>
      </c>
      <c r="E44" s="14">
        <f t="shared" si="1"/>
        <v>0</v>
      </c>
      <c r="F44" s="10">
        <f t="shared" si="1"/>
        <v>0</v>
      </c>
      <c r="G44" s="14">
        <f t="shared" si="1"/>
        <v>0</v>
      </c>
      <c r="H44" s="41">
        <f t="shared" si="1"/>
        <v>0</v>
      </c>
      <c r="I44" s="10">
        <f t="shared" si="1"/>
        <v>0</v>
      </c>
      <c r="J44" s="10">
        <f t="shared" si="2"/>
        <v>0</v>
      </c>
      <c r="K44" s="118">
        <f t="shared" si="3"/>
        <v>53015.342052313878</v>
      </c>
    </row>
    <row r="45" spans="1:11" x14ac:dyDescent="0.25">
      <c r="A45" s="49">
        <f>'A) Base RI'!A44</f>
        <v>5473</v>
      </c>
      <c r="B45" s="32" t="str">
        <f>'A) Base RI'!B44</f>
        <v>Boussens</v>
      </c>
      <c r="C45" s="14">
        <f>'A) Base RI'!AO44</f>
        <v>993</v>
      </c>
      <c r="D45" s="10">
        <f t="shared" si="1"/>
        <v>993</v>
      </c>
      <c r="E45" s="14">
        <f t="shared" si="1"/>
        <v>0</v>
      </c>
      <c r="F45" s="10">
        <f t="shared" si="1"/>
        <v>0</v>
      </c>
      <c r="G45" s="14">
        <f t="shared" si="1"/>
        <v>0</v>
      </c>
      <c r="H45" s="41">
        <f t="shared" si="1"/>
        <v>0</v>
      </c>
      <c r="I45" s="10">
        <f t="shared" si="1"/>
        <v>0</v>
      </c>
      <c r="J45" s="10">
        <f t="shared" si="2"/>
        <v>0</v>
      </c>
      <c r="K45" s="118">
        <f t="shared" si="3"/>
        <v>124749.37122736417</v>
      </c>
    </row>
    <row r="46" spans="1:11" x14ac:dyDescent="0.25">
      <c r="A46" s="49">
        <f>'A) Base RI'!A45</f>
        <v>5474</v>
      </c>
      <c r="B46" s="32" t="str">
        <f>'A) Base RI'!B45</f>
        <v>La Chaux (Cossonay)</v>
      </c>
      <c r="C46" s="14">
        <f>'A) Base RI'!AO45</f>
        <v>395</v>
      </c>
      <c r="D46" s="10">
        <f t="shared" si="1"/>
        <v>395</v>
      </c>
      <c r="E46" s="14">
        <f t="shared" si="1"/>
        <v>0</v>
      </c>
      <c r="F46" s="10">
        <f t="shared" si="1"/>
        <v>0</v>
      </c>
      <c r="G46" s="14">
        <f t="shared" si="1"/>
        <v>0</v>
      </c>
      <c r="H46" s="41">
        <f t="shared" si="1"/>
        <v>0</v>
      </c>
      <c r="I46" s="10">
        <f t="shared" si="1"/>
        <v>0</v>
      </c>
      <c r="J46" s="10">
        <f t="shared" si="2"/>
        <v>0</v>
      </c>
      <c r="K46" s="118">
        <f t="shared" si="3"/>
        <v>49623.365191146877</v>
      </c>
    </row>
    <row r="47" spans="1:11" x14ac:dyDescent="0.25">
      <c r="A47" s="49">
        <f>'A) Base RI'!A46</f>
        <v>5475</v>
      </c>
      <c r="B47" s="32" t="str">
        <f>'A) Base RI'!B46</f>
        <v>Chavannes-le-Veyron</v>
      </c>
      <c r="C47" s="14">
        <f>'A) Base RI'!AO46</f>
        <v>152</v>
      </c>
      <c r="D47" s="10">
        <f t="shared" si="1"/>
        <v>152</v>
      </c>
      <c r="E47" s="14">
        <f t="shared" si="1"/>
        <v>0</v>
      </c>
      <c r="F47" s="10">
        <f t="shared" si="1"/>
        <v>0</v>
      </c>
      <c r="G47" s="14">
        <f t="shared" si="1"/>
        <v>0</v>
      </c>
      <c r="H47" s="41">
        <f t="shared" si="1"/>
        <v>0</v>
      </c>
      <c r="I47" s="10">
        <f t="shared" si="1"/>
        <v>0</v>
      </c>
      <c r="J47" s="10">
        <f t="shared" si="2"/>
        <v>0</v>
      </c>
      <c r="K47" s="118">
        <f t="shared" si="3"/>
        <v>19095.573440643861</v>
      </c>
    </row>
    <row r="48" spans="1:11" x14ac:dyDescent="0.25">
      <c r="A48" s="49">
        <f>'A) Base RI'!A47</f>
        <v>5476</v>
      </c>
      <c r="B48" s="32" t="str">
        <f>'A) Base RI'!B47</f>
        <v>Chevilly</v>
      </c>
      <c r="C48" s="14">
        <f>'A) Base RI'!AO47</f>
        <v>317</v>
      </c>
      <c r="D48" s="10">
        <f t="shared" si="1"/>
        <v>317</v>
      </c>
      <c r="E48" s="14">
        <f t="shared" si="1"/>
        <v>0</v>
      </c>
      <c r="F48" s="10">
        <f t="shared" si="1"/>
        <v>0</v>
      </c>
      <c r="G48" s="14">
        <f t="shared" si="1"/>
        <v>0</v>
      </c>
      <c r="H48" s="41">
        <f t="shared" si="1"/>
        <v>0</v>
      </c>
      <c r="I48" s="10">
        <f t="shared" si="1"/>
        <v>0</v>
      </c>
      <c r="J48" s="10">
        <f t="shared" si="2"/>
        <v>0</v>
      </c>
      <c r="K48" s="118">
        <f t="shared" si="3"/>
        <v>39824.320925553315</v>
      </c>
    </row>
    <row r="49" spans="1:11" x14ac:dyDescent="0.25">
      <c r="A49" s="49">
        <f>'A) Base RI'!A48</f>
        <v>5477</v>
      </c>
      <c r="B49" s="32" t="str">
        <f>'A) Base RI'!B48</f>
        <v>Cossonay</v>
      </c>
      <c r="C49" s="14">
        <f>'A) Base RI'!AO48</f>
        <v>4045</v>
      </c>
      <c r="D49" s="10">
        <f t="shared" si="1"/>
        <v>1000</v>
      </c>
      <c r="E49" s="14">
        <f t="shared" si="1"/>
        <v>2000</v>
      </c>
      <c r="F49" s="10">
        <f t="shared" si="1"/>
        <v>1045</v>
      </c>
      <c r="G49" s="14">
        <f t="shared" si="1"/>
        <v>0</v>
      </c>
      <c r="H49" s="41">
        <f t="shared" si="1"/>
        <v>0</v>
      </c>
      <c r="I49" s="10">
        <f t="shared" si="1"/>
        <v>0</v>
      </c>
      <c r="J49" s="10">
        <f t="shared" si="2"/>
        <v>0</v>
      </c>
      <c r="K49" s="118">
        <f t="shared" si="3"/>
        <v>1354278.1690140844</v>
      </c>
    </row>
    <row r="50" spans="1:11" x14ac:dyDescent="0.25">
      <c r="A50" s="49">
        <f>'A) Base RI'!A49</f>
        <v>5478</v>
      </c>
      <c r="B50" s="32" t="str">
        <f>'A) Base RI'!B49</f>
        <v>Cottens</v>
      </c>
      <c r="C50" s="14">
        <f>'A) Base RI'!AO49</f>
        <v>487</v>
      </c>
      <c r="D50" s="10">
        <f t="shared" si="1"/>
        <v>487</v>
      </c>
      <c r="E50" s="14">
        <f t="shared" si="1"/>
        <v>0</v>
      </c>
      <c r="F50" s="10">
        <f t="shared" si="1"/>
        <v>0</v>
      </c>
      <c r="G50" s="14">
        <f t="shared" si="1"/>
        <v>0</v>
      </c>
      <c r="H50" s="41">
        <f t="shared" si="1"/>
        <v>0</v>
      </c>
      <c r="I50" s="10">
        <f t="shared" si="1"/>
        <v>0</v>
      </c>
      <c r="J50" s="10">
        <f t="shared" si="2"/>
        <v>0</v>
      </c>
      <c r="K50" s="118">
        <f t="shared" si="3"/>
        <v>61181.212273641846</v>
      </c>
    </row>
    <row r="51" spans="1:11" x14ac:dyDescent="0.25">
      <c r="A51" s="49">
        <f>'A) Base RI'!A50</f>
        <v>5479</v>
      </c>
      <c r="B51" s="32" t="str">
        <f>'A) Base RI'!B50</f>
        <v>Cuarnens</v>
      </c>
      <c r="C51" s="14">
        <f>'A) Base RI'!AO50</f>
        <v>486</v>
      </c>
      <c r="D51" s="10">
        <f t="shared" si="1"/>
        <v>486</v>
      </c>
      <c r="E51" s="14">
        <f t="shared" si="1"/>
        <v>0</v>
      </c>
      <c r="F51" s="10">
        <f t="shared" si="1"/>
        <v>0</v>
      </c>
      <c r="G51" s="14">
        <f t="shared" si="1"/>
        <v>0</v>
      </c>
      <c r="H51" s="41">
        <f t="shared" si="1"/>
        <v>0</v>
      </c>
      <c r="I51" s="10">
        <f t="shared" si="1"/>
        <v>0</v>
      </c>
      <c r="J51" s="10">
        <f t="shared" si="2"/>
        <v>0</v>
      </c>
      <c r="K51" s="118">
        <f t="shared" si="3"/>
        <v>61055.583501006033</v>
      </c>
    </row>
    <row r="52" spans="1:11" x14ac:dyDescent="0.25">
      <c r="A52" s="49">
        <f>'A) Base RI'!A51</f>
        <v>5480</v>
      </c>
      <c r="B52" s="32" t="str">
        <f>'A) Base RI'!B51</f>
        <v>Daillens</v>
      </c>
      <c r="C52" s="14">
        <f>'A) Base RI'!AO51</f>
        <v>1034</v>
      </c>
      <c r="D52" s="10">
        <f t="shared" si="1"/>
        <v>1000</v>
      </c>
      <c r="E52" s="14">
        <f t="shared" si="1"/>
        <v>34</v>
      </c>
      <c r="F52" s="10">
        <f t="shared" si="1"/>
        <v>0</v>
      </c>
      <c r="G52" s="14">
        <f t="shared" si="1"/>
        <v>0</v>
      </c>
      <c r="H52" s="41">
        <f t="shared" si="1"/>
        <v>0</v>
      </c>
      <c r="I52" s="10">
        <f t="shared" si="1"/>
        <v>0</v>
      </c>
      <c r="J52" s="10">
        <f t="shared" si="2"/>
        <v>0</v>
      </c>
      <c r="K52" s="118">
        <f t="shared" si="3"/>
        <v>137588.63179074446</v>
      </c>
    </row>
    <row r="53" spans="1:11" x14ac:dyDescent="0.25">
      <c r="A53" s="49">
        <f>'A) Base RI'!A52</f>
        <v>5481</v>
      </c>
      <c r="B53" s="32" t="str">
        <f>'A) Base RI'!B52</f>
        <v>Dizy</v>
      </c>
      <c r="C53" s="14">
        <f>'A) Base RI'!AO52</f>
        <v>234</v>
      </c>
      <c r="D53" s="10">
        <f t="shared" si="1"/>
        <v>234</v>
      </c>
      <c r="E53" s="14">
        <f t="shared" si="1"/>
        <v>0</v>
      </c>
      <c r="F53" s="10">
        <f t="shared" si="1"/>
        <v>0</v>
      </c>
      <c r="G53" s="14">
        <f t="shared" si="1"/>
        <v>0</v>
      </c>
      <c r="H53" s="41">
        <f t="shared" si="1"/>
        <v>0</v>
      </c>
      <c r="I53" s="10">
        <f t="shared" si="1"/>
        <v>0</v>
      </c>
      <c r="J53" s="10">
        <f t="shared" si="2"/>
        <v>0</v>
      </c>
      <c r="K53" s="118">
        <f t="shared" si="3"/>
        <v>29397.132796780683</v>
      </c>
    </row>
    <row r="54" spans="1:11" x14ac:dyDescent="0.25">
      <c r="A54" s="49">
        <f>'A) Base RI'!A53</f>
        <v>5482</v>
      </c>
      <c r="B54" s="32" t="str">
        <f>'A) Base RI'!B53</f>
        <v>Eclépens</v>
      </c>
      <c r="C54" s="14">
        <f>'A) Base RI'!AO53</f>
        <v>1222</v>
      </c>
      <c r="D54" s="10">
        <f t="shared" si="1"/>
        <v>1000</v>
      </c>
      <c r="E54" s="14">
        <f t="shared" si="1"/>
        <v>222</v>
      </c>
      <c r="F54" s="10">
        <f t="shared" si="1"/>
        <v>0</v>
      </c>
      <c r="G54" s="14">
        <f t="shared" si="1"/>
        <v>0</v>
      </c>
      <c r="H54" s="41">
        <f t="shared" si="1"/>
        <v>0</v>
      </c>
      <c r="I54" s="10">
        <f t="shared" si="1"/>
        <v>0</v>
      </c>
      <c r="J54" s="10">
        <f t="shared" si="2"/>
        <v>0</v>
      </c>
      <c r="K54" s="118">
        <f t="shared" si="3"/>
        <v>203719.61770623742</v>
      </c>
    </row>
    <row r="55" spans="1:11" x14ac:dyDescent="0.25">
      <c r="A55" s="49">
        <f>'A) Base RI'!A54</f>
        <v>5483</v>
      </c>
      <c r="B55" s="32" t="str">
        <f>'A) Base RI'!B54</f>
        <v>Ferreyres</v>
      </c>
      <c r="C55" s="14">
        <f>'A) Base RI'!AO54</f>
        <v>320</v>
      </c>
      <c r="D55" s="10">
        <f t="shared" si="1"/>
        <v>320</v>
      </c>
      <c r="E55" s="14">
        <f t="shared" si="1"/>
        <v>0</v>
      </c>
      <c r="F55" s="10">
        <f t="shared" si="1"/>
        <v>0</v>
      </c>
      <c r="G55" s="14">
        <f t="shared" si="1"/>
        <v>0</v>
      </c>
      <c r="H55" s="41">
        <f t="shared" si="1"/>
        <v>0</v>
      </c>
      <c r="I55" s="10">
        <f t="shared" si="1"/>
        <v>0</v>
      </c>
      <c r="J55" s="10">
        <f t="shared" si="2"/>
        <v>0</v>
      </c>
      <c r="K55" s="118">
        <f t="shared" si="3"/>
        <v>40201.207243460762</v>
      </c>
    </row>
    <row r="56" spans="1:11" x14ac:dyDescent="0.25">
      <c r="A56" s="49">
        <f>'A) Base RI'!A55</f>
        <v>5484</v>
      </c>
      <c r="B56" s="32" t="str">
        <f>'A) Base RI'!B55</f>
        <v>Gollion</v>
      </c>
      <c r="C56" s="14">
        <f>'A) Base RI'!AO55</f>
        <v>939</v>
      </c>
      <c r="D56" s="10">
        <f t="shared" si="1"/>
        <v>939</v>
      </c>
      <c r="E56" s="14">
        <f t="shared" si="1"/>
        <v>0</v>
      </c>
      <c r="F56" s="10">
        <f t="shared" si="1"/>
        <v>0</v>
      </c>
      <c r="G56" s="14">
        <f t="shared" si="1"/>
        <v>0</v>
      </c>
      <c r="H56" s="41">
        <f t="shared" si="1"/>
        <v>0</v>
      </c>
      <c r="I56" s="10">
        <f t="shared" si="1"/>
        <v>0</v>
      </c>
      <c r="J56" s="10">
        <f t="shared" si="2"/>
        <v>0</v>
      </c>
      <c r="K56" s="118">
        <f t="shared" si="3"/>
        <v>117965.41750503017</v>
      </c>
    </row>
    <row r="57" spans="1:11" x14ac:dyDescent="0.25">
      <c r="A57" s="49">
        <f>'A) Base RI'!A56</f>
        <v>5485</v>
      </c>
      <c r="B57" s="32" t="str">
        <f>'A) Base RI'!B56</f>
        <v>Grancy</v>
      </c>
      <c r="C57" s="14">
        <f>'A) Base RI'!AO56</f>
        <v>397</v>
      </c>
      <c r="D57" s="10">
        <f t="shared" si="1"/>
        <v>397</v>
      </c>
      <c r="E57" s="14">
        <f t="shared" si="1"/>
        <v>0</v>
      </c>
      <c r="F57" s="10">
        <f t="shared" si="1"/>
        <v>0</v>
      </c>
      <c r="G57" s="14">
        <f t="shared" si="1"/>
        <v>0</v>
      </c>
      <c r="H57" s="41">
        <f t="shared" si="1"/>
        <v>0</v>
      </c>
      <c r="I57" s="10">
        <f t="shared" si="1"/>
        <v>0</v>
      </c>
      <c r="J57" s="10">
        <f t="shared" si="2"/>
        <v>0</v>
      </c>
      <c r="K57" s="118">
        <f t="shared" si="3"/>
        <v>49874.622736418511</v>
      </c>
    </row>
    <row r="58" spans="1:11" x14ac:dyDescent="0.25">
      <c r="A58" s="49">
        <f>'A) Base RI'!A57</f>
        <v>5486</v>
      </c>
      <c r="B58" s="32" t="str">
        <f>'A) Base RI'!B57</f>
        <v>L'Isle</v>
      </c>
      <c r="C58" s="14">
        <f>'A) Base RI'!AO57</f>
        <v>1011</v>
      </c>
      <c r="D58" s="10">
        <f t="shared" si="1"/>
        <v>1000</v>
      </c>
      <c r="E58" s="14">
        <f t="shared" si="1"/>
        <v>11</v>
      </c>
      <c r="F58" s="10">
        <f t="shared" si="1"/>
        <v>0</v>
      </c>
      <c r="G58" s="14">
        <f t="shared" si="1"/>
        <v>0</v>
      </c>
      <c r="H58" s="41">
        <f t="shared" si="1"/>
        <v>0</v>
      </c>
      <c r="I58" s="10">
        <f t="shared" si="1"/>
        <v>0</v>
      </c>
      <c r="J58" s="10">
        <f t="shared" si="2"/>
        <v>0</v>
      </c>
      <c r="K58" s="118">
        <f t="shared" si="3"/>
        <v>129498.13883299798</v>
      </c>
    </row>
    <row r="59" spans="1:11" x14ac:dyDescent="0.25">
      <c r="A59" s="49">
        <f>'A) Base RI'!A58</f>
        <v>5487</v>
      </c>
      <c r="B59" s="32" t="str">
        <f>'A) Base RI'!B58</f>
        <v>Lussery-Villars</v>
      </c>
      <c r="C59" s="14">
        <f>'A) Base RI'!AO58</f>
        <v>459</v>
      </c>
      <c r="D59" s="10">
        <f t="shared" si="1"/>
        <v>459</v>
      </c>
      <c r="E59" s="14">
        <f t="shared" si="1"/>
        <v>0</v>
      </c>
      <c r="F59" s="10">
        <f t="shared" si="1"/>
        <v>0</v>
      </c>
      <c r="G59" s="14">
        <f t="shared" si="1"/>
        <v>0</v>
      </c>
      <c r="H59" s="41">
        <f t="shared" si="1"/>
        <v>0</v>
      </c>
      <c r="I59" s="10">
        <f t="shared" si="1"/>
        <v>0</v>
      </c>
      <c r="J59" s="10">
        <f t="shared" si="2"/>
        <v>0</v>
      </c>
      <c r="K59" s="118">
        <f t="shared" si="3"/>
        <v>57663.606639839032</v>
      </c>
    </row>
    <row r="60" spans="1:11" x14ac:dyDescent="0.25">
      <c r="A60" s="49">
        <f>'A) Base RI'!A59</f>
        <v>5488</v>
      </c>
      <c r="B60" s="32" t="str">
        <f>'A) Base RI'!B59</f>
        <v>Mauraz</v>
      </c>
      <c r="C60" s="14">
        <f>'A) Base RI'!AO59</f>
        <v>57</v>
      </c>
      <c r="D60" s="10">
        <f t="shared" si="1"/>
        <v>57</v>
      </c>
      <c r="E60" s="14">
        <f t="shared" si="1"/>
        <v>0</v>
      </c>
      <c r="F60" s="10">
        <f t="shared" si="1"/>
        <v>0</v>
      </c>
      <c r="G60" s="14">
        <f t="shared" si="1"/>
        <v>0</v>
      </c>
      <c r="H60" s="41">
        <f t="shared" si="1"/>
        <v>0</v>
      </c>
      <c r="I60" s="10">
        <f t="shared" si="1"/>
        <v>0</v>
      </c>
      <c r="J60" s="10">
        <f t="shared" si="2"/>
        <v>0</v>
      </c>
      <c r="K60" s="118">
        <f t="shared" si="3"/>
        <v>7160.8400402414482</v>
      </c>
    </row>
    <row r="61" spans="1:11" x14ac:dyDescent="0.25">
      <c r="A61" s="49">
        <f>'A) Base RI'!A60</f>
        <v>5489</v>
      </c>
      <c r="B61" s="32" t="str">
        <f>'A) Base RI'!B60</f>
        <v>Mex</v>
      </c>
      <c r="C61" s="14">
        <f>'A) Base RI'!AO60</f>
        <v>718</v>
      </c>
      <c r="D61" s="10">
        <f t="shared" si="1"/>
        <v>718</v>
      </c>
      <c r="E61" s="14">
        <f t="shared" si="1"/>
        <v>0</v>
      </c>
      <c r="F61" s="10">
        <f t="shared" si="1"/>
        <v>0</v>
      </c>
      <c r="G61" s="14">
        <f t="shared" si="1"/>
        <v>0</v>
      </c>
      <c r="H61" s="41">
        <f t="shared" si="1"/>
        <v>0</v>
      </c>
      <c r="I61" s="10">
        <f t="shared" si="1"/>
        <v>0</v>
      </c>
      <c r="J61" s="10">
        <f t="shared" si="2"/>
        <v>0</v>
      </c>
      <c r="K61" s="118">
        <f t="shared" si="3"/>
        <v>90201.458752515086</v>
      </c>
    </row>
    <row r="62" spans="1:11" x14ac:dyDescent="0.25">
      <c r="A62" s="49">
        <f>'A) Base RI'!A61</f>
        <v>5490</v>
      </c>
      <c r="B62" s="32" t="str">
        <f>'A) Base RI'!B61</f>
        <v>Moiry</v>
      </c>
      <c r="C62" s="14">
        <f>'A) Base RI'!AO61</f>
        <v>310</v>
      </c>
      <c r="D62" s="10">
        <f t="shared" si="1"/>
        <v>310</v>
      </c>
      <c r="E62" s="14">
        <f t="shared" si="1"/>
        <v>0</v>
      </c>
      <c r="F62" s="10">
        <f t="shared" si="1"/>
        <v>0</v>
      </c>
      <c r="G62" s="14">
        <f t="shared" si="1"/>
        <v>0</v>
      </c>
      <c r="H62" s="41">
        <f t="shared" si="1"/>
        <v>0</v>
      </c>
      <c r="I62" s="10">
        <f t="shared" si="1"/>
        <v>0</v>
      </c>
      <c r="J62" s="10">
        <f t="shared" si="2"/>
        <v>0</v>
      </c>
      <c r="K62" s="118">
        <f t="shared" si="3"/>
        <v>38944.919517102615</v>
      </c>
    </row>
    <row r="63" spans="1:11" x14ac:dyDescent="0.25">
      <c r="A63" s="49">
        <f>'A) Base RI'!A62</f>
        <v>5491</v>
      </c>
      <c r="B63" s="32" t="str">
        <f>'A) Base RI'!B62</f>
        <v>Mont-la-Ville</v>
      </c>
      <c r="C63" s="14">
        <f>'A) Base RI'!AO62</f>
        <v>478</v>
      </c>
      <c r="D63" s="10">
        <f t="shared" si="1"/>
        <v>478</v>
      </c>
      <c r="E63" s="14">
        <f t="shared" si="1"/>
        <v>0</v>
      </c>
      <c r="F63" s="10">
        <f t="shared" si="1"/>
        <v>0</v>
      </c>
      <c r="G63" s="14">
        <f t="shared" si="1"/>
        <v>0</v>
      </c>
      <c r="H63" s="41">
        <f t="shared" si="1"/>
        <v>0</v>
      </c>
      <c r="I63" s="10">
        <f t="shared" si="1"/>
        <v>0</v>
      </c>
      <c r="J63" s="10">
        <f t="shared" si="2"/>
        <v>0</v>
      </c>
      <c r="K63" s="118">
        <f t="shared" si="3"/>
        <v>60050.553319919512</v>
      </c>
    </row>
    <row r="64" spans="1:11" x14ac:dyDescent="0.25">
      <c r="A64" s="49">
        <f>'A) Base RI'!A63</f>
        <v>5492</v>
      </c>
      <c r="B64" s="32" t="str">
        <f>'A) Base RI'!B63</f>
        <v>Montricher</v>
      </c>
      <c r="C64" s="14">
        <f>'A) Base RI'!AO63</f>
        <v>964</v>
      </c>
      <c r="D64" s="10">
        <f t="shared" ref="D64:I106" si="4">IF($C64&gt;D$4,IF($C64&lt;D$5,$C64-D$4,D$5-D$4),0)</f>
        <v>964</v>
      </c>
      <c r="E64" s="14">
        <f t="shared" si="4"/>
        <v>0</v>
      </c>
      <c r="F64" s="10">
        <f t="shared" si="4"/>
        <v>0</v>
      </c>
      <c r="G64" s="14">
        <f t="shared" si="4"/>
        <v>0</v>
      </c>
      <c r="H64" s="41">
        <f t="shared" si="4"/>
        <v>0</v>
      </c>
      <c r="I64" s="10">
        <f t="shared" si="4"/>
        <v>0</v>
      </c>
      <c r="J64" s="10">
        <f t="shared" si="2"/>
        <v>0</v>
      </c>
      <c r="K64" s="118">
        <f t="shared" si="3"/>
        <v>121106.13682092555</v>
      </c>
    </row>
    <row r="65" spans="1:11" x14ac:dyDescent="0.25">
      <c r="A65" s="49">
        <f>'A) Base RI'!A64</f>
        <v>5493</v>
      </c>
      <c r="B65" s="32" t="str">
        <f>'A) Base RI'!B64</f>
        <v>Orny</v>
      </c>
      <c r="C65" s="14">
        <f>'A) Base RI'!AO64</f>
        <v>416</v>
      </c>
      <c r="D65" s="10">
        <f t="shared" si="4"/>
        <v>416</v>
      </c>
      <c r="E65" s="14">
        <f t="shared" si="4"/>
        <v>0</v>
      </c>
      <c r="F65" s="10">
        <f t="shared" si="4"/>
        <v>0</v>
      </c>
      <c r="G65" s="14">
        <f t="shared" si="4"/>
        <v>0</v>
      </c>
      <c r="H65" s="41">
        <f t="shared" si="4"/>
        <v>0</v>
      </c>
      <c r="I65" s="10">
        <f t="shared" si="4"/>
        <v>0</v>
      </c>
      <c r="J65" s="10">
        <f t="shared" si="2"/>
        <v>0</v>
      </c>
      <c r="K65" s="118">
        <f t="shared" si="3"/>
        <v>52261.569416498991</v>
      </c>
    </row>
    <row r="66" spans="1:11" x14ac:dyDescent="0.25">
      <c r="A66" s="49">
        <f>'A) Base RI'!A65</f>
        <v>5494</v>
      </c>
      <c r="B66" s="32" t="str">
        <f>'A) Base RI'!B65</f>
        <v>Pampigny</v>
      </c>
      <c r="C66" s="14">
        <f>'A) Base RI'!AO65</f>
        <v>1103</v>
      </c>
      <c r="D66" s="10">
        <f t="shared" si="4"/>
        <v>1000</v>
      </c>
      <c r="E66" s="14">
        <f t="shared" si="4"/>
        <v>103</v>
      </c>
      <c r="F66" s="10">
        <f t="shared" si="4"/>
        <v>0</v>
      </c>
      <c r="G66" s="14">
        <f t="shared" si="4"/>
        <v>0</v>
      </c>
      <c r="H66" s="41">
        <f t="shared" si="4"/>
        <v>0</v>
      </c>
      <c r="I66" s="10">
        <f t="shared" si="4"/>
        <v>0</v>
      </c>
      <c r="J66" s="10">
        <f t="shared" si="2"/>
        <v>0</v>
      </c>
      <c r="K66" s="118">
        <f t="shared" si="3"/>
        <v>161860.11066398388</v>
      </c>
    </row>
    <row r="67" spans="1:11" x14ac:dyDescent="0.25">
      <c r="A67" s="49">
        <f>'A) Base RI'!A66</f>
        <v>5495</v>
      </c>
      <c r="B67" s="32" t="str">
        <f>'A) Base RI'!B66</f>
        <v>Penthalaz</v>
      </c>
      <c r="C67" s="14">
        <f>'A) Base RI'!AO66</f>
        <v>3257</v>
      </c>
      <c r="D67" s="10">
        <f t="shared" si="4"/>
        <v>1000</v>
      </c>
      <c r="E67" s="14">
        <f t="shared" si="4"/>
        <v>2000</v>
      </c>
      <c r="F67" s="10">
        <f t="shared" si="4"/>
        <v>257</v>
      </c>
      <c r="G67" s="14">
        <f t="shared" si="4"/>
        <v>0</v>
      </c>
      <c r="H67" s="41">
        <f t="shared" si="4"/>
        <v>0</v>
      </c>
      <c r="I67" s="10">
        <f t="shared" si="4"/>
        <v>0</v>
      </c>
      <c r="J67" s="10">
        <f t="shared" si="2"/>
        <v>0</v>
      </c>
      <c r="K67" s="118">
        <f t="shared" si="3"/>
        <v>958296.27766599588</v>
      </c>
    </row>
    <row r="68" spans="1:11" x14ac:dyDescent="0.25">
      <c r="A68" s="49">
        <f>'A) Base RI'!A67</f>
        <v>5496</v>
      </c>
      <c r="B68" s="32" t="str">
        <f>'A) Base RI'!B67</f>
        <v>Penthaz</v>
      </c>
      <c r="C68" s="14">
        <f>'A) Base RI'!AO67</f>
        <v>1760</v>
      </c>
      <c r="D68" s="10">
        <f t="shared" si="4"/>
        <v>1000</v>
      </c>
      <c r="E68" s="14">
        <f t="shared" si="4"/>
        <v>760</v>
      </c>
      <c r="F68" s="10">
        <f t="shared" si="4"/>
        <v>0</v>
      </c>
      <c r="G68" s="14">
        <f t="shared" si="4"/>
        <v>0</v>
      </c>
      <c r="H68" s="41">
        <f t="shared" si="4"/>
        <v>0</v>
      </c>
      <c r="I68" s="10">
        <f t="shared" si="4"/>
        <v>0</v>
      </c>
      <c r="J68" s="10">
        <f t="shared" si="2"/>
        <v>0</v>
      </c>
      <c r="K68" s="118">
        <f t="shared" si="3"/>
        <v>392966.80080482899</v>
      </c>
    </row>
    <row r="69" spans="1:11" x14ac:dyDescent="0.25">
      <c r="A69" s="49">
        <f>'A) Base RI'!A68</f>
        <v>5497</v>
      </c>
      <c r="B69" s="32" t="str">
        <f>'A) Base RI'!B68</f>
        <v>Pompaples</v>
      </c>
      <c r="C69" s="14">
        <f>'A) Base RI'!AO68</f>
        <v>851</v>
      </c>
      <c r="D69" s="10">
        <f t="shared" si="4"/>
        <v>851</v>
      </c>
      <c r="E69" s="14">
        <f t="shared" si="4"/>
        <v>0</v>
      </c>
      <c r="F69" s="10">
        <f t="shared" si="4"/>
        <v>0</v>
      </c>
      <c r="G69" s="14">
        <f t="shared" si="4"/>
        <v>0</v>
      </c>
      <c r="H69" s="41">
        <f t="shared" si="4"/>
        <v>0</v>
      </c>
      <c r="I69" s="10">
        <f t="shared" si="4"/>
        <v>0</v>
      </c>
      <c r="J69" s="10">
        <f t="shared" si="2"/>
        <v>0</v>
      </c>
      <c r="K69" s="118">
        <f t="shared" si="3"/>
        <v>106910.08551307846</v>
      </c>
    </row>
    <row r="70" spans="1:11" x14ac:dyDescent="0.25">
      <c r="A70" s="49">
        <f>'A) Base RI'!A69</f>
        <v>5498</v>
      </c>
      <c r="B70" s="32" t="str">
        <f>'A) Base RI'!B69</f>
        <v>La Sarraz</v>
      </c>
      <c r="C70" s="14">
        <f>'A) Base RI'!AO69</f>
        <v>2651</v>
      </c>
      <c r="D70" s="10">
        <f t="shared" si="4"/>
        <v>1000</v>
      </c>
      <c r="E70" s="14">
        <f t="shared" si="4"/>
        <v>1651</v>
      </c>
      <c r="F70" s="10">
        <f t="shared" si="4"/>
        <v>0</v>
      </c>
      <c r="G70" s="14">
        <f t="shared" si="4"/>
        <v>0</v>
      </c>
      <c r="H70" s="41">
        <f t="shared" si="4"/>
        <v>0</v>
      </c>
      <c r="I70" s="10">
        <f t="shared" si="4"/>
        <v>0</v>
      </c>
      <c r="J70" s="10">
        <f t="shared" si="2"/>
        <v>0</v>
      </c>
      <c r="K70" s="118">
        <f t="shared" si="3"/>
        <v>706385.46277665987</v>
      </c>
    </row>
    <row r="71" spans="1:11" x14ac:dyDescent="0.25">
      <c r="A71" s="49">
        <f>'A) Base RI'!A70</f>
        <v>5499</v>
      </c>
      <c r="B71" s="32" t="str">
        <f>'A) Base RI'!B70</f>
        <v>Senarclens</v>
      </c>
      <c r="C71" s="14">
        <f>'A) Base RI'!AO70</f>
        <v>477</v>
      </c>
      <c r="D71" s="10">
        <f t="shared" si="4"/>
        <v>477</v>
      </c>
      <c r="E71" s="14">
        <f t="shared" si="4"/>
        <v>0</v>
      </c>
      <c r="F71" s="10">
        <f t="shared" si="4"/>
        <v>0</v>
      </c>
      <c r="G71" s="14">
        <f t="shared" si="4"/>
        <v>0</v>
      </c>
      <c r="H71" s="41">
        <f t="shared" si="4"/>
        <v>0</v>
      </c>
      <c r="I71" s="10">
        <f t="shared" si="4"/>
        <v>0</v>
      </c>
      <c r="J71" s="10">
        <f t="shared" si="2"/>
        <v>0</v>
      </c>
      <c r="K71" s="118">
        <f t="shared" si="3"/>
        <v>59924.924547283699</v>
      </c>
    </row>
    <row r="72" spans="1:11" x14ac:dyDescent="0.25">
      <c r="A72" s="49">
        <f>'A) Base RI'!A71</f>
        <v>5500</v>
      </c>
      <c r="B72" s="32" t="str">
        <f>'A) Base RI'!B71</f>
        <v>Sévery</v>
      </c>
      <c r="C72" s="14">
        <f>'A) Base RI'!AO71</f>
        <v>227</v>
      </c>
      <c r="D72" s="10">
        <f t="shared" si="4"/>
        <v>227</v>
      </c>
      <c r="E72" s="14">
        <f t="shared" si="4"/>
        <v>0</v>
      </c>
      <c r="F72" s="10">
        <f t="shared" si="4"/>
        <v>0</v>
      </c>
      <c r="G72" s="14">
        <f t="shared" si="4"/>
        <v>0</v>
      </c>
      <c r="H72" s="41">
        <f t="shared" si="4"/>
        <v>0</v>
      </c>
      <c r="I72" s="10">
        <f t="shared" si="4"/>
        <v>0</v>
      </c>
      <c r="J72" s="10">
        <f t="shared" si="2"/>
        <v>0</v>
      </c>
      <c r="K72" s="118">
        <f t="shared" si="3"/>
        <v>28517.731388329979</v>
      </c>
    </row>
    <row r="73" spans="1:11" x14ac:dyDescent="0.25">
      <c r="A73" s="49">
        <f>'A) Base RI'!A72</f>
        <v>5501</v>
      </c>
      <c r="B73" s="32" t="str">
        <f>'A) Base RI'!B72</f>
        <v>Sullens</v>
      </c>
      <c r="C73" s="14">
        <f>'A) Base RI'!AO72</f>
        <v>1035</v>
      </c>
      <c r="D73" s="10">
        <f t="shared" si="4"/>
        <v>1000</v>
      </c>
      <c r="E73" s="14">
        <f t="shared" si="4"/>
        <v>35</v>
      </c>
      <c r="F73" s="10">
        <f t="shared" si="4"/>
        <v>0</v>
      </c>
      <c r="G73" s="14">
        <f t="shared" si="4"/>
        <v>0</v>
      </c>
      <c r="H73" s="41">
        <f t="shared" si="4"/>
        <v>0</v>
      </c>
      <c r="I73" s="10">
        <f t="shared" si="4"/>
        <v>0</v>
      </c>
      <c r="J73" s="10">
        <f t="shared" ref="J73:J136" si="5">IF(C73&gt;$J$4,C73-$J$4,0)</f>
        <v>0</v>
      </c>
      <c r="K73" s="118">
        <f t="shared" ref="K73:K136" si="6">(D73*D$7)+(E73*E$7)+(F73*F$7)+(G73*G$7)+(H73*H$7)+(I73*I$7)+(J73*J$7)</f>
        <v>137940.39235412475</v>
      </c>
    </row>
    <row r="74" spans="1:11" x14ac:dyDescent="0.25">
      <c r="A74" s="49">
        <f>'A) Base RI'!A73</f>
        <v>5503</v>
      </c>
      <c r="B74" s="32" t="str">
        <f>'A) Base RI'!B73</f>
        <v>Vufflens-la-Ville</v>
      </c>
      <c r="C74" s="14">
        <f>'A) Base RI'!AO73</f>
        <v>1295</v>
      </c>
      <c r="D74" s="10">
        <f t="shared" si="4"/>
        <v>1000</v>
      </c>
      <c r="E74" s="14">
        <f t="shared" si="4"/>
        <v>295</v>
      </c>
      <c r="F74" s="10">
        <f t="shared" si="4"/>
        <v>0</v>
      </c>
      <c r="G74" s="14">
        <f t="shared" si="4"/>
        <v>0</v>
      </c>
      <c r="H74" s="41">
        <f t="shared" si="4"/>
        <v>0</v>
      </c>
      <c r="I74" s="10">
        <f t="shared" si="4"/>
        <v>0</v>
      </c>
      <c r="J74" s="10">
        <f t="shared" si="5"/>
        <v>0</v>
      </c>
      <c r="K74" s="118">
        <f t="shared" si="6"/>
        <v>229398.13883299797</v>
      </c>
    </row>
    <row r="75" spans="1:11" x14ac:dyDescent="0.25">
      <c r="A75" s="49">
        <f>'A) Base RI'!A74</f>
        <v>5511</v>
      </c>
      <c r="B75" s="32" t="str">
        <f>'A) Base RI'!B74</f>
        <v>Assens</v>
      </c>
      <c r="C75" s="14">
        <f>'A) Base RI'!AO74</f>
        <v>1074</v>
      </c>
      <c r="D75" s="10">
        <f t="shared" si="4"/>
        <v>1000</v>
      </c>
      <c r="E75" s="14">
        <f t="shared" si="4"/>
        <v>74</v>
      </c>
      <c r="F75" s="10">
        <f t="shared" si="4"/>
        <v>0</v>
      </c>
      <c r="G75" s="14">
        <f t="shared" si="4"/>
        <v>0</v>
      </c>
      <c r="H75" s="41">
        <f t="shared" si="4"/>
        <v>0</v>
      </c>
      <c r="I75" s="10">
        <f t="shared" si="4"/>
        <v>0</v>
      </c>
      <c r="J75" s="10">
        <f t="shared" si="5"/>
        <v>0</v>
      </c>
      <c r="K75" s="118">
        <f t="shared" si="6"/>
        <v>151659.05432595572</v>
      </c>
    </row>
    <row r="76" spans="1:11" x14ac:dyDescent="0.25">
      <c r="A76" s="49">
        <f>'A) Base RI'!A75</f>
        <v>5512</v>
      </c>
      <c r="B76" s="32" t="str">
        <f>'A) Base RI'!B75</f>
        <v>Bercher</v>
      </c>
      <c r="C76" s="14">
        <f>'A) Base RI'!AO75</f>
        <v>1280</v>
      </c>
      <c r="D76" s="10">
        <f t="shared" si="4"/>
        <v>1000</v>
      </c>
      <c r="E76" s="14">
        <f t="shared" si="4"/>
        <v>280</v>
      </c>
      <c r="F76" s="10">
        <f t="shared" si="4"/>
        <v>0</v>
      </c>
      <c r="G76" s="14">
        <f t="shared" si="4"/>
        <v>0</v>
      </c>
      <c r="H76" s="41">
        <f t="shared" si="4"/>
        <v>0</v>
      </c>
      <c r="I76" s="10">
        <f t="shared" si="4"/>
        <v>0</v>
      </c>
      <c r="J76" s="10">
        <f t="shared" si="5"/>
        <v>0</v>
      </c>
      <c r="K76" s="118">
        <f t="shared" si="6"/>
        <v>224121.73038229375</v>
      </c>
    </row>
    <row r="77" spans="1:11" x14ac:dyDescent="0.25">
      <c r="A77" s="49">
        <f>'A) Base RI'!A76</f>
        <v>5513</v>
      </c>
      <c r="B77" s="32" t="str">
        <f>'A) Base RI'!B76</f>
        <v>Bioley-Orjulaz</v>
      </c>
      <c r="C77" s="14">
        <f>'A) Base RI'!AO76</f>
        <v>521</v>
      </c>
      <c r="D77" s="10">
        <f t="shared" si="4"/>
        <v>521</v>
      </c>
      <c r="E77" s="14">
        <f t="shared" si="4"/>
        <v>0</v>
      </c>
      <c r="F77" s="10">
        <f t="shared" si="4"/>
        <v>0</v>
      </c>
      <c r="G77" s="14">
        <f t="shared" si="4"/>
        <v>0</v>
      </c>
      <c r="H77" s="41">
        <f t="shared" si="4"/>
        <v>0</v>
      </c>
      <c r="I77" s="10">
        <f t="shared" si="4"/>
        <v>0</v>
      </c>
      <c r="J77" s="10">
        <f t="shared" si="5"/>
        <v>0</v>
      </c>
      <c r="K77" s="118">
        <f t="shared" si="6"/>
        <v>65452.590543259554</v>
      </c>
    </row>
    <row r="78" spans="1:11" x14ac:dyDescent="0.25">
      <c r="A78" s="49">
        <f>'A) Base RI'!A77</f>
        <v>5514</v>
      </c>
      <c r="B78" s="32" t="str">
        <f>'A) Base RI'!B77</f>
        <v>Bottens</v>
      </c>
      <c r="C78" s="14">
        <f>'A) Base RI'!AO77</f>
        <v>1299</v>
      </c>
      <c r="D78" s="10">
        <f t="shared" si="4"/>
        <v>1000</v>
      </c>
      <c r="E78" s="14">
        <f t="shared" si="4"/>
        <v>299</v>
      </c>
      <c r="F78" s="10">
        <f t="shared" si="4"/>
        <v>0</v>
      </c>
      <c r="G78" s="14">
        <f t="shared" si="4"/>
        <v>0</v>
      </c>
      <c r="H78" s="41">
        <f t="shared" si="4"/>
        <v>0</v>
      </c>
      <c r="I78" s="10">
        <f t="shared" si="4"/>
        <v>0</v>
      </c>
      <c r="J78" s="10">
        <f t="shared" si="5"/>
        <v>0</v>
      </c>
      <c r="K78" s="118">
        <f t="shared" si="6"/>
        <v>230805.18108651909</v>
      </c>
    </row>
    <row r="79" spans="1:11" x14ac:dyDescent="0.25">
      <c r="A79" s="49">
        <f>'A) Base RI'!A78</f>
        <v>5515</v>
      </c>
      <c r="B79" s="32" t="str">
        <f>'A) Base RI'!B78</f>
        <v>Bretigny-sur-Morrens</v>
      </c>
      <c r="C79" s="14">
        <f>'A) Base RI'!AO78</f>
        <v>861</v>
      </c>
      <c r="D79" s="10">
        <f t="shared" si="4"/>
        <v>861</v>
      </c>
      <c r="E79" s="14">
        <f t="shared" si="4"/>
        <v>0</v>
      </c>
      <c r="F79" s="10">
        <f t="shared" si="4"/>
        <v>0</v>
      </c>
      <c r="G79" s="14">
        <f t="shared" si="4"/>
        <v>0</v>
      </c>
      <c r="H79" s="41">
        <f t="shared" si="4"/>
        <v>0</v>
      </c>
      <c r="I79" s="10">
        <f t="shared" si="4"/>
        <v>0</v>
      </c>
      <c r="J79" s="10">
        <f t="shared" si="5"/>
        <v>0</v>
      </c>
      <c r="K79" s="118">
        <f t="shared" si="6"/>
        <v>108166.37323943661</v>
      </c>
    </row>
    <row r="80" spans="1:11" x14ac:dyDescent="0.25">
      <c r="A80" s="49">
        <f>'A) Base RI'!A79</f>
        <v>5516</v>
      </c>
      <c r="B80" s="32" t="str">
        <f>'A) Base RI'!B79</f>
        <v>Cugy</v>
      </c>
      <c r="C80" s="14">
        <f>'A) Base RI'!AO79</f>
        <v>2768</v>
      </c>
      <c r="D80" s="10">
        <f t="shared" si="4"/>
        <v>1000</v>
      </c>
      <c r="E80" s="14">
        <f t="shared" si="4"/>
        <v>1768</v>
      </c>
      <c r="F80" s="10">
        <f t="shared" si="4"/>
        <v>0</v>
      </c>
      <c r="G80" s="14">
        <f t="shared" si="4"/>
        <v>0</v>
      </c>
      <c r="H80" s="41">
        <f t="shared" si="4"/>
        <v>0</v>
      </c>
      <c r="I80" s="10">
        <f t="shared" si="4"/>
        <v>0</v>
      </c>
      <c r="J80" s="10">
        <f t="shared" si="5"/>
        <v>0</v>
      </c>
      <c r="K80" s="118">
        <f t="shared" si="6"/>
        <v>747541.44869215286</v>
      </c>
    </row>
    <row r="81" spans="1:11" x14ac:dyDescent="0.25">
      <c r="A81" s="49">
        <f>'A) Base RI'!A80</f>
        <v>5518</v>
      </c>
      <c r="B81" s="32" t="str">
        <f>'A) Base RI'!B80</f>
        <v>Echallens</v>
      </c>
      <c r="C81" s="14">
        <f>'A) Base RI'!AO80</f>
        <v>5725</v>
      </c>
      <c r="D81" s="10">
        <f t="shared" si="4"/>
        <v>1000</v>
      </c>
      <c r="E81" s="14">
        <f t="shared" si="4"/>
        <v>2000</v>
      </c>
      <c r="F81" s="10">
        <f t="shared" si="4"/>
        <v>2000</v>
      </c>
      <c r="G81" s="14">
        <f t="shared" si="4"/>
        <v>725</v>
      </c>
      <c r="H81" s="41">
        <f t="shared" si="4"/>
        <v>0</v>
      </c>
      <c r="I81" s="10">
        <f t="shared" si="4"/>
        <v>0</v>
      </c>
      <c r="J81" s="10">
        <f t="shared" si="5"/>
        <v>0</v>
      </c>
      <c r="K81" s="118">
        <f t="shared" si="6"/>
        <v>2271368.2092555333</v>
      </c>
    </row>
    <row r="82" spans="1:11" x14ac:dyDescent="0.25">
      <c r="A82" s="49">
        <f>'A) Base RI'!A81</f>
        <v>5520</v>
      </c>
      <c r="B82" s="32" t="str">
        <f>'A) Base RI'!B81</f>
        <v>Essertines-sur-Yverdon</v>
      </c>
      <c r="C82" s="14">
        <f>'A) Base RI'!AO81</f>
        <v>1030</v>
      </c>
      <c r="D82" s="10">
        <f t="shared" si="4"/>
        <v>1000</v>
      </c>
      <c r="E82" s="14">
        <f t="shared" si="4"/>
        <v>30</v>
      </c>
      <c r="F82" s="10">
        <f t="shared" si="4"/>
        <v>0</v>
      </c>
      <c r="G82" s="14">
        <f t="shared" si="4"/>
        <v>0</v>
      </c>
      <c r="H82" s="41">
        <f t="shared" si="4"/>
        <v>0</v>
      </c>
      <c r="I82" s="10">
        <f t="shared" si="4"/>
        <v>0</v>
      </c>
      <c r="J82" s="10">
        <f t="shared" si="5"/>
        <v>0</v>
      </c>
      <c r="K82" s="118">
        <f t="shared" si="6"/>
        <v>136181.58953722334</v>
      </c>
    </row>
    <row r="83" spans="1:11" x14ac:dyDescent="0.25">
      <c r="A83" s="49">
        <f>'A) Base RI'!A82</f>
        <v>5521</v>
      </c>
      <c r="B83" s="32" t="str">
        <f>'A) Base RI'!B82</f>
        <v>Etagnières</v>
      </c>
      <c r="C83" s="14">
        <f>'A) Base RI'!AO82</f>
        <v>1143</v>
      </c>
      <c r="D83" s="10">
        <f t="shared" si="4"/>
        <v>1000</v>
      </c>
      <c r="E83" s="14">
        <f t="shared" si="4"/>
        <v>143</v>
      </c>
      <c r="F83" s="10">
        <f t="shared" si="4"/>
        <v>0</v>
      </c>
      <c r="G83" s="14">
        <f t="shared" si="4"/>
        <v>0</v>
      </c>
      <c r="H83" s="41">
        <f t="shared" si="4"/>
        <v>0</v>
      </c>
      <c r="I83" s="10">
        <f t="shared" si="4"/>
        <v>0</v>
      </c>
      <c r="J83" s="10">
        <f t="shared" si="5"/>
        <v>0</v>
      </c>
      <c r="K83" s="118">
        <f t="shared" si="6"/>
        <v>175930.53319919517</v>
      </c>
    </row>
    <row r="84" spans="1:11" x14ac:dyDescent="0.25">
      <c r="A84" s="49">
        <f>'A) Base RI'!A83</f>
        <v>5522</v>
      </c>
      <c r="B84" s="32" t="str">
        <f>'A) Base RI'!B83</f>
        <v>Fey</v>
      </c>
      <c r="C84" s="14">
        <f>'A) Base RI'!AO83</f>
        <v>751</v>
      </c>
      <c r="D84" s="10">
        <f t="shared" si="4"/>
        <v>751</v>
      </c>
      <c r="E84" s="14">
        <f t="shared" si="4"/>
        <v>0</v>
      </c>
      <c r="F84" s="10">
        <f t="shared" si="4"/>
        <v>0</v>
      </c>
      <c r="G84" s="14">
        <f t="shared" si="4"/>
        <v>0</v>
      </c>
      <c r="H84" s="41">
        <f t="shared" si="4"/>
        <v>0</v>
      </c>
      <c r="I84" s="10">
        <f t="shared" si="4"/>
        <v>0</v>
      </c>
      <c r="J84" s="10">
        <f t="shared" si="5"/>
        <v>0</v>
      </c>
      <c r="K84" s="118">
        <f t="shared" si="6"/>
        <v>94347.20824949698</v>
      </c>
    </row>
    <row r="85" spans="1:11" x14ac:dyDescent="0.25">
      <c r="A85" s="49">
        <f>'A) Base RI'!A84</f>
        <v>5523</v>
      </c>
      <c r="B85" s="32" t="str">
        <f>'A) Base RI'!B84</f>
        <v>Froideville</v>
      </c>
      <c r="C85" s="14">
        <f>'A) Base RI'!AO84</f>
        <v>2638</v>
      </c>
      <c r="D85" s="10">
        <f t="shared" si="4"/>
        <v>1000</v>
      </c>
      <c r="E85" s="14">
        <f t="shared" si="4"/>
        <v>1638</v>
      </c>
      <c r="F85" s="10">
        <f t="shared" si="4"/>
        <v>0</v>
      </c>
      <c r="G85" s="14">
        <f t="shared" si="4"/>
        <v>0</v>
      </c>
      <c r="H85" s="41">
        <f t="shared" si="4"/>
        <v>0</v>
      </c>
      <c r="I85" s="10">
        <f t="shared" si="4"/>
        <v>0</v>
      </c>
      <c r="J85" s="10">
        <f t="shared" si="5"/>
        <v>0</v>
      </c>
      <c r="K85" s="118">
        <f t="shared" si="6"/>
        <v>701812.57545271621</v>
      </c>
    </row>
    <row r="86" spans="1:11" x14ac:dyDescent="0.25">
      <c r="A86" s="49">
        <f>'A) Base RI'!A85</f>
        <v>5527</v>
      </c>
      <c r="B86" s="32" t="str">
        <f>'A) Base RI'!B85</f>
        <v>Morrens</v>
      </c>
      <c r="C86" s="14">
        <f>'A) Base RI'!AO85</f>
        <v>1126</v>
      </c>
      <c r="D86" s="10">
        <f t="shared" si="4"/>
        <v>1000</v>
      </c>
      <c r="E86" s="14">
        <f t="shared" si="4"/>
        <v>126</v>
      </c>
      <c r="F86" s="10">
        <f t="shared" si="4"/>
        <v>0</v>
      </c>
      <c r="G86" s="14">
        <f t="shared" si="4"/>
        <v>0</v>
      </c>
      <c r="H86" s="41">
        <f t="shared" si="4"/>
        <v>0</v>
      </c>
      <c r="I86" s="10">
        <f t="shared" si="4"/>
        <v>0</v>
      </c>
      <c r="J86" s="10">
        <f t="shared" si="5"/>
        <v>0</v>
      </c>
      <c r="K86" s="118">
        <f t="shared" si="6"/>
        <v>169950.60362173038</v>
      </c>
    </row>
    <row r="87" spans="1:11" x14ac:dyDescent="0.25">
      <c r="A87" s="49">
        <f>'A) Base RI'!A86</f>
        <v>5529</v>
      </c>
      <c r="B87" s="32" t="str">
        <f>'A) Base RI'!B86</f>
        <v>Oulens-sous-Echallens</v>
      </c>
      <c r="C87" s="14">
        <f>'A) Base RI'!AO86</f>
        <v>615</v>
      </c>
      <c r="D87" s="10">
        <f t="shared" si="4"/>
        <v>615</v>
      </c>
      <c r="E87" s="14">
        <f t="shared" si="4"/>
        <v>0</v>
      </c>
      <c r="F87" s="10">
        <f t="shared" si="4"/>
        <v>0</v>
      </c>
      <c r="G87" s="14">
        <f t="shared" si="4"/>
        <v>0</v>
      </c>
      <c r="H87" s="41">
        <f t="shared" si="4"/>
        <v>0</v>
      </c>
      <c r="I87" s="10">
        <f t="shared" si="4"/>
        <v>0</v>
      </c>
      <c r="J87" s="10">
        <f t="shared" si="5"/>
        <v>0</v>
      </c>
      <c r="K87" s="118">
        <f t="shared" si="6"/>
        <v>77261.695171026149</v>
      </c>
    </row>
    <row r="88" spans="1:11" x14ac:dyDescent="0.25">
      <c r="A88" s="49">
        <f>'A) Base RI'!A87</f>
        <v>5530</v>
      </c>
      <c r="B88" s="32" t="str">
        <f>'A) Base RI'!B87</f>
        <v>Pailly</v>
      </c>
      <c r="C88" s="14">
        <f>'A) Base RI'!AO87</f>
        <v>563</v>
      </c>
      <c r="D88" s="10">
        <f t="shared" si="4"/>
        <v>563</v>
      </c>
      <c r="E88" s="14">
        <f t="shared" si="4"/>
        <v>0</v>
      </c>
      <c r="F88" s="10">
        <f t="shared" si="4"/>
        <v>0</v>
      </c>
      <c r="G88" s="14">
        <f t="shared" si="4"/>
        <v>0</v>
      </c>
      <c r="H88" s="41">
        <f t="shared" si="4"/>
        <v>0</v>
      </c>
      <c r="I88" s="10">
        <f t="shared" si="4"/>
        <v>0</v>
      </c>
      <c r="J88" s="10">
        <f t="shared" si="5"/>
        <v>0</v>
      </c>
      <c r="K88" s="118">
        <f t="shared" si="6"/>
        <v>70728.998993963774</v>
      </c>
    </row>
    <row r="89" spans="1:11" x14ac:dyDescent="0.25">
      <c r="A89" s="49">
        <f>'A) Base RI'!A88</f>
        <v>5531</v>
      </c>
      <c r="B89" s="32" t="str">
        <f>'A) Base RI'!B88</f>
        <v>Penthéréaz</v>
      </c>
      <c r="C89" s="14">
        <f>'A) Base RI'!AO88</f>
        <v>421</v>
      </c>
      <c r="D89" s="10">
        <f t="shared" si="4"/>
        <v>421</v>
      </c>
      <c r="E89" s="14">
        <f t="shared" si="4"/>
        <v>0</v>
      </c>
      <c r="F89" s="10">
        <f t="shared" si="4"/>
        <v>0</v>
      </c>
      <c r="G89" s="14">
        <f t="shared" si="4"/>
        <v>0</v>
      </c>
      <c r="H89" s="41">
        <f t="shared" si="4"/>
        <v>0</v>
      </c>
      <c r="I89" s="10">
        <f t="shared" si="4"/>
        <v>0</v>
      </c>
      <c r="J89" s="10">
        <f t="shared" si="5"/>
        <v>0</v>
      </c>
      <c r="K89" s="118">
        <f t="shared" si="6"/>
        <v>52889.713279678064</v>
      </c>
    </row>
    <row r="90" spans="1:11" x14ac:dyDescent="0.25">
      <c r="A90" s="49">
        <f>'A) Base RI'!A89</f>
        <v>5533</v>
      </c>
      <c r="B90" s="32" t="str">
        <f>'A) Base RI'!B89</f>
        <v>Poliez-Pittet</v>
      </c>
      <c r="C90" s="14">
        <f>'A) Base RI'!AO89</f>
        <v>829</v>
      </c>
      <c r="D90" s="10">
        <f t="shared" si="4"/>
        <v>829</v>
      </c>
      <c r="E90" s="14">
        <f t="shared" si="4"/>
        <v>0</v>
      </c>
      <c r="F90" s="10">
        <f t="shared" si="4"/>
        <v>0</v>
      </c>
      <c r="G90" s="14">
        <f t="shared" si="4"/>
        <v>0</v>
      </c>
      <c r="H90" s="41">
        <f t="shared" si="4"/>
        <v>0</v>
      </c>
      <c r="I90" s="10">
        <f t="shared" si="4"/>
        <v>0</v>
      </c>
      <c r="J90" s="10">
        <f t="shared" si="5"/>
        <v>0</v>
      </c>
      <c r="K90" s="118">
        <f t="shared" si="6"/>
        <v>104146.25251509054</v>
      </c>
    </row>
    <row r="91" spans="1:11" x14ac:dyDescent="0.25">
      <c r="A91" s="49">
        <f>'A) Base RI'!A90</f>
        <v>5534</v>
      </c>
      <c r="B91" s="32" t="str">
        <f>'A) Base RI'!B90</f>
        <v>Rueyres</v>
      </c>
      <c r="C91" s="14">
        <f>'A) Base RI'!AO90</f>
        <v>265</v>
      </c>
      <c r="D91" s="10">
        <f t="shared" si="4"/>
        <v>265</v>
      </c>
      <c r="E91" s="14">
        <f t="shared" si="4"/>
        <v>0</v>
      </c>
      <c r="F91" s="10">
        <f t="shared" si="4"/>
        <v>0</v>
      </c>
      <c r="G91" s="14">
        <f t="shared" si="4"/>
        <v>0</v>
      </c>
      <c r="H91" s="41">
        <f t="shared" si="4"/>
        <v>0</v>
      </c>
      <c r="I91" s="10">
        <f t="shared" si="4"/>
        <v>0</v>
      </c>
      <c r="J91" s="10">
        <f t="shared" si="5"/>
        <v>0</v>
      </c>
      <c r="K91" s="118">
        <f t="shared" si="6"/>
        <v>33291.624748490947</v>
      </c>
    </row>
    <row r="92" spans="1:11" x14ac:dyDescent="0.25">
      <c r="A92" s="49">
        <f>'A) Base RI'!A91</f>
        <v>5535</v>
      </c>
      <c r="B92" s="32" t="str">
        <f>'A) Base RI'!B91</f>
        <v>Saint-Barthélemy</v>
      </c>
      <c r="C92" s="14">
        <f>'A) Base RI'!AO91</f>
        <v>791</v>
      </c>
      <c r="D92" s="10">
        <f t="shared" si="4"/>
        <v>791</v>
      </c>
      <c r="E92" s="14">
        <f t="shared" si="4"/>
        <v>0</v>
      </c>
      <c r="F92" s="10">
        <f t="shared" si="4"/>
        <v>0</v>
      </c>
      <c r="G92" s="14">
        <f t="shared" si="4"/>
        <v>0</v>
      </c>
      <c r="H92" s="41">
        <f t="shared" si="4"/>
        <v>0</v>
      </c>
      <c r="I92" s="10">
        <f t="shared" si="4"/>
        <v>0</v>
      </c>
      <c r="J92" s="10">
        <f t="shared" si="5"/>
        <v>0</v>
      </c>
      <c r="K92" s="118">
        <f t="shared" si="6"/>
        <v>99372.359154929567</v>
      </c>
    </row>
    <row r="93" spans="1:11" x14ac:dyDescent="0.25">
      <c r="A93" s="49">
        <f>'A) Base RI'!A92</f>
        <v>5537</v>
      </c>
      <c r="B93" s="32" t="str">
        <f>'A) Base RI'!B92</f>
        <v>Villars-le-Terroir</v>
      </c>
      <c r="C93" s="14">
        <f>'A) Base RI'!AO92</f>
        <v>1228</v>
      </c>
      <c r="D93" s="10">
        <f t="shared" si="4"/>
        <v>1000</v>
      </c>
      <c r="E93" s="14">
        <f t="shared" si="4"/>
        <v>228</v>
      </c>
      <c r="F93" s="10">
        <f t="shared" si="4"/>
        <v>0</v>
      </c>
      <c r="G93" s="14">
        <f t="shared" si="4"/>
        <v>0</v>
      </c>
      <c r="H93" s="41">
        <f t="shared" si="4"/>
        <v>0</v>
      </c>
      <c r="I93" s="10">
        <f t="shared" si="4"/>
        <v>0</v>
      </c>
      <c r="J93" s="10">
        <f t="shared" si="5"/>
        <v>0</v>
      </c>
      <c r="K93" s="118">
        <f t="shared" si="6"/>
        <v>205830.18108651909</v>
      </c>
    </row>
    <row r="94" spans="1:11" x14ac:dyDescent="0.25">
      <c r="A94" s="49">
        <f>'A) Base RI'!A93</f>
        <v>5539</v>
      </c>
      <c r="B94" s="32" t="str">
        <f>'A) Base RI'!B93</f>
        <v>Vuarrens</v>
      </c>
      <c r="C94" s="14">
        <f>'A) Base RI'!AO93</f>
        <v>1054</v>
      </c>
      <c r="D94" s="10">
        <f t="shared" si="4"/>
        <v>1000</v>
      </c>
      <c r="E94" s="14">
        <f t="shared" si="4"/>
        <v>54</v>
      </c>
      <c r="F94" s="10">
        <f t="shared" si="4"/>
        <v>0</v>
      </c>
      <c r="G94" s="14">
        <f t="shared" si="4"/>
        <v>0</v>
      </c>
      <c r="H94" s="41">
        <f t="shared" si="4"/>
        <v>0</v>
      </c>
      <c r="I94" s="10">
        <f t="shared" si="4"/>
        <v>0</v>
      </c>
      <c r="J94" s="10">
        <f t="shared" si="5"/>
        <v>0</v>
      </c>
      <c r="K94" s="118">
        <f t="shared" si="6"/>
        <v>144623.84305835009</v>
      </c>
    </row>
    <row r="95" spans="1:11" x14ac:dyDescent="0.25">
      <c r="A95" s="49">
        <f>'A) Base RI'!A94</f>
        <v>5540</v>
      </c>
      <c r="B95" s="32" t="str">
        <f>'A) Base RI'!B94</f>
        <v>Montilliez</v>
      </c>
      <c r="C95" s="14">
        <f>'A) Base RI'!AO94</f>
        <v>1819</v>
      </c>
      <c r="D95" s="10">
        <f t="shared" si="4"/>
        <v>1000</v>
      </c>
      <c r="E95" s="14">
        <f t="shared" si="4"/>
        <v>819</v>
      </c>
      <c r="F95" s="10">
        <f t="shared" si="4"/>
        <v>0</v>
      </c>
      <c r="G95" s="14">
        <f t="shared" si="4"/>
        <v>0</v>
      </c>
      <c r="H95" s="41">
        <f t="shared" si="4"/>
        <v>0</v>
      </c>
      <c r="I95" s="10">
        <f t="shared" si="4"/>
        <v>0</v>
      </c>
      <c r="J95" s="10">
        <f t="shared" si="5"/>
        <v>0</v>
      </c>
      <c r="K95" s="118">
        <f t="shared" si="6"/>
        <v>413720.67404426553</v>
      </c>
    </row>
    <row r="96" spans="1:11" x14ac:dyDescent="0.25">
      <c r="A96" s="49">
        <f>'A) Base RI'!A95</f>
        <v>5541</v>
      </c>
      <c r="B96" s="32" t="str">
        <f>'A) Base RI'!B95</f>
        <v>Goumoëns</v>
      </c>
      <c r="C96" s="14">
        <f>'A) Base RI'!AO95</f>
        <v>1140</v>
      </c>
      <c r="D96" s="10">
        <f t="shared" si="4"/>
        <v>1000</v>
      </c>
      <c r="E96" s="14">
        <f t="shared" si="4"/>
        <v>140</v>
      </c>
      <c r="F96" s="10">
        <f t="shared" si="4"/>
        <v>0</v>
      </c>
      <c r="G96" s="14">
        <f t="shared" si="4"/>
        <v>0</v>
      </c>
      <c r="H96" s="41">
        <f t="shared" si="4"/>
        <v>0</v>
      </c>
      <c r="I96" s="10">
        <f t="shared" si="4"/>
        <v>0</v>
      </c>
      <c r="J96" s="10">
        <f t="shared" si="5"/>
        <v>0</v>
      </c>
      <c r="K96" s="118">
        <f t="shared" si="6"/>
        <v>174875.2515090543</v>
      </c>
    </row>
    <row r="97" spans="1:11" x14ac:dyDescent="0.25">
      <c r="A97" s="49">
        <f>'A) Base RI'!A96</f>
        <v>5551</v>
      </c>
      <c r="B97" s="32" t="str">
        <f>'A) Base RI'!B96</f>
        <v>Bonvillars</v>
      </c>
      <c r="C97" s="14">
        <f>'A) Base RI'!AO96</f>
        <v>490</v>
      </c>
      <c r="D97" s="10">
        <f t="shared" si="4"/>
        <v>490</v>
      </c>
      <c r="E97" s="14">
        <f t="shared" si="4"/>
        <v>0</v>
      </c>
      <c r="F97" s="10">
        <f t="shared" si="4"/>
        <v>0</v>
      </c>
      <c r="G97" s="14">
        <f t="shared" si="4"/>
        <v>0</v>
      </c>
      <c r="H97" s="41">
        <f t="shared" si="4"/>
        <v>0</v>
      </c>
      <c r="I97" s="10">
        <f t="shared" si="4"/>
        <v>0</v>
      </c>
      <c r="J97" s="10">
        <f t="shared" si="5"/>
        <v>0</v>
      </c>
      <c r="K97" s="118">
        <f t="shared" si="6"/>
        <v>61558.098591549293</v>
      </c>
    </row>
    <row r="98" spans="1:11" x14ac:dyDescent="0.25">
      <c r="A98" s="49">
        <f>'A) Base RI'!A97</f>
        <v>5552</v>
      </c>
      <c r="B98" s="32" t="str">
        <f>'A) Base RI'!B97</f>
        <v>Bullet</v>
      </c>
      <c r="C98" s="14">
        <f>'A) Base RI'!AO97</f>
        <v>657</v>
      </c>
      <c r="D98" s="10">
        <f t="shared" si="4"/>
        <v>657</v>
      </c>
      <c r="E98" s="14">
        <f t="shared" si="4"/>
        <v>0</v>
      </c>
      <c r="F98" s="10">
        <f t="shared" si="4"/>
        <v>0</v>
      </c>
      <c r="G98" s="14">
        <f t="shared" si="4"/>
        <v>0</v>
      </c>
      <c r="H98" s="41">
        <f t="shared" si="4"/>
        <v>0</v>
      </c>
      <c r="I98" s="10">
        <f t="shared" si="4"/>
        <v>0</v>
      </c>
      <c r="J98" s="10">
        <f t="shared" si="5"/>
        <v>0</v>
      </c>
      <c r="K98" s="118">
        <f t="shared" si="6"/>
        <v>82538.103621730377</v>
      </c>
    </row>
    <row r="99" spans="1:11" x14ac:dyDescent="0.25">
      <c r="A99" s="49">
        <f>'A) Base RI'!A98</f>
        <v>5553</v>
      </c>
      <c r="B99" s="32" t="str">
        <f>'A) Base RI'!B98</f>
        <v>Champagne</v>
      </c>
      <c r="C99" s="14">
        <f>'A) Base RI'!AO98</f>
        <v>1059</v>
      </c>
      <c r="D99" s="10">
        <f t="shared" si="4"/>
        <v>1000</v>
      </c>
      <c r="E99" s="14">
        <f t="shared" si="4"/>
        <v>59</v>
      </c>
      <c r="F99" s="10">
        <f t="shared" si="4"/>
        <v>0</v>
      </c>
      <c r="G99" s="14">
        <f t="shared" si="4"/>
        <v>0</v>
      </c>
      <c r="H99" s="41">
        <f t="shared" si="4"/>
        <v>0</v>
      </c>
      <c r="I99" s="10">
        <f t="shared" si="4"/>
        <v>0</v>
      </c>
      <c r="J99" s="10">
        <f t="shared" si="5"/>
        <v>0</v>
      </c>
      <c r="K99" s="118">
        <f t="shared" si="6"/>
        <v>146382.6458752515</v>
      </c>
    </row>
    <row r="100" spans="1:11" x14ac:dyDescent="0.25">
      <c r="A100" s="49">
        <f>'A) Base RI'!A99</f>
        <v>5554</v>
      </c>
      <c r="B100" s="32" t="str">
        <f>'A) Base RI'!B99</f>
        <v>Concise</v>
      </c>
      <c r="C100" s="14">
        <f>'A) Base RI'!AO99</f>
        <v>1025</v>
      </c>
      <c r="D100" s="10">
        <f t="shared" si="4"/>
        <v>1000</v>
      </c>
      <c r="E100" s="14">
        <f t="shared" si="4"/>
        <v>25</v>
      </c>
      <c r="F100" s="10">
        <f t="shared" si="4"/>
        <v>0</v>
      </c>
      <c r="G100" s="14">
        <f t="shared" si="4"/>
        <v>0</v>
      </c>
      <c r="H100" s="41">
        <f t="shared" si="4"/>
        <v>0</v>
      </c>
      <c r="I100" s="10">
        <f t="shared" si="4"/>
        <v>0</v>
      </c>
      <c r="J100" s="10">
        <f t="shared" si="5"/>
        <v>0</v>
      </c>
      <c r="K100" s="118">
        <f t="shared" si="6"/>
        <v>134422.78672032192</v>
      </c>
    </row>
    <row r="101" spans="1:11" x14ac:dyDescent="0.25">
      <c r="A101" s="49">
        <f>'A) Base RI'!A100</f>
        <v>5555</v>
      </c>
      <c r="B101" s="32" t="str">
        <f>'A) Base RI'!B100</f>
        <v>Corcelles-près-Concise</v>
      </c>
      <c r="C101" s="14">
        <f>'A) Base RI'!AO100</f>
        <v>401</v>
      </c>
      <c r="D101" s="10">
        <f t="shared" si="4"/>
        <v>401</v>
      </c>
      <c r="E101" s="14">
        <f t="shared" si="4"/>
        <v>0</v>
      </c>
      <c r="F101" s="10">
        <f t="shared" si="4"/>
        <v>0</v>
      </c>
      <c r="G101" s="14">
        <f t="shared" si="4"/>
        <v>0</v>
      </c>
      <c r="H101" s="41">
        <f t="shared" si="4"/>
        <v>0</v>
      </c>
      <c r="I101" s="10">
        <f t="shared" si="4"/>
        <v>0</v>
      </c>
      <c r="J101" s="10">
        <f t="shared" si="5"/>
        <v>0</v>
      </c>
      <c r="K101" s="118">
        <f t="shared" si="6"/>
        <v>50377.137826961771</v>
      </c>
    </row>
    <row r="102" spans="1:11" x14ac:dyDescent="0.25">
      <c r="A102" s="49">
        <f>'A) Base RI'!A101</f>
        <v>5556</v>
      </c>
      <c r="B102" s="32" t="str">
        <f>'A) Base RI'!B101</f>
        <v>Fiez</v>
      </c>
      <c r="C102" s="14">
        <f>'A) Base RI'!AO101</f>
        <v>445</v>
      </c>
      <c r="D102" s="10">
        <f t="shared" si="4"/>
        <v>445</v>
      </c>
      <c r="E102" s="14">
        <f t="shared" si="4"/>
        <v>0</v>
      </c>
      <c r="F102" s="10">
        <f t="shared" si="4"/>
        <v>0</v>
      </c>
      <c r="G102" s="14">
        <f t="shared" si="4"/>
        <v>0</v>
      </c>
      <c r="H102" s="41">
        <f t="shared" si="4"/>
        <v>0</v>
      </c>
      <c r="I102" s="10">
        <f t="shared" si="4"/>
        <v>0</v>
      </c>
      <c r="J102" s="10">
        <f t="shared" si="5"/>
        <v>0</v>
      </c>
      <c r="K102" s="118">
        <f t="shared" si="6"/>
        <v>55904.803822937625</v>
      </c>
    </row>
    <row r="103" spans="1:11" x14ac:dyDescent="0.25">
      <c r="A103" s="49">
        <f>'A) Base RI'!A102</f>
        <v>5557</v>
      </c>
      <c r="B103" s="32" t="str">
        <f>'A) Base RI'!B102</f>
        <v>Fontaines-sur-Grandson</v>
      </c>
      <c r="C103" s="14">
        <f>'A) Base RI'!AO102</f>
        <v>215</v>
      </c>
      <c r="D103" s="10">
        <f t="shared" si="4"/>
        <v>215</v>
      </c>
      <c r="E103" s="14">
        <f t="shared" si="4"/>
        <v>0</v>
      </c>
      <c r="F103" s="10">
        <f t="shared" si="4"/>
        <v>0</v>
      </c>
      <c r="G103" s="14">
        <f t="shared" si="4"/>
        <v>0</v>
      </c>
      <c r="H103" s="41">
        <f t="shared" si="4"/>
        <v>0</v>
      </c>
      <c r="I103" s="10">
        <f t="shared" si="4"/>
        <v>0</v>
      </c>
      <c r="J103" s="10">
        <f t="shared" si="5"/>
        <v>0</v>
      </c>
      <c r="K103" s="118">
        <f t="shared" si="6"/>
        <v>27010.186116700199</v>
      </c>
    </row>
    <row r="104" spans="1:11" x14ac:dyDescent="0.25">
      <c r="A104" s="49">
        <f>'A) Base RI'!A103</f>
        <v>5559</v>
      </c>
      <c r="B104" s="32" t="str">
        <f>'A) Base RI'!B103</f>
        <v>Giez</v>
      </c>
      <c r="C104" s="14">
        <f>'A) Base RI'!AO103</f>
        <v>414</v>
      </c>
      <c r="D104" s="10">
        <f t="shared" si="4"/>
        <v>414</v>
      </c>
      <c r="E104" s="14">
        <f t="shared" si="4"/>
        <v>0</v>
      </c>
      <c r="F104" s="10">
        <f t="shared" si="4"/>
        <v>0</v>
      </c>
      <c r="G104" s="14">
        <f t="shared" si="4"/>
        <v>0</v>
      </c>
      <c r="H104" s="41">
        <f t="shared" si="4"/>
        <v>0</v>
      </c>
      <c r="I104" s="10">
        <f t="shared" si="4"/>
        <v>0</v>
      </c>
      <c r="J104" s="10">
        <f t="shared" si="5"/>
        <v>0</v>
      </c>
      <c r="K104" s="118">
        <f t="shared" si="6"/>
        <v>52010.311871227364</v>
      </c>
    </row>
    <row r="105" spans="1:11" x14ac:dyDescent="0.25">
      <c r="A105" s="49">
        <f>'A) Base RI'!A104</f>
        <v>5560</v>
      </c>
      <c r="B105" s="32" t="str">
        <f>'A) Base RI'!B104</f>
        <v>Grandevent</v>
      </c>
      <c r="C105" s="14">
        <f>'A) Base RI'!AO104</f>
        <v>222</v>
      </c>
      <c r="D105" s="10">
        <f t="shared" si="4"/>
        <v>222</v>
      </c>
      <c r="E105" s="14">
        <f t="shared" si="4"/>
        <v>0</v>
      </c>
      <c r="F105" s="10">
        <f t="shared" si="4"/>
        <v>0</v>
      </c>
      <c r="G105" s="14">
        <f t="shared" si="4"/>
        <v>0</v>
      </c>
      <c r="H105" s="41">
        <f t="shared" si="4"/>
        <v>0</v>
      </c>
      <c r="I105" s="10">
        <f t="shared" si="4"/>
        <v>0</v>
      </c>
      <c r="J105" s="10">
        <f t="shared" si="5"/>
        <v>0</v>
      </c>
      <c r="K105" s="118">
        <f t="shared" si="6"/>
        <v>27889.587525150902</v>
      </c>
    </row>
    <row r="106" spans="1:11" x14ac:dyDescent="0.25">
      <c r="A106" s="49">
        <f>'A) Base RI'!A105</f>
        <v>5561</v>
      </c>
      <c r="B106" s="32" t="str">
        <f>'A) Base RI'!B105</f>
        <v>Grandson</v>
      </c>
      <c r="C106" s="14">
        <f>'A) Base RI'!AO105</f>
        <v>3340</v>
      </c>
      <c r="D106" s="10">
        <f t="shared" si="4"/>
        <v>1000</v>
      </c>
      <c r="E106" s="14">
        <f t="shared" si="4"/>
        <v>2000</v>
      </c>
      <c r="F106" s="10">
        <f t="shared" si="4"/>
        <v>340</v>
      </c>
      <c r="G106" s="14">
        <f t="shared" ref="E106:I157" si="7">IF($C106&gt;G$4,IF($C106&lt;G$5,$C106-G$4,G$5-G$4),0)</f>
        <v>0</v>
      </c>
      <c r="H106" s="41">
        <f t="shared" si="7"/>
        <v>0</v>
      </c>
      <c r="I106" s="10">
        <f t="shared" si="7"/>
        <v>0</v>
      </c>
      <c r="J106" s="10">
        <f t="shared" si="5"/>
        <v>0</v>
      </c>
      <c r="K106" s="118">
        <f t="shared" si="6"/>
        <v>1000005.0301810864</v>
      </c>
    </row>
    <row r="107" spans="1:11" x14ac:dyDescent="0.25">
      <c r="A107" s="49">
        <f>'A) Base RI'!A106</f>
        <v>5562</v>
      </c>
      <c r="B107" s="32" t="str">
        <f>'A) Base RI'!B106</f>
        <v>Mauborget</v>
      </c>
      <c r="C107" s="14">
        <f>'A) Base RI'!AO106</f>
        <v>120</v>
      </c>
      <c r="D107" s="10">
        <f t="shared" ref="D107:D170" si="8">IF($C107&gt;D$4,IF($C107&lt;D$5,$C107-D$4,D$5-D$4),0)</f>
        <v>120</v>
      </c>
      <c r="E107" s="14">
        <f t="shared" si="7"/>
        <v>0</v>
      </c>
      <c r="F107" s="10">
        <f t="shared" si="7"/>
        <v>0</v>
      </c>
      <c r="G107" s="14">
        <f t="shared" si="7"/>
        <v>0</v>
      </c>
      <c r="H107" s="41">
        <f t="shared" si="7"/>
        <v>0</v>
      </c>
      <c r="I107" s="10">
        <f t="shared" si="7"/>
        <v>0</v>
      </c>
      <c r="J107" s="10">
        <f t="shared" si="5"/>
        <v>0</v>
      </c>
      <c r="K107" s="118">
        <f t="shared" si="6"/>
        <v>15075.452716297787</v>
      </c>
    </row>
    <row r="108" spans="1:11" x14ac:dyDescent="0.25">
      <c r="A108" s="49">
        <f>'A) Base RI'!A107</f>
        <v>5563</v>
      </c>
      <c r="B108" s="32" t="str">
        <f>'A) Base RI'!B107</f>
        <v>Mutrux</v>
      </c>
      <c r="C108" s="14">
        <f>'A) Base RI'!AO107</f>
        <v>153</v>
      </c>
      <c r="D108" s="10">
        <f t="shared" si="8"/>
        <v>153</v>
      </c>
      <c r="E108" s="14">
        <f t="shared" si="7"/>
        <v>0</v>
      </c>
      <c r="F108" s="10">
        <f t="shared" si="7"/>
        <v>0</v>
      </c>
      <c r="G108" s="14">
        <f t="shared" si="7"/>
        <v>0</v>
      </c>
      <c r="H108" s="41">
        <f t="shared" si="7"/>
        <v>0</v>
      </c>
      <c r="I108" s="10">
        <f t="shared" si="7"/>
        <v>0</v>
      </c>
      <c r="J108" s="10">
        <f t="shared" si="5"/>
        <v>0</v>
      </c>
      <c r="K108" s="118">
        <f t="shared" si="6"/>
        <v>19221.202213279677</v>
      </c>
    </row>
    <row r="109" spans="1:11" x14ac:dyDescent="0.25">
      <c r="A109" s="49">
        <f>'A) Base RI'!A108</f>
        <v>5564</v>
      </c>
      <c r="B109" s="32" t="str">
        <f>'A) Base RI'!B108</f>
        <v>Novalles</v>
      </c>
      <c r="C109" s="14">
        <f>'A) Base RI'!AO108</f>
        <v>100</v>
      </c>
      <c r="D109" s="10">
        <f t="shared" si="8"/>
        <v>100</v>
      </c>
      <c r="E109" s="14">
        <f t="shared" si="7"/>
        <v>0</v>
      </c>
      <c r="F109" s="10">
        <f t="shared" si="7"/>
        <v>0</v>
      </c>
      <c r="G109" s="14">
        <f t="shared" si="7"/>
        <v>0</v>
      </c>
      <c r="H109" s="41">
        <f t="shared" si="7"/>
        <v>0</v>
      </c>
      <c r="I109" s="10">
        <f t="shared" si="7"/>
        <v>0</v>
      </c>
      <c r="J109" s="10">
        <f t="shared" si="5"/>
        <v>0</v>
      </c>
      <c r="K109" s="118">
        <f t="shared" si="6"/>
        <v>12562.877263581488</v>
      </c>
    </row>
    <row r="110" spans="1:11" x14ac:dyDescent="0.25">
      <c r="A110" s="49">
        <f>'A) Base RI'!A109</f>
        <v>5565</v>
      </c>
      <c r="B110" s="32" t="str">
        <f>'A) Base RI'!B109</f>
        <v>Onnens</v>
      </c>
      <c r="C110" s="14">
        <f>'A) Base RI'!AO109</f>
        <v>497</v>
      </c>
      <c r="D110" s="10">
        <f t="shared" si="8"/>
        <v>497</v>
      </c>
      <c r="E110" s="14">
        <f t="shared" si="7"/>
        <v>0</v>
      </c>
      <c r="F110" s="10">
        <f t="shared" si="7"/>
        <v>0</v>
      </c>
      <c r="G110" s="14">
        <f t="shared" si="7"/>
        <v>0</v>
      </c>
      <c r="H110" s="41">
        <f t="shared" si="7"/>
        <v>0</v>
      </c>
      <c r="I110" s="10">
        <f t="shared" si="7"/>
        <v>0</v>
      </c>
      <c r="J110" s="10">
        <f t="shared" si="5"/>
        <v>0</v>
      </c>
      <c r="K110" s="118">
        <f t="shared" si="6"/>
        <v>62437.5</v>
      </c>
    </row>
    <row r="111" spans="1:11" x14ac:dyDescent="0.25">
      <c r="A111" s="49">
        <f>'A) Base RI'!A110</f>
        <v>5566</v>
      </c>
      <c r="B111" s="32" t="str">
        <f>'A) Base RI'!B110</f>
        <v>Provence</v>
      </c>
      <c r="C111" s="14">
        <f>'A) Base RI'!AO110</f>
        <v>379</v>
      </c>
      <c r="D111" s="10">
        <f t="shared" si="8"/>
        <v>379</v>
      </c>
      <c r="E111" s="14">
        <f t="shared" si="7"/>
        <v>0</v>
      </c>
      <c r="F111" s="10">
        <f t="shared" si="7"/>
        <v>0</v>
      </c>
      <c r="G111" s="14">
        <f t="shared" si="7"/>
        <v>0</v>
      </c>
      <c r="H111" s="41">
        <f t="shared" si="7"/>
        <v>0</v>
      </c>
      <c r="I111" s="10">
        <f t="shared" si="7"/>
        <v>0</v>
      </c>
      <c r="J111" s="10">
        <f t="shared" si="5"/>
        <v>0</v>
      </c>
      <c r="K111" s="118">
        <f t="shared" si="6"/>
        <v>47613.304828973844</v>
      </c>
    </row>
    <row r="112" spans="1:11" x14ac:dyDescent="0.25">
      <c r="A112" s="49">
        <f>'A) Base RI'!A111</f>
        <v>5568</v>
      </c>
      <c r="B112" s="32" t="str">
        <f>'A) Base RI'!B111</f>
        <v>Sainte-Croix</v>
      </c>
      <c r="C112" s="14">
        <f>'A) Base RI'!AO111</f>
        <v>4888</v>
      </c>
      <c r="D112" s="10">
        <f t="shared" si="8"/>
        <v>1000</v>
      </c>
      <c r="E112" s="14">
        <f t="shared" si="7"/>
        <v>2000</v>
      </c>
      <c r="F112" s="10">
        <f t="shared" si="7"/>
        <v>1888</v>
      </c>
      <c r="G112" s="14">
        <f t="shared" si="7"/>
        <v>0</v>
      </c>
      <c r="H112" s="41">
        <f t="shared" si="7"/>
        <v>0</v>
      </c>
      <c r="I112" s="10">
        <f t="shared" si="7"/>
        <v>0</v>
      </c>
      <c r="J112" s="10">
        <f t="shared" si="5"/>
        <v>0</v>
      </c>
      <c r="K112" s="118">
        <f t="shared" si="6"/>
        <v>1777898.3903420521</v>
      </c>
    </row>
    <row r="113" spans="1:11" x14ac:dyDescent="0.25">
      <c r="A113" s="49">
        <f>'A) Base RI'!A112</f>
        <v>5571</v>
      </c>
      <c r="B113" s="32" t="str">
        <f>'A) Base RI'!B112</f>
        <v>Tévenon</v>
      </c>
      <c r="C113" s="14">
        <f>'A) Base RI'!AO112</f>
        <v>896</v>
      </c>
      <c r="D113" s="10">
        <f t="shared" si="8"/>
        <v>896</v>
      </c>
      <c r="E113" s="14">
        <f t="shared" si="7"/>
        <v>0</v>
      </c>
      <c r="F113" s="10">
        <f t="shared" si="7"/>
        <v>0</v>
      </c>
      <c r="G113" s="14">
        <f t="shared" si="7"/>
        <v>0</v>
      </c>
      <c r="H113" s="41">
        <f t="shared" si="7"/>
        <v>0</v>
      </c>
      <c r="I113" s="10">
        <f t="shared" si="7"/>
        <v>0</v>
      </c>
      <c r="J113" s="10">
        <f t="shared" si="5"/>
        <v>0</v>
      </c>
      <c r="K113" s="118">
        <f t="shared" si="6"/>
        <v>112563.38028169013</v>
      </c>
    </row>
    <row r="114" spans="1:11" x14ac:dyDescent="0.25">
      <c r="A114" s="49">
        <f>'A) Base RI'!A113</f>
        <v>5581</v>
      </c>
      <c r="B114" s="32" t="str">
        <f>'A) Base RI'!B113</f>
        <v>Belmont-sur-Lausanne</v>
      </c>
      <c r="C114" s="14">
        <f>'A) Base RI'!AO113</f>
        <v>3773</v>
      </c>
      <c r="D114" s="10">
        <f t="shared" si="8"/>
        <v>1000</v>
      </c>
      <c r="E114" s="14">
        <f t="shared" si="7"/>
        <v>2000</v>
      </c>
      <c r="F114" s="10">
        <f t="shared" si="7"/>
        <v>773</v>
      </c>
      <c r="G114" s="14">
        <f t="shared" si="7"/>
        <v>0</v>
      </c>
      <c r="H114" s="41">
        <f t="shared" si="7"/>
        <v>0</v>
      </c>
      <c r="I114" s="10">
        <f t="shared" si="7"/>
        <v>0</v>
      </c>
      <c r="J114" s="10">
        <f t="shared" si="5"/>
        <v>0</v>
      </c>
      <c r="K114" s="118">
        <f t="shared" si="6"/>
        <v>1217594.0643863177</v>
      </c>
    </row>
    <row r="115" spans="1:11" x14ac:dyDescent="0.25">
      <c r="A115" s="49">
        <f>'A) Base RI'!A114</f>
        <v>5582</v>
      </c>
      <c r="B115" s="32" t="str">
        <f>'A) Base RI'!B114</f>
        <v>Cheseaux-sur-Lausanne</v>
      </c>
      <c r="C115" s="14">
        <f>'A) Base RI'!AO114</f>
        <v>4339</v>
      </c>
      <c r="D115" s="10">
        <f t="shared" si="8"/>
        <v>1000</v>
      </c>
      <c r="E115" s="14">
        <f t="shared" si="7"/>
        <v>2000</v>
      </c>
      <c r="F115" s="10">
        <f t="shared" si="7"/>
        <v>1339</v>
      </c>
      <c r="G115" s="14">
        <f t="shared" si="7"/>
        <v>0</v>
      </c>
      <c r="H115" s="41">
        <f t="shared" si="7"/>
        <v>0</v>
      </c>
      <c r="I115" s="10">
        <f t="shared" si="7"/>
        <v>0</v>
      </c>
      <c r="J115" s="10">
        <f t="shared" si="5"/>
        <v>0</v>
      </c>
      <c r="K115" s="118">
        <f t="shared" si="6"/>
        <v>1502017.6056338027</v>
      </c>
    </row>
    <row r="116" spans="1:11" x14ac:dyDescent="0.25">
      <c r="A116" s="49">
        <f>'A) Base RI'!A115</f>
        <v>5583</v>
      </c>
      <c r="B116" s="32" t="str">
        <f>'A) Base RI'!B115</f>
        <v>Crissier</v>
      </c>
      <c r="C116" s="14">
        <f>'A) Base RI'!AO115</f>
        <v>7944</v>
      </c>
      <c r="D116" s="10">
        <f t="shared" si="8"/>
        <v>1000</v>
      </c>
      <c r="E116" s="14">
        <f t="shared" si="7"/>
        <v>2000</v>
      </c>
      <c r="F116" s="10">
        <f t="shared" si="7"/>
        <v>2000</v>
      </c>
      <c r="G116" s="14">
        <f t="shared" si="7"/>
        <v>2944</v>
      </c>
      <c r="H116" s="41">
        <f t="shared" si="7"/>
        <v>0</v>
      </c>
      <c r="I116" s="10">
        <f t="shared" si="7"/>
        <v>0</v>
      </c>
      <c r="J116" s="10">
        <f t="shared" si="5"/>
        <v>0</v>
      </c>
      <c r="K116" s="118">
        <f t="shared" si="6"/>
        <v>3609465.3923541247</v>
      </c>
    </row>
    <row r="117" spans="1:11" x14ac:dyDescent="0.25">
      <c r="A117" s="49">
        <f>'A) Base RI'!A116</f>
        <v>5584</v>
      </c>
      <c r="B117" s="32" t="str">
        <f>'A) Base RI'!B116</f>
        <v>Epalinges</v>
      </c>
      <c r="C117" s="14">
        <f>'A) Base RI'!AO116</f>
        <v>9701</v>
      </c>
      <c r="D117" s="10">
        <f t="shared" si="8"/>
        <v>1000</v>
      </c>
      <c r="E117" s="14">
        <f t="shared" si="7"/>
        <v>2000</v>
      </c>
      <c r="F117" s="10">
        <f t="shared" si="7"/>
        <v>2000</v>
      </c>
      <c r="G117" s="14">
        <f t="shared" si="7"/>
        <v>4000</v>
      </c>
      <c r="H117" s="41">
        <f t="shared" si="7"/>
        <v>701</v>
      </c>
      <c r="I117" s="10">
        <f t="shared" si="7"/>
        <v>0</v>
      </c>
      <c r="J117" s="10">
        <f t="shared" si="5"/>
        <v>0</v>
      </c>
      <c r="K117" s="118">
        <f t="shared" si="6"/>
        <v>4845099.7484909464</v>
      </c>
    </row>
    <row r="118" spans="1:11" x14ac:dyDescent="0.25">
      <c r="A118" s="49">
        <f>'A) Base RI'!A117</f>
        <v>5585</v>
      </c>
      <c r="B118" s="32" t="str">
        <f>'A) Base RI'!B117</f>
        <v>Jouxtens-Mézery</v>
      </c>
      <c r="C118" s="14">
        <f>'A) Base RI'!AO117</f>
        <v>1423</v>
      </c>
      <c r="D118" s="10">
        <f t="shared" si="8"/>
        <v>1000</v>
      </c>
      <c r="E118" s="14">
        <f t="shared" si="7"/>
        <v>423</v>
      </c>
      <c r="F118" s="10">
        <f t="shared" si="7"/>
        <v>0</v>
      </c>
      <c r="G118" s="14">
        <f t="shared" si="7"/>
        <v>0</v>
      </c>
      <c r="H118" s="41">
        <f t="shared" si="7"/>
        <v>0</v>
      </c>
      <c r="I118" s="10">
        <f t="shared" si="7"/>
        <v>0</v>
      </c>
      <c r="J118" s="10">
        <f t="shared" si="5"/>
        <v>0</v>
      </c>
      <c r="K118" s="118">
        <f t="shared" si="6"/>
        <v>274423.49094567401</v>
      </c>
    </row>
    <row r="119" spans="1:11" x14ac:dyDescent="0.25">
      <c r="A119" s="49">
        <f>'A) Base RI'!A118</f>
        <v>5586</v>
      </c>
      <c r="B119" s="32" t="str">
        <f>'A) Base RI'!B118</f>
        <v>Lausanne</v>
      </c>
      <c r="C119" s="14">
        <f>'A) Base RI'!AO118</f>
        <v>139726</v>
      </c>
      <c r="D119" s="10">
        <f t="shared" si="8"/>
        <v>1000</v>
      </c>
      <c r="E119" s="14">
        <f t="shared" si="7"/>
        <v>2000</v>
      </c>
      <c r="F119" s="10">
        <f t="shared" si="7"/>
        <v>2000</v>
      </c>
      <c r="G119" s="14">
        <f t="shared" si="7"/>
        <v>4000</v>
      </c>
      <c r="H119" s="41">
        <f t="shared" si="7"/>
        <v>3000</v>
      </c>
      <c r="I119" s="10">
        <f t="shared" si="7"/>
        <v>3000</v>
      </c>
      <c r="J119" s="10">
        <f t="shared" si="5"/>
        <v>124726</v>
      </c>
      <c r="K119" s="118">
        <f t="shared" si="6"/>
        <v>141445234.10462776</v>
      </c>
    </row>
    <row r="120" spans="1:11" x14ac:dyDescent="0.25">
      <c r="A120" s="49">
        <f>'A) Base RI'!A119</f>
        <v>5587</v>
      </c>
      <c r="B120" s="32" t="str">
        <f>'A) Base RI'!B119</f>
        <v>Le Mont-sur-Lausanne</v>
      </c>
      <c r="C120" s="14">
        <f>'A) Base RI'!AO119</f>
        <v>8991</v>
      </c>
      <c r="D120" s="10">
        <f t="shared" si="8"/>
        <v>1000</v>
      </c>
      <c r="E120" s="14">
        <f t="shared" si="7"/>
        <v>2000</v>
      </c>
      <c r="F120" s="10">
        <f t="shared" si="7"/>
        <v>2000</v>
      </c>
      <c r="G120" s="14">
        <f t="shared" si="7"/>
        <v>3991</v>
      </c>
      <c r="H120" s="41">
        <f t="shared" si="7"/>
        <v>0</v>
      </c>
      <c r="I120" s="10">
        <f t="shared" si="7"/>
        <v>0</v>
      </c>
      <c r="J120" s="10">
        <f t="shared" si="5"/>
        <v>0</v>
      </c>
      <c r="K120" s="118">
        <f t="shared" si="6"/>
        <v>4240825.352112676</v>
      </c>
    </row>
    <row r="121" spans="1:11" x14ac:dyDescent="0.25">
      <c r="A121" s="49">
        <f>'A) Base RI'!A120</f>
        <v>5588</v>
      </c>
      <c r="B121" s="32" t="str">
        <f>'A) Base RI'!B120</f>
        <v>Paudex</v>
      </c>
      <c r="C121" s="14">
        <f>'A) Base RI'!AO120</f>
        <v>1532</v>
      </c>
      <c r="D121" s="10">
        <f t="shared" si="8"/>
        <v>1000</v>
      </c>
      <c r="E121" s="14">
        <f t="shared" si="7"/>
        <v>532</v>
      </c>
      <c r="F121" s="10">
        <f t="shared" si="7"/>
        <v>0</v>
      </c>
      <c r="G121" s="14">
        <f t="shared" si="7"/>
        <v>0</v>
      </c>
      <c r="H121" s="41">
        <f t="shared" si="7"/>
        <v>0</v>
      </c>
      <c r="I121" s="10">
        <f t="shared" si="7"/>
        <v>0</v>
      </c>
      <c r="J121" s="10">
        <f t="shared" si="5"/>
        <v>0</v>
      </c>
      <c r="K121" s="118">
        <f t="shared" si="6"/>
        <v>312765.39235412469</v>
      </c>
    </row>
    <row r="122" spans="1:11" x14ac:dyDescent="0.25">
      <c r="A122" s="49">
        <f>'A) Base RI'!A121</f>
        <v>5589</v>
      </c>
      <c r="B122" s="32" t="str">
        <f>'A) Base RI'!B121</f>
        <v>Prilly</v>
      </c>
      <c r="C122" s="14">
        <f>'A) Base RI'!AO121</f>
        <v>12423</v>
      </c>
      <c r="D122" s="10">
        <f t="shared" si="8"/>
        <v>1000</v>
      </c>
      <c r="E122" s="14">
        <f t="shared" si="7"/>
        <v>2000</v>
      </c>
      <c r="F122" s="10">
        <f t="shared" si="7"/>
        <v>2000</v>
      </c>
      <c r="G122" s="14">
        <f t="shared" si="7"/>
        <v>4000</v>
      </c>
      <c r="H122" s="41">
        <f t="shared" si="7"/>
        <v>3000</v>
      </c>
      <c r="I122" s="10">
        <f t="shared" si="7"/>
        <v>423</v>
      </c>
      <c r="J122" s="10">
        <f t="shared" si="5"/>
        <v>0</v>
      </c>
      <c r="K122" s="118">
        <f t="shared" si="6"/>
        <v>7234207.2434607651</v>
      </c>
    </row>
    <row r="123" spans="1:11" x14ac:dyDescent="0.25">
      <c r="A123" s="49">
        <f>'A) Base RI'!A122</f>
        <v>5590</v>
      </c>
      <c r="B123" s="32" t="str">
        <f>'A) Base RI'!B122</f>
        <v>Pully</v>
      </c>
      <c r="C123" s="14">
        <f>'A) Base RI'!AO122</f>
        <v>18495</v>
      </c>
      <c r="D123" s="10">
        <f t="shared" si="8"/>
        <v>1000</v>
      </c>
      <c r="E123" s="14">
        <f t="shared" si="7"/>
        <v>2000</v>
      </c>
      <c r="F123" s="10">
        <f t="shared" si="7"/>
        <v>2000</v>
      </c>
      <c r="G123" s="14">
        <f t="shared" si="7"/>
        <v>4000</v>
      </c>
      <c r="H123" s="41">
        <f t="shared" si="7"/>
        <v>3000</v>
      </c>
      <c r="I123" s="10">
        <f t="shared" si="7"/>
        <v>3000</v>
      </c>
      <c r="J123" s="10">
        <f t="shared" si="5"/>
        <v>3495</v>
      </c>
      <c r="K123" s="118">
        <f t="shared" si="6"/>
        <v>13512379.527162978</v>
      </c>
    </row>
    <row r="124" spans="1:11" x14ac:dyDescent="0.25">
      <c r="A124" s="49">
        <f>'A) Base RI'!A123</f>
        <v>5591</v>
      </c>
      <c r="B124" s="32" t="str">
        <f>'A) Base RI'!B123</f>
        <v>Renens</v>
      </c>
      <c r="C124" s="14">
        <f>'A) Base RI'!AO123</f>
        <v>20928</v>
      </c>
      <c r="D124" s="10">
        <f t="shared" si="8"/>
        <v>1000</v>
      </c>
      <c r="E124" s="14">
        <f t="shared" si="7"/>
        <v>2000</v>
      </c>
      <c r="F124" s="10">
        <f t="shared" si="7"/>
        <v>2000</v>
      </c>
      <c r="G124" s="14">
        <f t="shared" si="7"/>
        <v>4000</v>
      </c>
      <c r="H124" s="41">
        <f t="shared" si="7"/>
        <v>3000</v>
      </c>
      <c r="I124" s="10">
        <f t="shared" si="7"/>
        <v>3000</v>
      </c>
      <c r="J124" s="10">
        <f t="shared" si="5"/>
        <v>5928</v>
      </c>
      <c r="K124" s="118">
        <f t="shared" si="6"/>
        <v>16079879.879275654</v>
      </c>
    </row>
    <row r="125" spans="1:11" x14ac:dyDescent="0.25">
      <c r="A125" s="49">
        <f>'A) Base RI'!A124</f>
        <v>5592</v>
      </c>
      <c r="B125" s="32" t="str">
        <f>'A) Base RI'!B124</f>
        <v>Romanel-sur-Lausanne</v>
      </c>
      <c r="C125" s="14">
        <f>'A) Base RI'!AO124</f>
        <v>3294</v>
      </c>
      <c r="D125" s="10">
        <f t="shared" si="8"/>
        <v>1000</v>
      </c>
      <c r="E125" s="14">
        <f t="shared" si="7"/>
        <v>2000</v>
      </c>
      <c r="F125" s="10">
        <f t="shared" si="7"/>
        <v>294</v>
      </c>
      <c r="G125" s="14">
        <f t="shared" si="7"/>
        <v>0</v>
      </c>
      <c r="H125" s="41">
        <f t="shared" si="7"/>
        <v>0</v>
      </c>
      <c r="I125" s="10">
        <f t="shared" si="7"/>
        <v>0</v>
      </c>
      <c r="J125" s="10">
        <f t="shared" si="5"/>
        <v>0</v>
      </c>
      <c r="K125" s="118">
        <f t="shared" si="6"/>
        <v>976889.33601609652</v>
      </c>
    </row>
    <row r="126" spans="1:11" x14ac:dyDescent="0.25">
      <c r="A126" s="49">
        <f>'A) Base RI'!A125</f>
        <v>5601</v>
      </c>
      <c r="B126" s="32" t="str">
        <f>'A) Base RI'!B125</f>
        <v>Chexbres</v>
      </c>
      <c r="C126" s="14">
        <f>'A) Base RI'!AO125</f>
        <v>2235</v>
      </c>
      <c r="D126" s="10">
        <f t="shared" si="8"/>
        <v>1000</v>
      </c>
      <c r="E126" s="14">
        <f t="shared" si="7"/>
        <v>1235</v>
      </c>
      <c r="F126" s="10">
        <f t="shared" si="7"/>
        <v>0</v>
      </c>
      <c r="G126" s="14">
        <f t="shared" si="7"/>
        <v>0</v>
      </c>
      <c r="H126" s="41">
        <f t="shared" si="7"/>
        <v>0</v>
      </c>
      <c r="I126" s="10">
        <f t="shared" si="7"/>
        <v>0</v>
      </c>
      <c r="J126" s="10">
        <f t="shared" si="5"/>
        <v>0</v>
      </c>
      <c r="K126" s="118">
        <f t="shared" si="6"/>
        <v>560053.0684104627</v>
      </c>
    </row>
    <row r="127" spans="1:11" x14ac:dyDescent="0.25">
      <c r="A127" s="49">
        <f>'A) Base RI'!A126</f>
        <v>5604</v>
      </c>
      <c r="B127" s="32" t="str">
        <f>'A) Base RI'!B126</f>
        <v>Forel (Lavaux)</v>
      </c>
      <c r="C127" s="14">
        <f>'A) Base RI'!AO126</f>
        <v>2064</v>
      </c>
      <c r="D127" s="10">
        <f t="shared" si="8"/>
        <v>1000</v>
      </c>
      <c r="E127" s="14">
        <f t="shared" si="7"/>
        <v>1064</v>
      </c>
      <c r="F127" s="10">
        <f t="shared" si="7"/>
        <v>0</v>
      </c>
      <c r="G127" s="14">
        <f t="shared" si="7"/>
        <v>0</v>
      </c>
      <c r="H127" s="41">
        <f t="shared" si="7"/>
        <v>0</v>
      </c>
      <c r="I127" s="10">
        <f t="shared" si="7"/>
        <v>0</v>
      </c>
      <c r="J127" s="10">
        <f t="shared" si="5"/>
        <v>0</v>
      </c>
      <c r="K127" s="118">
        <f t="shared" si="6"/>
        <v>499902.01207243453</v>
      </c>
    </row>
    <row r="128" spans="1:11" x14ac:dyDescent="0.25">
      <c r="A128" s="49">
        <f>'A) Base RI'!A127</f>
        <v>5606</v>
      </c>
      <c r="B128" s="32" t="str">
        <f>'A) Base RI'!B127</f>
        <v>Lutry</v>
      </c>
      <c r="C128" s="14">
        <f>'A) Base RI'!AO127</f>
        <v>10357</v>
      </c>
      <c r="D128" s="10">
        <f t="shared" si="8"/>
        <v>1000</v>
      </c>
      <c r="E128" s="14">
        <f t="shared" si="7"/>
        <v>2000</v>
      </c>
      <c r="F128" s="10">
        <f t="shared" si="7"/>
        <v>2000</v>
      </c>
      <c r="G128" s="14">
        <f t="shared" si="7"/>
        <v>4000</v>
      </c>
      <c r="H128" s="41">
        <f t="shared" si="7"/>
        <v>1357</v>
      </c>
      <c r="I128" s="10">
        <f t="shared" si="7"/>
        <v>0</v>
      </c>
      <c r="J128" s="10">
        <f t="shared" si="5"/>
        <v>0</v>
      </c>
      <c r="K128" s="118">
        <f t="shared" si="6"/>
        <v>5405504.5774647892</v>
      </c>
    </row>
    <row r="129" spans="1:11" x14ac:dyDescent="0.25">
      <c r="A129" s="49">
        <f>'A) Base RI'!A128</f>
        <v>5607</v>
      </c>
      <c r="B129" s="32" t="str">
        <f>'A) Base RI'!B128</f>
        <v>Puidoux</v>
      </c>
      <c r="C129" s="14">
        <f>'A) Base RI'!AO128</f>
        <v>2881</v>
      </c>
      <c r="D129" s="10">
        <f t="shared" si="8"/>
        <v>1000</v>
      </c>
      <c r="E129" s="14">
        <f t="shared" si="7"/>
        <v>1881</v>
      </c>
      <c r="F129" s="10">
        <f t="shared" si="7"/>
        <v>0</v>
      </c>
      <c r="G129" s="14">
        <f t="shared" si="7"/>
        <v>0</v>
      </c>
      <c r="H129" s="41">
        <f t="shared" si="7"/>
        <v>0</v>
      </c>
      <c r="I129" s="10">
        <f t="shared" si="7"/>
        <v>0</v>
      </c>
      <c r="J129" s="10">
        <f t="shared" si="5"/>
        <v>0</v>
      </c>
      <c r="K129" s="118">
        <f t="shared" si="6"/>
        <v>787290.39235412469</v>
      </c>
    </row>
    <row r="130" spans="1:11" x14ac:dyDescent="0.25">
      <c r="A130" s="49">
        <f>'A) Base RI'!A129</f>
        <v>5609</v>
      </c>
      <c r="B130" s="32" t="str">
        <f>'A) Base RI'!B129</f>
        <v>Rivaz</v>
      </c>
      <c r="C130" s="14">
        <f>'A) Base RI'!AO129</f>
        <v>342</v>
      </c>
      <c r="D130" s="10">
        <f t="shared" si="8"/>
        <v>342</v>
      </c>
      <c r="E130" s="14">
        <f t="shared" si="7"/>
        <v>0</v>
      </c>
      <c r="F130" s="10">
        <f t="shared" si="7"/>
        <v>0</v>
      </c>
      <c r="G130" s="14">
        <f t="shared" si="7"/>
        <v>0</v>
      </c>
      <c r="H130" s="41">
        <f t="shared" si="7"/>
        <v>0</v>
      </c>
      <c r="I130" s="10">
        <f t="shared" si="7"/>
        <v>0</v>
      </c>
      <c r="J130" s="10">
        <f t="shared" si="5"/>
        <v>0</v>
      </c>
      <c r="K130" s="118">
        <f t="shared" si="6"/>
        <v>42965.040241448689</v>
      </c>
    </row>
    <row r="131" spans="1:11" x14ac:dyDescent="0.25">
      <c r="A131" s="49">
        <f>'A) Base RI'!A130</f>
        <v>5610</v>
      </c>
      <c r="B131" s="32" t="str">
        <f>'A) Base RI'!B130</f>
        <v>St-Saphorin (Lavaux)</v>
      </c>
      <c r="C131" s="14">
        <f>'A) Base RI'!AO130</f>
        <v>384</v>
      </c>
      <c r="D131" s="10">
        <f t="shared" si="8"/>
        <v>384</v>
      </c>
      <c r="E131" s="14">
        <f t="shared" si="7"/>
        <v>0</v>
      </c>
      <c r="F131" s="10">
        <f t="shared" si="7"/>
        <v>0</v>
      </c>
      <c r="G131" s="14">
        <f t="shared" si="7"/>
        <v>0</v>
      </c>
      <c r="H131" s="41">
        <f t="shared" si="7"/>
        <v>0</v>
      </c>
      <c r="I131" s="10">
        <f t="shared" si="7"/>
        <v>0</v>
      </c>
      <c r="J131" s="10">
        <f t="shared" si="5"/>
        <v>0</v>
      </c>
      <c r="K131" s="118">
        <f t="shared" si="6"/>
        <v>48241.448692152917</v>
      </c>
    </row>
    <row r="132" spans="1:11" x14ac:dyDescent="0.25">
      <c r="A132" s="49">
        <f>'A) Base RI'!A131</f>
        <v>5611</v>
      </c>
      <c r="B132" s="32" t="str">
        <f>'A) Base RI'!B131</f>
        <v>Savigny</v>
      </c>
      <c r="C132" s="14">
        <f>'A) Base RI'!AO131</f>
        <v>3359</v>
      </c>
      <c r="D132" s="10">
        <f t="shared" si="8"/>
        <v>1000</v>
      </c>
      <c r="E132" s="14">
        <f t="shared" si="7"/>
        <v>2000</v>
      </c>
      <c r="F132" s="10">
        <f t="shared" si="7"/>
        <v>359</v>
      </c>
      <c r="G132" s="14">
        <f t="shared" si="7"/>
        <v>0</v>
      </c>
      <c r="H132" s="41">
        <f t="shared" si="7"/>
        <v>0</v>
      </c>
      <c r="I132" s="10">
        <f t="shared" si="7"/>
        <v>0</v>
      </c>
      <c r="J132" s="10">
        <f t="shared" si="5"/>
        <v>0</v>
      </c>
      <c r="K132" s="118">
        <f t="shared" si="6"/>
        <v>1009552.8169014084</v>
      </c>
    </row>
    <row r="133" spans="1:11" x14ac:dyDescent="0.25">
      <c r="A133" s="49">
        <f>'A) Base RI'!A132</f>
        <v>5613</v>
      </c>
      <c r="B133" s="32" t="str">
        <f>'A) Base RI'!B132</f>
        <v>Bourg-en-Lavaux</v>
      </c>
      <c r="C133" s="14">
        <f>'A) Base RI'!AO132</f>
        <v>5345</v>
      </c>
      <c r="D133" s="10">
        <f t="shared" si="8"/>
        <v>1000</v>
      </c>
      <c r="E133" s="14">
        <f t="shared" si="7"/>
        <v>2000</v>
      </c>
      <c r="F133" s="10">
        <f t="shared" si="7"/>
        <v>2000</v>
      </c>
      <c r="G133" s="14">
        <f t="shared" si="7"/>
        <v>345</v>
      </c>
      <c r="H133" s="41">
        <f t="shared" si="7"/>
        <v>0</v>
      </c>
      <c r="I133" s="10">
        <f t="shared" si="7"/>
        <v>0</v>
      </c>
      <c r="J133" s="10">
        <f t="shared" si="5"/>
        <v>0</v>
      </c>
      <c r="K133" s="118">
        <f t="shared" si="6"/>
        <v>2042221.3279678067</v>
      </c>
    </row>
    <row r="134" spans="1:11" x14ac:dyDescent="0.25">
      <c r="A134" s="49">
        <f>'A) Base RI'!A133</f>
        <v>5621</v>
      </c>
      <c r="B134" s="32" t="str">
        <f>'A) Base RI'!B133</f>
        <v>Aclens</v>
      </c>
      <c r="C134" s="14">
        <f>'A) Base RI'!AO133</f>
        <v>539</v>
      </c>
      <c r="D134" s="10">
        <f t="shared" si="8"/>
        <v>539</v>
      </c>
      <c r="E134" s="14">
        <f t="shared" si="7"/>
        <v>0</v>
      </c>
      <c r="F134" s="10">
        <f t="shared" si="7"/>
        <v>0</v>
      </c>
      <c r="G134" s="14">
        <f t="shared" si="7"/>
        <v>0</v>
      </c>
      <c r="H134" s="41">
        <f t="shared" si="7"/>
        <v>0</v>
      </c>
      <c r="I134" s="10">
        <f t="shared" si="7"/>
        <v>0</v>
      </c>
      <c r="J134" s="10">
        <f t="shared" si="5"/>
        <v>0</v>
      </c>
      <c r="K134" s="118">
        <f t="shared" si="6"/>
        <v>67713.908450704228</v>
      </c>
    </row>
    <row r="135" spans="1:11" x14ac:dyDescent="0.25">
      <c r="A135" s="49">
        <f>'A) Base RI'!A134</f>
        <v>5622</v>
      </c>
      <c r="B135" s="32" t="str">
        <f>'A) Base RI'!B134</f>
        <v>Bremblens</v>
      </c>
      <c r="C135" s="14">
        <f>'A) Base RI'!AO134</f>
        <v>577</v>
      </c>
      <c r="D135" s="10">
        <f t="shared" si="8"/>
        <v>577</v>
      </c>
      <c r="E135" s="14">
        <f t="shared" si="7"/>
        <v>0</v>
      </c>
      <c r="F135" s="10">
        <f t="shared" si="7"/>
        <v>0</v>
      </c>
      <c r="G135" s="14">
        <f t="shared" si="7"/>
        <v>0</v>
      </c>
      <c r="H135" s="41">
        <f t="shared" si="7"/>
        <v>0</v>
      </c>
      <c r="I135" s="10">
        <f t="shared" si="7"/>
        <v>0</v>
      </c>
      <c r="J135" s="10">
        <f t="shared" si="5"/>
        <v>0</v>
      </c>
      <c r="K135" s="118">
        <f t="shared" si="6"/>
        <v>72487.801810865189</v>
      </c>
    </row>
    <row r="136" spans="1:11" x14ac:dyDescent="0.25">
      <c r="A136" s="49">
        <f>'A) Base RI'!A135</f>
        <v>5623</v>
      </c>
      <c r="B136" s="32" t="str">
        <f>'A) Base RI'!B135</f>
        <v>Buchillon</v>
      </c>
      <c r="C136" s="14">
        <f>'A) Base RI'!AO135</f>
        <v>686</v>
      </c>
      <c r="D136" s="10">
        <f t="shared" si="8"/>
        <v>686</v>
      </c>
      <c r="E136" s="14">
        <f t="shared" si="7"/>
        <v>0</v>
      </c>
      <c r="F136" s="10">
        <f t="shared" si="7"/>
        <v>0</v>
      </c>
      <c r="G136" s="14">
        <f t="shared" si="7"/>
        <v>0</v>
      </c>
      <c r="H136" s="41">
        <f t="shared" si="7"/>
        <v>0</v>
      </c>
      <c r="I136" s="10">
        <f t="shared" si="7"/>
        <v>0</v>
      </c>
      <c r="J136" s="10">
        <f t="shared" si="5"/>
        <v>0</v>
      </c>
      <c r="K136" s="118">
        <f t="shared" si="6"/>
        <v>86181.338028169004</v>
      </c>
    </row>
    <row r="137" spans="1:11" x14ac:dyDescent="0.25">
      <c r="A137" s="49">
        <f>'A) Base RI'!A136</f>
        <v>5624</v>
      </c>
      <c r="B137" s="32" t="str">
        <f>'A) Base RI'!B136</f>
        <v>Bussigny</v>
      </c>
      <c r="C137" s="14">
        <f>'A) Base RI'!AO136</f>
        <v>8962</v>
      </c>
      <c r="D137" s="10">
        <f t="shared" si="8"/>
        <v>1000</v>
      </c>
      <c r="E137" s="14">
        <f t="shared" si="7"/>
        <v>2000</v>
      </c>
      <c r="F137" s="10">
        <f t="shared" si="7"/>
        <v>2000</v>
      </c>
      <c r="G137" s="14">
        <f t="shared" si="7"/>
        <v>3962</v>
      </c>
      <c r="H137" s="41">
        <f t="shared" si="7"/>
        <v>0</v>
      </c>
      <c r="I137" s="10">
        <f t="shared" si="7"/>
        <v>0</v>
      </c>
      <c r="J137" s="10">
        <f t="shared" ref="J137:J200" si="9">IF(C137&gt;$J$4,C137-$J$4,0)</f>
        <v>0</v>
      </c>
      <c r="K137" s="118">
        <f t="shared" ref="K137:K200" si="10">(D137*D$7)+(E137*E$7)+(F137*F$7)+(G137*G$7)+(H137*H$7)+(I137*I$7)+(J137*J$7)</f>
        <v>4223337.8269617707</v>
      </c>
    </row>
    <row r="138" spans="1:11" x14ac:dyDescent="0.25">
      <c r="A138" s="49">
        <f>'A) Base RI'!A137</f>
        <v>5625</v>
      </c>
      <c r="B138" s="32" t="str">
        <f>'A) Base RI'!B137</f>
        <v>Bussy-Chardonney</v>
      </c>
      <c r="C138" s="14">
        <f>'A) Base RI'!AO137</f>
        <v>384</v>
      </c>
      <c r="D138" s="10">
        <f t="shared" si="8"/>
        <v>384</v>
      </c>
      <c r="E138" s="14">
        <f t="shared" si="7"/>
        <v>0</v>
      </c>
      <c r="F138" s="10">
        <f t="shared" si="7"/>
        <v>0</v>
      </c>
      <c r="G138" s="14">
        <f t="shared" si="7"/>
        <v>0</v>
      </c>
      <c r="H138" s="41">
        <f t="shared" si="7"/>
        <v>0</v>
      </c>
      <c r="I138" s="10">
        <f t="shared" si="7"/>
        <v>0</v>
      </c>
      <c r="J138" s="10">
        <f t="shared" si="9"/>
        <v>0</v>
      </c>
      <c r="K138" s="118">
        <f t="shared" si="10"/>
        <v>48241.448692152917</v>
      </c>
    </row>
    <row r="139" spans="1:11" x14ac:dyDescent="0.25">
      <c r="A139" s="49">
        <f>'A) Base RI'!A138</f>
        <v>5627</v>
      </c>
      <c r="B139" s="32" t="str">
        <f>'A) Base RI'!B138</f>
        <v>Chavannes-près-Renens</v>
      </c>
      <c r="C139" s="14">
        <f>'A) Base RI'!AO138</f>
        <v>7887</v>
      </c>
      <c r="D139" s="10">
        <f t="shared" si="8"/>
        <v>1000</v>
      </c>
      <c r="E139" s="14">
        <f t="shared" si="7"/>
        <v>2000</v>
      </c>
      <c r="F139" s="10">
        <f t="shared" si="7"/>
        <v>2000</v>
      </c>
      <c r="G139" s="14">
        <f t="shared" si="7"/>
        <v>2887</v>
      </c>
      <c r="H139" s="41">
        <f t="shared" si="7"/>
        <v>0</v>
      </c>
      <c r="I139" s="10">
        <f t="shared" si="7"/>
        <v>0</v>
      </c>
      <c r="J139" s="10">
        <f t="shared" si="9"/>
        <v>0</v>
      </c>
      <c r="K139" s="118">
        <f t="shared" si="10"/>
        <v>3575093.3601609655</v>
      </c>
    </row>
    <row r="140" spans="1:11" x14ac:dyDescent="0.25">
      <c r="A140" s="49">
        <f>'A) Base RI'!A139</f>
        <v>5628</v>
      </c>
      <c r="B140" s="32" t="str">
        <f>'A) Base RI'!B139</f>
        <v>Chigny</v>
      </c>
      <c r="C140" s="14">
        <f>'A) Base RI'!AO139</f>
        <v>382</v>
      </c>
      <c r="D140" s="10">
        <f t="shared" si="8"/>
        <v>382</v>
      </c>
      <c r="E140" s="14">
        <f t="shared" si="7"/>
        <v>0</v>
      </c>
      <c r="F140" s="10">
        <f t="shared" si="7"/>
        <v>0</v>
      </c>
      <c r="G140" s="14">
        <f t="shared" si="7"/>
        <v>0</v>
      </c>
      <c r="H140" s="41">
        <f t="shared" si="7"/>
        <v>0</v>
      </c>
      <c r="I140" s="10">
        <f t="shared" si="7"/>
        <v>0</v>
      </c>
      <c r="J140" s="10">
        <f t="shared" si="9"/>
        <v>0</v>
      </c>
      <c r="K140" s="118">
        <f t="shared" si="10"/>
        <v>47990.191146881283</v>
      </c>
    </row>
    <row r="141" spans="1:11" x14ac:dyDescent="0.25">
      <c r="A141" s="49">
        <f>'A) Base RI'!A140</f>
        <v>5629</v>
      </c>
      <c r="B141" s="32" t="str">
        <f>'A) Base RI'!B140</f>
        <v>Clarmont</v>
      </c>
      <c r="C141" s="14">
        <f>'A) Base RI'!AO140</f>
        <v>191</v>
      </c>
      <c r="D141" s="10">
        <f t="shared" si="8"/>
        <v>191</v>
      </c>
      <c r="E141" s="14">
        <f t="shared" si="7"/>
        <v>0</v>
      </c>
      <c r="F141" s="10">
        <f t="shared" si="7"/>
        <v>0</v>
      </c>
      <c r="G141" s="14">
        <f t="shared" si="7"/>
        <v>0</v>
      </c>
      <c r="H141" s="41">
        <f t="shared" si="7"/>
        <v>0</v>
      </c>
      <c r="I141" s="10">
        <f t="shared" si="7"/>
        <v>0</v>
      </c>
      <c r="J141" s="10">
        <f t="shared" si="9"/>
        <v>0</v>
      </c>
      <c r="K141" s="118">
        <f t="shared" si="10"/>
        <v>23995.095573440642</v>
      </c>
    </row>
    <row r="142" spans="1:11" x14ac:dyDescent="0.25">
      <c r="A142" s="49">
        <f>'A) Base RI'!A141</f>
        <v>5631</v>
      </c>
      <c r="B142" s="32" t="str">
        <f>'A) Base RI'!B141</f>
        <v>Denens</v>
      </c>
      <c r="C142" s="14">
        <f>'A) Base RI'!AO141</f>
        <v>742</v>
      </c>
      <c r="D142" s="10">
        <f t="shared" si="8"/>
        <v>742</v>
      </c>
      <c r="E142" s="14">
        <f t="shared" si="7"/>
        <v>0</v>
      </c>
      <c r="F142" s="10">
        <f t="shared" si="7"/>
        <v>0</v>
      </c>
      <c r="G142" s="14">
        <f t="shared" si="7"/>
        <v>0</v>
      </c>
      <c r="H142" s="41">
        <f t="shared" si="7"/>
        <v>0</v>
      </c>
      <c r="I142" s="10">
        <f t="shared" si="7"/>
        <v>0</v>
      </c>
      <c r="J142" s="10">
        <f t="shared" si="9"/>
        <v>0</v>
      </c>
      <c r="K142" s="118">
        <f t="shared" si="10"/>
        <v>93216.549295774646</v>
      </c>
    </row>
    <row r="143" spans="1:11" x14ac:dyDescent="0.25">
      <c r="A143" s="49">
        <f>'A) Base RI'!A142</f>
        <v>5632</v>
      </c>
      <c r="B143" s="32" t="str">
        <f>'A) Base RI'!B142</f>
        <v>Denges</v>
      </c>
      <c r="C143" s="14">
        <f>'A) Base RI'!AO142</f>
        <v>1609</v>
      </c>
      <c r="D143" s="10">
        <f t="shared" si="8"/>
        <v>1000</v>
      </c>
      <c r="E143" s="14">
        <f t="shared" si="7"/>
        <v>609</v>
      </c>
      <c r="F143" s="10">
        <f t="shared" si="7"/>
        <v>0</v>
      </c>
      <c r="G143" s="14">
        <f t="shared" si="7"/>
        <v>0</v>
      </c>
      <c r="H143" s="41">
        <f t="shared" si="7"/>
        <v>0</v>
      </c>
      <c r="I143" s="10">
        <f t="shared" si="7"/>
        <v>0</v>
      </c>
      <c r="J143" s="10">
        <f t="shared" si="9"/>
        <v>0</v>
      </c>
      <c r="K143" s="118">
        <f t="shared" si="10"/>
        <v>339850.95573440642</v>
      </c>
    </row>
    <row r="144" spans="1:11" x14ac:dyDescent="0.25">
      <c r="A144" s="49">
        <f>'A) Base RI'!A143</f>
        <v>5633</v>
      </c>
      <c r="B144" s="32" t="str">
        <f>'A) Base RI'!B143</f>
        <v>Echandens</v>
      </c>
      <c r="C144" s="14">
        <f>'A) Base RI'!AO143</f>
        <v>2739</v>
      </c>
      <c r="D144" s="10">
        <f t="shared" si="8"/>
        <v>1000</v>
      </c>
      <c r="E144" s="14">
        <f t="shared" si="7"/>
        <v>1739</v>
      </c>
      <c r="F144" s="10">
        <f t="shared" si="7"/>
        <v>0</v>
      </c>
      <c r="G144" s="14">
        <f t="shared" si="7"/>
        <v>0</v>
      </c>
      <c r="H144" s="41">
        <f t="shared" si="7"/>
        <v>0</v>
      </c>
      <c r="I144" s="10">
        <f t="shared" si="7"/>
        <v>0</v>
      </c>
      <c r="J144" s="10">
        <f t="shared" si="9"/>
        <v>0</v>
      </c>
      <c r="K144" s="118">
        <f t="shared" si="10"/>
        <v>737340.39235412469</v>
      </c>
    </row>
    <row r="145" spans="1:11" x14ac:dyDescent="0.25">
      <c r="A145" s="49">
        <f>'A) Base RI'!A144</f>
        <v>5634</v>
      </c>
      <c r="B145" s="32" t="str">
        <f>'A) Base RI'!B144</f>
        <v>Echichens</v>
      </c>
      <c r="C145" s="14">
        <f>'A) Base RI'!AO144</f>
        <v>3077</v>
      </c>
      <c r="D145" s="10">
        <f t="shared" si="8"/>
        <v>1000</v>
      </c>
      <c r="E145" s="14">
        <f t="shared" si="7"/>
        <v>2000</v>
      </c>
      <c r="F145" s="10">
        <f t="shared" si="7"/>
        <v>77</v>
      </c>
      <c r="G145" s="14">
        <f t="shared" si="7"/>
        <v>0</v>
      </c>
      <c r="H145" s="41">
        <f t="shared" si="7"/>
        <v>0</v>
      </c>
      <c r="I145" s="10">
        <f t="shared" si="7"/>
        <v>0</v>
      </c>
      <c r="J145" s="10">
        <f t="shared" si="9"/>
        <v>0</v>
      </c>
      <c r="K145" s="118">
        <f t="shared" si="10"/>
        <v>867843.56136820919</v>
      </c>
    </row>
    <row r="146" spans="1:11" x14ac:dyDescent="0.25">
      <c r="A146" s="49">
        <f>'A) Base RI'!A145</f>
        <v>5635</v>
      </c>
      <c r="B146" s="32" t="str">
        <f>'A) Base RI'!B145</f>
        <v>Ecublens</v>
      </c>
      <c r="C146" s="14">
        <f>'A) Base RI'!AO145</f>
        <v>13089</v>
      </c>
      <c r="D146" s="10">
        <f t="shared" si="8"/>
        <v>1000</v>
      </c>
      <c r="E146" s="14">
        <f t="shared" si="7"/>
        <v>2000</v>
      </c>
      <c r="F146" s="10">
        <f t="shared" si="7"/>
        <v>2000</v>
      </c>
      <c r="G146" s="14">
        <f t="shared" si="7"/>
        <v>4000</v>
      </c>
      <c r="H146" s="41">
        <f t="shared" si="7"/>
        <v>3000</v>
      </c>
      <c r="I146" s="10">
        <f t="shared" si="7"/>
        <v>1089</v>
      </c>
      <c r="J146" s="10">
        <f t="shared" si="9"/>
        <v>0</v>
      </c>
      <c r="K146" s="118">
        <f t="shared" si="10"/>
        <v>7903557.3440643866</v>
      </c>
    </row>
    <row r="147" spans="1:11" x14ac:dyDescent="0.25">
      <c r="A147" s="49">
        <f>'A) Base RI'!A146</f>
        <v>5636</v>
      </c>
      <c r="B147" s="32" t="str">
        <f>'A) Base RI'!B146</f>
        <v>Etoy</v>
      </c>
      <c r="C147" s="14">
        <f>'A) Base RI'!AO146</f>
        <v>2933</v>
      </c>
      <c r="D147" s="10">
        <f t="shared" si="8"/>
        <v>1000</v>
      </c>
      <c r="E147" s="14">
        <f t="shared" si="7"/>
        <v>1933</v>
      </c>
      <c r="F147" s="10">
        <f t="shared" si="7"/>
        <v>0</v>
      </c>
      <c r="G147" s="14">
        <f t="shared" si="7"/>
        <v>0</v>
      </c>
      <c r="H147" s="41">
        <f t="shared" si="7"/>
        <v>0</v>
      </c>
      <c r="I147" s="10">
        <f t="shared" si="7"/>
        <v>0</v>
      </c>
      <c r="J147" s="10">
        <f t="shared" si="9"/>
        <v>0</v>
      </c>
      <c r="K147" s="118">
        <f t="shared" si="10"/>
        <v>805581.94164989935</v>
      </c>
    </row>
    <row r="148" spans="1:11" x14ac:dyDescent="0.25">
      <c r="A148" s="49">
        <f>'A) Base RI'!A147</f>
        <v>5637</v>
      </c>
      <c r="B148" s="32" t="str">
        <f>'A) Base RI'!B147</f>
        <v>Lavigny</v>
      </c>
      <c r="C148" s="14">
        <f>'A) Base RI'!AO147</f>
        <v>992</v>
      </c>
      <c r="D148" s="10">
        <f t="shared" si="8"/>
        <v>992</v>
      </c>
      <c r="E148" s="14">
        <f t="shared" si="7"/>
        <v>0</v>
      </c>
      <c r="F148" s="10">
        <f t="shared" si="7"/>
        <v>0</v>
      </c>
      <c r="G148" s="14">
        <f t="shared" si="7"/>
        <v>0</v>
      </c>
      <c r="H148" s="41">
        <f t="shared" si="7"/>
        <v>0</v>
      </c>
      <c r="I148" s="10">
        <f t="shared" si="7"/>
        <v>0</v>
      </c>
      <c r="J148" s="10">
        <f t="shared" si="9"/>
        <v>0</v>
      </c>
      <c r="K148" s="118">
        <f t="shared" si="10"/>
        <v>124623.74245472836</v>
      </c>
    </row>
    <row r="149" spans="1:11" x14ac:dyDescent="0.25">
      <c r="A149" s="49">
        <f>'A) Base RI'!A148</f>
        <v>5638</v>
      </c>
      <c r="B149" s="32" t="str">
        <f>'A) Base RI'!B148</f>
        <v>Lonay</v>
      </c>
      <c r="C149" s="14">
        <f>'A) Base RI'!AO148</f>
        <v>2676</v>
      </c>
      <c r="D149" s="10">
        <f t="shared" si="8"/>
        <v>1000</v>
      </c>
      <c r="E149" s="14">
        <f t="shared" si="7"/>
        <v>1676</v>
      </c>
      <c r="F149" s="10">
        <f t="shared" si="7"/>
        <v>0</v>
      </c>
      <c r="G149" s="14">
        <f t="shared" si="7"/>
        <v>0</v>
      </c>
      <c r="H149" s="41">
        <f t="shared" si="7"/>
        <v>0</v>
      </c>
      <c r="I149" s="10">
        <f t="shared" si="7"/>
        <v>0</v>
      </c>
      <c r="J149" s="10">
        <f t="shared" si="9"/>
        <v>0</v>
      </c>
      <c r="K149" s="118">
        <f t="shared" si="10"/>
        <v>715179.47686116688</v>
      </c>
    </row>
    <row r="150" spans="1:11" x14ac:dyDescent="0.25">
      <c r="A150" s="49">
        <f>'A) Base RI'!A149</f>
        <v>5639</v>
      </c>
      <c r="B150" s="32" t="str">
        <f>'A) Base RI'!B149</f>
        <v>Lully</v>
      </c>
      <c r="C150" s="14">
        <f>'A) Base RI'!AO149</f>
        <v>818</v>
      </c>
      <c r="D150" s="10">
        <f t="shared" si="8"/>
        <v>818</v>
      </c>
      <c r="E150" s="14">
        <f t="shared" si="7"/>
        <v>0</v>
      </c>
      <c r="F150" s="10">
        <f t="shared" si="7"/>
        <v>0</v>
      </c>
      <c r="G150" s="14">
        <f t="shared" si="7"/>
        <v>0</v>
      </c>
      <c r="H150" s="41">
        <f t="shared" si="7"/>
        <v>0</v>
      </c>
      <c r="I150" s="10">
        <f t="shared" si="7"/>
        <v>0</v>
      </c>
      <c r="J150" s="10">
        <f t="shared" si="9"/>
        <v>0</v>
      </c>
      <c r="K150" s="118">
        <f t="shared" si="10"/>
        <v>102764.33601609657</v>
      </c>
    </row>
    <row r="151" spans="1:11" x14ac:dyDescent="0.25">
      <c r="A151" s="49">
        <f>'A) Base RI'!A150</f>
        <v>5640</v>
      </c>
      <c r="B151" s="32" t="str">
        <f>'A) Base RI'!B150</f>
        <v>Lussy-sur-Morges</v>
      </c>
      <c r="C151" s="14">
        <f>'A) Base RI'!AO150</f>
        <v>696</v>
      </c>
      <c r="D151" s="10">
        <f t="shared" si="8"/>
        <v>696</v>
      </c>
      <c r="E151" s="14">
        <f t="shared" si="7"/>
        <v>0</v>
      </c>
      <c r="F151" s="10">
        <f t="shared" si="7"/>
        <v>0</v>
      </c>
      <c r="G151" s="14">
        <f t="shared" si="7"/>
        <v>0</v>
      </c>
      <c r="H151" s="41">
        <f t="shared" si="7"/>
        <v>0</v>
      </c>
      <c r="I151" s="10">
        <f t="shared" si="7"/>
        <v>0</v>
      </c>
      <c r="J151" s="10">
        <f t="shared" si="9"/>
        <v>0</v>
      </c>
      <c r="K151" s="118">
        <f t="shared" si="10"/>
        <v>87437.625754527166</v>
      </c>
    </row>
    <row r="152" spans="1:11" x14ac:dyDescent="0.25">
      <c r="A152" s="49">
        <f>'A) Base RI'!A151</f>
        <v>5642</v>
      </c>
      <c r="B152" s="32" t="str">
        <f>'A) Base RI'!B151</f>
        <v>Morges</v>
      </c>
      <c r="C152" s="14">
        <f>'A) Base RI'!AO151</f>
        <v>15862</v>
      </c>
      <c r="D152" s="10">
        <f t="shared" si="8"/>
        <v>1000</v>
      </c>
      <c r="E152" s="14">
        <f t="shared" si="7"/>
        <v>2000</v>
      </c>
      <c r="F152" s="10">
        <f t="shared" si="7"/>
        <v>2000</v>
      </c>
      <c r="G152" s="14">
        <f t="shared" si="7"/>
        <v>4000</v>
      </c>
      <c r="H152" s="41">
        <f t="shared" si="7"/>
        <v>3000</v>
      </c>
      <c r="I152" s="10">
        <f t="shared" si="7"/>
        <v>3000</v>
      </c>
      <c r="J152" s="10">
        <f t="shared" si="9"/>
        <v>862</v>
      </c>
      <c r="K152" s="118">
        <f t="shared" si="10"/>
        <v>10733822.837022133</v>
      </c>
    </row>
    <row r="153" spans="1:11" x14ac:dyDescent="0.25">
      <c r="A153" s="49">
        <f>'A) Base RI'!A152</f>
        <v>5643</v>
      </c>
      <c r="B153" s="32" t="str">
        <f>'A) Base RI'!B152</f>
        <v>Préverenges</v>
      </c>
      <c r="C153" s="14">
        <f>'A) Base RI'!AO152</f>
        <v>5243</v>
      </c>
      <c r="D153" s="10">
        <f t="shared" si="8"/>
        <v>1000</v>
      </c>
      <c r="E153" s="14">
        <f t="shared" si="7"/>
        <v>2000</v>
      </c>
      <c r="F153" s="10">
        <f t="shared" si="7"/>
        <v>2000</v>
      </c>
      <c r="G153" s="14">
        <f t="shared" si="7"/>
        <v>243</v>
      </c>
      <c r="H153" s="41">
        <f t="shared" si="7"/>
        <v>0</v>
      </c>
      <c r="I153" s="10">
        <f t="shared" si="7"/>
        <v>0</v>
      </c>
      <c r="J153" s="10">
        <f t="shared" si="9"/>
        <v>0</v>
      </c>
      <c r="K153" s="118">
        <f t="shared" si="10"/>
        <v>1980713.480885312</v>
      </c>
    </row>
    <row r="154" spans="1:11" x14ac:dyDescent="0.25">
      <c r="A154" s="49">
        <f>'A) Base RI'!A153</f>
        <v>5644</v>
      </c>
      <c r="B154" s="32" t="str">
        <f>'A) Base RI'!B153</f>
        <v>Reverolle</v>
      </c>
      <c r="C154" s="14">
        <f>'A) Base RI'!AO153</f>
        <v>413</v>
      </c>
      <c r="D154" s="10">
        <f t="shared" si="8"/>
        <v>413</v>
      </c>
      <c r="E154" s="14">
        <f t="shared" si="7"/>
        <v>0</v>
      </c>
      <c r="F154" s="10">
        <f t="shared" si="7"/>
        <v>0</v>
      </c>
      <c r="G154" s="14">
        <f t="shared" si="7"/>
        <v>0</v>
      </c>
      <c r="H154" s="41">
        <f t="shared" si="7"/>
        <v>0</v>
      </c>
      <c r="I154" s="10">
        <f t="shared" si="7"/>
        <v>0</v>
      </c>
      <c r="J154" s="10">
        <f t="shared" si="9"/>
        <v>0</v>
      </c>
      <c r="K154" s="118">
        <f t="shared" si="10"/>
        <v>51884.683098591544</v>
      </c>
    </row>
    <row r="155" spans="1:11" x14ac:dyDescent="0.25">
      <c r="A155" s="49">
        <f>'A) Base RI'!A154</f>
        <v>5645</v>
      </c>
      <c r="B155" s="32" t="str">
        <f>'A) Base RI'!B154</f>
        <v>Romanel-sur-Morges</v>
      </c>
      <c r="C155" s="14">
        <f>'A) Base RI'!AO154</f>
        <v>470</v>
      </c>
      <c r="D155" s="10">
        <f t="shared" si="8"/>
        <v>470</v>
      </c>
      <c r="E155" s="14">
        <f t="shared" si="7"/>
        <v>0</v>
      </c>
      <c r="F155" s="10">
        <f t="shared" si="7"/>
        <v>0</v>
      </c>
      <c r="G155" s="14">
        <f t="shared" si="7"/>
        <v>0</v>
      </c>
      <c r="H155" s="41">
        <f t="shared" si="7"/>
        <v>0</v>
      </c>
      <c r="I155" s="10">
        <f t="shared" si="7"/>
        <v>0</v>
      </c>
      <c r="J155" s="10">
        <f t="shared" si="9"/>
        <v>0</v>
      </c>
      <c r="K155" s="118">
        <f t="shared" si="10"/>
        <v>59045.523138832992</v>
      </c>
    </row>
    <row r="156" spans="1:11" x14ac:dyDescent="0.25">
      <c r="A156" s="49">
        <f>'A) Base RI'!A155</f>
        <v>5646</v>
      </c>
      <c r="B156" s="32" t="str">
        <f>'A) Base RI'!B155</f>
        <v>Saint-Prex</v>
      </c>
      <c r="C156" s="14">
        <f>'A) Base RI'!AO155</f>
        <v>5774</v>
      </c>
      <c r="D156" s="10">
        <f t="shared" si="8"/>
        <v>1000</v>
      </c>
      <c r="E156" s="14">
        <f t="shared" si="7"/>
        <v>2000</v>
      </c>
      <c r="F156" s="10">
        <f t="shared" si="7"/>
        <v>2000</v>
      </c>
      <c r="G156" s="14">
        <f t="shared" si="7"/>
        <v>774</v>
      </c>
      <c r="H156" s="41">
        <f t="shared" si="7"/>
        <v>0</v>
      </c>
      <c r="I156" s="10">
        <f t="shared" si="7"/>
        <v>0</v>
      </c>
      <c r="J156" s="10">
        <f t="shared" si="9"/>
        <v>0</v>
      </c>
      <c r="K156" s="118">
        <f t="shared" si="10"/>
        <v>2300916.0965794767</v>
      </c>
    </row>
    <row r="157" spans="1:11" x14ac:dyDescent="0.25">
      <c r="A157" s="49">
        <f>'A) Base RI'!A156</f>
        <v>5648</v>
      </c>
      <c r="B157" s="32" t="str">
        <f>'A) Base RI'!B156</f>
        <v>Saint-Sulpice</v>
      </c>
      <c r="C157" s="14">
        <f>'A) Base RI'!AO156</f>
        <v>4717</v>
      </c>
      <c r="D157" s="10">
        <f t="shared" si="8"/>
        <v>1000</v>
      </c>
      <c r="E157" s="14">
        <f t="shared" si="7"/>
        <v>2000</v>
      </c>
      <c r="F157" s="10">
        <f t="shared" si="7"/>
        <v>1717</v>
      </c>
      <c r="G157" s="14">
        <f t="shared" ref="E157:I208" si="11">IF($C157&gt;G$4,IF($C157&lt;G$5,$C157-G$4,G$5-G$4),0)</f>
        <v>0</v>
      </c>
      <c r="H157" s="41">
        <f t="shared" si="11"/>
        <v>0</v>
      </c>
      <c r="I157" s="10">
        <f t="shared" si="11"/>
        <v>0</v>
      </c>
      <c r="J157" s="10">
        <f t="shared" si="9"/>
        <v>0</v>
      </c>
      <c r="K157" s="118">
        <f t="shared" si="10"/>
        <v>1691968.3098591547</v>
      </c>
    </row>
    <row r="158" spans="1:11" x14ac:dyDescent="0.25">
      <c r="A158" s="49">
        <f>'A) Base RI'!A157</f>
        <v>5649</v>
      </c>
      <c r="B158" s="32" t="str">
        <f>'A) Base RI'!B157</f>
        <v>Tolochenaz</v>
      </c>
      <c r="C158" s="14">
        <f>'A) Base RI'!AO157</f>
        <v>1907</v>
      </c>
      <c r="D158" s="10">
        <f t="shared" si="8"/>
        <v>1000</v>
      </c>
      <c r="E158" s="14">
        <f t="shared" si="11"/>
        <v>907</v>
      </c>
      <c r="F158" s="10">
        <f t="shared" si="11"/>
        <v>0</v>
      </c>
      <c r="G158" s="14">
        <f t="shared" si="11"/>
        <v>0</v>
      </c>
      <c r="H158" s="41">
        <f t="shared" si="11"/>
        <v>0</v>
      </c>
      <c r="I158" s="10">
        <f t="shared" si="11"/>
        <v>0</v>
      </c>
      <c r="J158" s="10">
        <f t="shared" si="9"/>
        <v>0</v>
      </c>
      <c r="K158" s="118">
        <f t="shared" si="10"/>
        <v>444675.60362173035</v>
      </c>
    </row>
    <row r="159" spans="1:11" x14ac:dyDescent="0.25">
      <c r="A159" s="49">
        <f>'A) Base RI'!A158</f>
        <v>5650</v>
      </c>
      <c r="B159" s="32" t="str">
        <f>'A) Base RI'!B158</f>
        <v>Vaux-sur-Morges</v>
      </c>
      <c r="C159" s="14">
        <f>'A) Base RI'!AO158</f>
        <v>196</v>
      </c>
      <c r="D159" s="10">
        <f t="shared" si="8"/>
        <v>196</v>
      </c>
      <c r="E159" s="14">
        <f t="shared" si="11"/>
        <v>0</v>
      </c>
      <c r="F159" s="10">
        <f t="shared" si="11"/>
        <v>0</v>
      </c>
      <c r="G159" s="14">
        <f t="shared" si="11"/>
        <v>0</v>
      </c>
      <c r="H159" s="41">
        <f t="shared" si="11"/>
        <v>0</v>
      </c>
      <c r="I159" s="10">
        <f t="shared" si="11"/>
        <v>0</v>
      </c>
      <c r="J159" s="10">
        <f t="shared" si="9"/>
        <v>0</v>
      </c>
      <c r="K159" s="118">
        <f t="shared" si="10"/>
        <v>24623.239436619719</v>
      </c>
    </row>
    <row r="160" spans="1:11" x14ac:dyDescent="0.25">
      <c r="A160" s="49">
        <f>'A) Base RI'!A159</f>
        <v>5651</v>
      </c>
      <c r="B160" s="32" t="str">
        <f>'A) Base RI'!B159</f>
        <v>Villars-Sainte-Croix</v>
      </c>
      <c r="C160" s="14">
        <f>'A) Base RI'!AO159</f>
        <v>973</v>
      </c>
      <c r="D160" s="10">
        <f t="shared" si="8"/>
        <v>973</v>
      </c>
      <c r="E160" s="14">
        <f t="shared" si="11"/>
        <v>0</v>
      </c>
      <c r="F160" s="10">
        <f t="shared" si="11"/>
        <v>0</v>
      </c>
      <c r="G160" s="14">
        <f t="shared" si="11"/>
        <v>0</v>
      </c>
      <c r="H160" s="41">
        <f t="shared" si="11"/>
        <v>0</v>
      </c>
      <c r="I160" s="10">
        <f t="shared" si="11"/>
        <v>0</v>
      </c>
      <c r="J160" s="10">
        <f t="shared" si="9"/>
        <v>0</v>
      </c>
      <c r="K160" s="118">
        <f t="shared" si="10"/>
        <v>122236.79577464788</v>
      </c>
    </row>
    <row r="161" spans="1:11" x14ac:dyDescent="0.25">
      <c r="A161" s="49">
        <f>'A) Base RI'!A160</f>
        <v>5652</v>
      </c>
      <c r="B161" s="32" t="str">
        <f>'A) Base RI'!B160</f>
        <v>Villars-sous-Yens</v>
      </c>
      <c r="C161" s="14">
        <f>'A) Base RI'!AO160</f>
        <v>603</v>
      </c>
      <c r="D161" s="10">
        <f t="shared" si="8"/>
        <v>603</v>
      </c>
      <c r="E161" s="14">
        <f t="shared" si="11"/>
        <v>0</v>
      </c>
      <c r="F161" s="10">
        <f t="shared" si="11"/>
        <v>0</v>
      </c>
      <c r="G161" s="14">
        <f t="shared" si="11"/>
        <v>0</v>
      </c>
      <c r="H161" s="41">
        <f t="shared" si="11"/>
        <v>0</v>
      </c>
      <c r="I161" s="10">
        <f t="shared" si="11"/>
        <v>0</v>
      </c>
      <c r="J161" s="10">
        <f t="shared" si="9"/>
        <v>0</v>
      </c>
      <c r="K161" s="118">
        <f t="shared" si="10"/>
        <v>75754.149899396376</v>
      </c>
    </row>
    <row r="162" spans="1:11" x14ac:dyDescent="0.25">
      <c r="A162" s="49">
        <f>'A) Base RI'!A161</f>
        <v>5653</v>
      </c>
      <c r="B162" s="32" t="str">
        <f>'A) Base RI'!B161</f>
        <v>Vufflens-le-Château</v>
      </c>
      <c r="C162" s="14">
        <f>'A) Base RI'!AO161</f>
        <v>883</v>
      </c>
      <c r="D162" s="10">
        <f t="shared" si="8"/>
        <v>883</v>
      </c>
      <c r="E162" s="14">
        <f t="shared" si="11"/>
        <v>0</v>
      </c>
      <c r="F162" s="10">
        <f t="shared" si="11"/>
        <v>0</v>
      </c>
      <c r="G162" s="14">
        <f t="shared" si="11"/>
        <v>0</v>
      </c>
      <c r="H162" s="41">
        <f t="shared" si="11"/>
        <v>0</v>
      </c>
      <c r="I162" s="10">
        <f t="shared" si="11"/>
        <v>0</v>
      </c>
      <c r="J162" s="10">
        <f t="shared" si="9"/>
        <v>0</v>
      </c>
      <c r="K162" s="118">
        <f t="shared" si="10"/>
        <v>110930.20623742454</v>
      </c>
    </row>
    <row r="163" spans="1:11" x14ac:dyDescent="0.25">
      <c r="A163" s="49">
        <f>'A) Base RI'!A162</f>
        <v>5654</v>
      </c>
      <c r="B163" s="32" t="str">
        <f>'A) Base RI'!B162</f>
        <v>Vullierens</v>
      </c>
      <c r="C163" s="14">
        <f>'A) Base RI'!AO162</f>
        <v>513</v>
      </c>
      <c r="D163" s="10">
        <f t="shared" si="8"/>
        <v>513</v>
      </c>
      <c r="E163" s="14">
        <f t="shared" si="11"/>
        <v>0</v>
      </c>
      <c r="F163" s="10">
        <f t="shared" si="11"/>
        <v>0</v>
      </c>
      <c r="G163" s="14">
        <f t="shared" si="11"/>
        <v>0</v>
      </c>
      <c r="H163" s="41">
        <f t="shared" si="11"/>
        <v>0</v>
      </c>
      <c r="I163" s="10">
        <f t="shared" si="11"/>
        <v>0</v>
      </c>
      <c r="J163" s="10">
        <f t="shared" si="9"/>
        <v>0</v>
      </c>
      <c r="K163" s="118">
        <f t="shared" si="10"/>
        <v>64447.560362173033</v>
      </c>
    </row>
    <row r="164" spans="1:11" x14ac:dyDescent="0.25">
      <c r="A164" s="49">
        <f>'A) Base RI'!A163</f>
        <v>5655</v>
      </c>
      <c r="B164" s="32" t="str">
        <f>'A) Base RI'!B163</f>
        <v>Yens</v>
      </c>
      <c r="C164" s="14">
        <f>'A) Base RI'!AO163</f>
        <v>1477</v>
      </c>
      <c r="D164" s="10">
        <f t="shared" si="8"/>
        <v>1000</v>
      </c>
      <c r="E164" s="14">
        <f t="shared" si="11"/>
        <v>477</v>
      </c>
      <c r="F164" s="10">
        <f t="shared" si="11"/>
        <v>0</v>
      </c>
      <c r="G164" s="14">
        <f t="shared" si="11"/>
        <v>0</v>
      </c>
      <c r="H164" s="41">
        <f t="shared" si="11"/>
        <v>0</v>
      </c>
      <c r="I164" s="10">
        <f t="shared" si="11"/>
        <v>0</v>
      </c>
      <c r="J164" s="10">
        <f t="shared" si="9"/>
        <v>0</v>
      </c>
      <c r="K164" s="118">
        <f t="shared" si="10"/>
        <v>293418.56136820919</v>
      </c>
    </row>
    <row r="165" spans="1:11" x14ac:dyDescent="0.25">
      <c r="A165" s="49">
        <f>'A) Base RI'!A164</f>
        <v>5661</v>
      </c>
      <c r="B165" s="32" t="str">
        <f>'A) Base RI'!B164</f>
        <v>Boulens</v>
      </c>
      <c r="C165" s="14">
        <f>'A) Base RI'!AO164</f>
        <v>361</v>
      </c>
      <c r="D165" s="10">
        <f t="shared" si="8"/>
        <v>361</v>
      </c>
      <c r="E165" s="14">
        <f t="shared" si="11"/>
        <v>0</v>
      </c>
      <c r="F165" s="10">
        <f t="shared" si="11"/>
        <v>0</v>
      </c>
      <c r="G165" s="14">
        <f t="shared" si="11"/>
        <v>0</v>
      </c>
      <c r="H165" s="41">
        <f t="shared" si="11"/>
        <v>0</v>
      </c>
      <c r="I165" s="10">
        <f t="shared" si="11"/>
        <v>0</v>
      </c>
      <c r="J165" s="10">
        <f t="shared" si="9"/>
        <v>0</v>
      </c>
      <c r="K165" s="118">
        <f t="shared" si="10"/>
        <v>45351.986921529169</v>
      </c>
    </row>
    <row r="166" spans="1:11" x14ac:dyDescent="0.25">
      <c r="A166" s="49">
        <f>'A) Base RI'!A165</f>
        <v>5663</v>
      </c>
      <c r="B166" s="32" t="str">
        <f>'A) Base RI'!B165</f>
        <v>Bussy-sur-Moudon</v>
      </c>
      <c r="C166" s="14">
        <f>'A) Base RI'!AO165</f>
        <v>218</v>
      </c>
      <c r="D166" s="10">
        <f t="shared" si="8"/>
        <v>218</v>
      </c>
      <c r="E166" s="14">
        <f t="shared" si="11"/>
        <v>0</v>
      </c>
      <c r="F166" s="10">
        <f t="shared" si="11"/>
        <v>0</v>
      </c>
      <c r="G166" s="14">
        <f t="shared" si="11"/>
        <v>0</v>
      </c>
      <c r="H166" s="41">
        <f t="shared" si="11"/>
        <v>0</v>
      </c>
      <c r="I166" s="10">
        <f t="shared" si="11"/>
        <v>0</v>
      </c>
      <c r="J166" s="10">
        <f t="shared" si="9"/>
        <v>0</v>
      </c>
      <c r="K166" s="118">
        <f t="shared" si="10"/>
        <v>27387.072434607646</v>
      </c>
    </row>
    <row r="167" spans="1:11" x14ac:dyDescent="0.25">
      <c r="A167" s="49">
        <f>'A) Base RI'!A166</f>
        <v>5665</v>
      </c>
      <c r="B167" s="32" t="str">
        <f>'A) Base RI'!B166</f>
        <v>Chavannes-sur-Moudon</v>
      </c>
      <c r="C167" s="14">
        <f>'A) Base RI'!AO166</f>
        <v>210</v>
      </c>
      <c r="D167" s="10">
        <f t="shared" si="8"/>
        <v>210</v>
      </c>
      <c r="E167" s="14">
        <f t="shared" si="11"/>
        <v>0</v>
      </c>
      <c r="F167" s="10">
        <f t="shared" si="11"/>
        <v>0</v>
      </c>
      <c r="G167" s="14">
        <f t="shared" si="11"/>
        <v>0</v>
      </c>
      <c r="H167" s="41">
        <f t="shared" si="11"/>
        <v>0</v>
      </c>
      <c r="I167" s="10">
        <f t="shared" si="11"/>
        <v>0</v>
      </c>
      <c r="J167" s="10">
        <f t="shared" si="9"/>
        <v>0</v>
      </c>
      <c r="K167" s="118">
        <f t="shared" si="10"/>
        <v>26382.042253521126</v>
      </c>
    </row>
    <row r="168" spans="1:11" x14ac:dyDescent="0.25">
      <c r="A168" s="49">
        <f>'A) Base RI'!A167</f>
        <v>5669</v>
      </c>
      <c r="B168" s="32" t="str">
        <f>'A) Base RI'!B167</f>
        <v>Curtilles</v>
      </c>
      <c r="C168" s="14">
        <f>'A) Base RI'!AO167</f>
        <v>310</v>
      </c>
      <c r="D168" s="10">
        <f t="shared" si="8"/>
        <v>310</v>
      </c>
      <c r="E168" s="14">
        <f t="shared" si="11"/>
        <v>0</v>
      </c>
      <c r="F168" s="10">
        <f t="shared" si="11"/>
        <v>0</v>
      </c>
      <c r="G168" s="14">
        <f t="shared" si="11"/>
        <v>0</v>
      </c>
      <c r="H168" s="41">
        <f t="shared" si="11"/>
        <v>0</v>
      </c>
      <c r="I168" s="10">
        <f t="shared" si="11"/>
        <v>0</v>
      </c>
      <c r="J168" s="10">
        <f t="shared" si="9"/>
        <v>0</v>
      </c>
      <c r="K168" s="118">
        <f t="shared" si="10"/>
        <v>38944.919517102615</v>
      </c>
    </row>
    <row r="169" spans="1:11" x14ac:dyDescent="0.25">
      <c r="A169" s="49">
        <f>'A) Base RI'!A168</f>
        <v>5671</v>
      </c>
      <c r="B169" s="32" t="str">
        <f>'A) Base RI'!B168</f>
        <v>Dompierre</v>
      </c>
      <c r="C169" s="14">
        <f>'A) Base RI'!AO168</f>
        <v>232</v>
      </c>
      <c r="D169" s="10">
        <f t="shared" si="8"/>
        <v>232</v>
      </c>
      <c r="E169" s="14">
        <f t="shared" si="11"/>
        <v>0</v>
      </c>
      <c r="F169" s="10">
        <f t="shared" si="11"/>
        <v>0</v>
      </c>
      <c r="G169" s="14">
        <f t="shared" si="11"/>
        <v>0</v>
      </c>
      <c r="H169" s="41">
        <f t="shared" si="11"/>
        <v>0</v>
      </c>
      <c r="I169" s="10">
        <f t="shared" si="11"/>
        <v>0</v>
      </c>
      <c r="J169" s="10">
        <f t="shared" si="9"/>
        <v>0</v>
      </c>
      <c r="K169" s="118">
        <f t="shared" si="10"/>
        <v>29145.875251509053</v>
      </c>
    </row>
    <row r="170" spans="1:11" x14ac:dyDescent="0.25">
      <c r="A170" s="49">
        <f>'A) Base RI'!A169</f>
        <v>5673</v>
      </c>
      <c r="B170" s="32" t="str">
        <f>'A) Base RI'!B169</f>
        <v>Hermenches</v>
      </c>
      <c r="C170" s="14">
        <f>'A) Base RI'!AO169</f>
        <v>367</v>
      </c>
      <c r="D170" s="10">
        <f t="shared" si="8"/>
        <v>367</v>
      </c>
      <c r="E170" s="14">
        <f t="shared" si="11"/>
        <v>0</v>
      </c>
      <c r="F170" s="10">
        <f t="shared" si="11"/>
        <v>0</v>
      </c>
      <c r="G170" s="14">
        <f t="shared" si="11"/>
        <v>0</v>
      </c>
      <c r="H170" s="41">
        <f t="shared" si="11"/>
        <v>0</v>
      </c>
      <c r="I170" s="10">
        <f t="shared" si="11"/>
        <v>0</v>
      </c>
      <c r="J170" s="10">
        <f t="shared" si="9"/>
        <v>0</v>
      </c>
      <c r="K170" s="118">
        <f t="shared" si="10"/>
        <v>46105.759557344063</v>
      </c>
    </row>
    <row r="171" spans="1:11" x14ac:dyDescent="0.25">
      <c r="A171" s="49">
        <f>'A) Base RI'!A170</f>
        <v>5674</v>
      </c>
      <c r="B171" s="32" t="str">
        <f>'A) Base RI'!B170</f>
        <v>Lovatens</v>
      </c>
      <c r="C171" s="14">
        <f>'A) Base RI'!AO170</f>
        <v>136</v>
      </c>
      <c r="D171" s="10">
        <f t="shared" ref="D171:D234" si="12">IF($C171&gt;D$4,IF($C171&lt;D$5,$C171-D$4,D$5-D$4),0)</f>
        <v>136</v>
      </c>
      <c r="E171" s="14">
        <f t="shared" si="11"/>
        <v>0</v>
      </c>
      <c r="F171" s="10">
        <f t="shared" si="11"/>
        <v>0</v>
      </c>
      <c r="G171" s="14">
        <f t="shared" si="11"/>
        <v>0</v>
      </c>
      <c r="H171" s="41">
        <f t="shared" si="11"/>
        <v>0</v>
      </c>
      <c r="I171" s="10">
        <f t="shared" si="11"/>
        <v>0</v>
      </c>
      <c r="J171" s="10">
        <f t="shared" si="9"/>
        <v>0</v>
      </c>
      <c r="K171" s="118">
        <f t="shared" si="10"/>
        <v>17085.513078470824</v>
      </c>
    </row>
    <row r="172" spans="1:11" x14ac:dyDescent="0.25">
      <c r="A172" s="49">
        <f>'A) Base RI'!A171</f>
        <v>5675</v>
      </c>
      <c r="B172" s="32" t="str">
        <f>'A) Base RI'!B171</f>
        <v>Lucens</v>
      </c>
      <c r="C172" s="14">
        <f>'A) Base RI'!AO171</f>
        <v>4220</v>
      </c>
      <c r="D172" s="10">
        <f t="shared" si="12"/>
        <v>1000</v>
      </c>
      <c r="E172" s="14">
        <f t="shared" si="11"/>
        <v>2000</v>
      </c>
      <c r="F172" s="10">
        <f t="shared" si="11"/>
        <v>1220</v>
      </c>
      <c r="G172" s="14">
        <f t="shared" si="11"/>
        <v>0</v>
      </c>
      <c r="H172" s="41">
        <f t="shared" si="11"/>
        <v>0</v>
      </c>
      <c r="I172" s="10">
        <f t="shared" si="11"/>
        <v>0</v>
      </c>
      <c r="J172" s="10">
        <f t="shared" si="9"/>
        <v>0</v>
      </c>
      <c r="K172" s="118">
        <f t="shared" si="10"/>
        <v>1442218.3098591547</v>
      </c>
    </row>
    <row r="173" spans="1:11" x14ac:dyDescent="0.25">
      <c r="A173" s="49">
        <f>'A) Base RI'!A172</f>
        <v>5678</v>
      </c>
      <c r="B173" s="32" t="str">
        <f>'A) Base RI'!B172</f>
        <v>Moudon</v>
      </c>
      <c r="C173" s="14">
        <f>'A) Base RI'!AO172</f>
        <v>6080</v>
      </c>
      <c r="D173" s="10">
        <f t="shared" si="12"/>
        <v>1000</v>
      </c>
      <c r="E173" s="14">
        <f t="shared" si="11"/>
        <v>2000</v>
      </c>
      <c r="F173" s="10">
        <f t="shared" si="11"/>
        <v>2000</v>
      </c>
      <c r="G173" s="14">
        <f t="shared" si="11"/>
        <v>1080</v>
      </c>
      <c r="H173" s="41">
        <f t="shared" si="11"/>
        <v>0</v>
      </c>
      <c r="I173" s="10">
        <f t="shared" si="11"/>
        <v>0</v>
      </c>
      <c r="J173" s="10">
        <f t="shared" si="9"/>
        <v>0</v>
      </c>
      <c r="K173" s="118">
        <f t="shared" si="10"/>
        <v>2485439.6378269615</v>
      </c>
    </row>
    <row r="174" spans="1:11" x14ac:dyDescent="0.25">
      <c r="A174" s="49">
        <f>'A) Base RI'!A173</f>
        <v>5680</v>
      </c>
      <c r="B174" s="32" t="str">
        <f>'A) Base RI'!B173</f>
        <v>Ogens</v>
      </c>
      <c r="C174" s="14">
        <f>'A) Base RI'!AO173</f>
        <v>296</v>
      </c>
      <c r="D174" s="10">
        <f t="shared" si="12"/>
        <v>296</v>
      </c>
      <c r="E174" s="14">
        <f t="shared" si="11"/>
        <v>0</v>
      </c>
      <c r="F174" s="10">
        <f t="shared" si="11"/>
        <v>0</v>
      </c>
      <c r="G174" s="14">
        <f t="shared" si="11"/>
        <v>0</v>
      </c>
      <c r="H174" s="41">
        <f t="shared" si="11"/>
        <v>0</v>
      </c>
      <c r="I174" s="10">
        <f t="shared" si="11"/>
        <v>0</v>
      </c>
      <c r="J174" s="10">
        <f t="shared" si="9"/>
        <v>0</v>
      </c>
      <c r="K174" s="118">
        <f t="shared" si="10"/>
        <v>37186.116700201208</v>
      </c>
    </row>
    <row r="175" spans="1:11" x14ac:dyDescent="0.25">
      <c r="A175" s="49">
        <f>'A) Base RI'!A174</f>
        <v>5683</v>
      </c>
      <c r="B175" s="32" t="str">
        <f>'A) Base RI'!B174</f>
        <v>Prévonloup</v>
      </c>
      <c r="C175" s="14">
        <f>'A) Base RI'!AO174</f>
        <v>194</v>
      </c>
      <c r="D175" s="10">
        <f t="shared" si="12"/>
        <v>194</v>
      </c>
      <c r="E175" s="14">
        <f t="shared" si="11"/>
        <v>0</v>
      </c>
      <c r="F175" s="10">
        <f t="shared" si="11"/>
        <v>0</v>
      </c>
      <c r="G175" s="14">
        <f t="shared" si="11"/>
        <v>0</v>
      </c>
      <c r="H175" s="41">
        <f t="shared" si="11"/>
        <v>0</v>
      </c>
      <c r="I175" s="10">
        <f t="shared" si="11"/>
        <v>0</v>
      </c>
      <c r="J175" s="10">
        <f t="shared" si="9"/>
        <v>0</v>
      </c>
      <c r="K175" s="118">
        <f t="shared" si="10"/>
        <v>24371.981891348089</v>
      </c>
    </row>
    <row r="176" spans="1:11" x14ac:dyDescent="0.25">
      <c r="A176" s="49">
        <f>'A) Base RI'!A175</f>
        <v>5684</v>
      </c>
      <c r="B176" s="32" t="str">
        <f>'A) Base RI'!B175</f>
        <v>Rossenges</v>
      </c>
      <c r="C176" s="14">
        <f>'A) Base RI'!AO175</f>
        <v>84</v>
      </c>
      <c r="D176" s="10">
        <f t="shared" si="12"/>
        <v>84</v>
      </c>
      <c r="E176" s="14">
        <f t="shared" si="11"/>
        <v>0</v>
      </c>
      <c r="F176" s="10">
        <f t="shared" si="11"/>
        <v>0</v>
      </c>
      <c r="G176" s="14">
        <f t="shared" si="11"/>
        <v>0</v>
      </c>
      <c r="H176" s="41">
        <f t="shared" si="11"/>
        <v>0</v>
      </c>
      <c r="I176" s="10">
        <f t="shared" si="11"/>
        <v>0</v>
      </c>
      <c r="J176" s="10">
        <f t="shared" si="9"/>
        <v>0</v>
      </c>
      <c r="K176" s="118">
        <f t="shared" si="10"/>
        <v>10552.816901408451</v>
      </c>
    </row>
    <row r="177" spans="1:11" x14ac:dyDescent="0.25">
      <c r="A177" s="49">
        <f>'A) Base RI'!A176</f>
        <v>5688</v>
      </c>
      <c r="B177" s="32" t="str">
        <f>'A) Base RI'!B176</f>
        <v>Syens</v>
      </c>
      <c r="C177" s="14">
        <f>'A) Base RI'!AO176</f>
        <v>155</v>
      </c>
      <c r="D177" s="10">
        <f t="shared" si="12"/>
        <v>155</v>
      </c>
      <c r="E177" s="14">
        <f t="shared" si="11"/>
        <v>0</v>
      </c>
      <c r="F177" s="10">
        <f t="shared" si="11"/>
        <v>0</v>
      </c>
      <c r="G177" s="14">
        <f t="shared" si="11"/>
        <v>0</v>
      </c>
      <c r="H177" s="41">
        <f t="shared" si="11"/>
        <v>0</v>
      </c>
      <c r="I177" s="10">
        <f t="shared" si="11"/>
        <v>0</v>
      </c>
      <c r="J177" s="10">
        <f t="shared" si="9"/>
        <v>0</v>
      </c>
      <c r="K177" s="118">
        <f t="shared" si="10"/>
        <v>19472.459758551307</v>
      </c>
    </row>
    <row r="178" spans="1:11" x14ac:dyDescent="0.25">
      <c r="A178" s="49">
        <f>'A) Base RI'!A177</f>
        <v>5690</v>
      </c>
      <c r="B178" s="32" t="str">
        <f>'A) Base RI'!B177</f>
        <v>Villars-le-Comte</v>
      </c>
      <c r="C178" s="14">
        <f>'A) Base RI'!AO177</f>
        <v>122</v>
      </c>
      <c r="D178" s="10">
        <f t="shared" si="12"/>
        <v>122</v>
      </c>
      <c r="E178" s="14">
        <f t="shared" si="11"/>
        <v>0</v>
      </c>
      <c r="F178" s="10">
        <f t="shared" si="11"/>
        <v>0</v>
      </c>
      <c r="G178" s="14">
        <f t="shared" si="11"/>
        <v>0</v>
      </c>
      <c r="H178" s="41">
        <f t="shared" si="11"/>
        <v>0</v>
      </c>
      <c r="I178" s="10">
        <f t="shared" si="11"/>
        <v>0</v>
      </c>
      <c r="J178" s="10">
        <f t="shared" si="9"/>
        <v>0</v>
      </c>
      <c r="K178" s="118">
        <f t="shared" si="10"/>
        <v>15326.710261569417</v>
      </c>
    </row>
    <row r="179" spans="1:11" x14ac:dyDescent="0.25">
      <c r="A179" s="49">
        <f>'A) Base RI'!A178</f>
        <v>5692</v>
      </c>
      <c r="B179" s="32" t="str">
        <f>'A) Base RI'!B178</f>
        <v>Vucherens</v>
      </c>
      <c r="C179" s="14">
        <f>'A) Base RI'!AO178</f>
        <v>580</v>
      </c>
      <c r="D179" s="10">
        <f t="shared" si="12"/>
        <v>580</v>
      </c>
      <c r="E179" s="14">
        <f t="shared" si="11"/>
        <v>0</v>
      </c>
      <c r="F179" s="10">
        <f t="shared" si="11"/>
        <v>0</v>
      </c>
      <c r="G179" s="14">
        <f t="shared" si="11"/>
        <v>0</v>
      </c>
      <c r="H179" s="41">
        <f t="shared" si="11"/>
        <v>0</v>
      </c>
      <c r="I179" s="10">
        <f t="shared" si="11"/>
        <v>0</v>
      </c>
      <c r="J179" s="10">
        <f t="shared" si="9"/>
        <v>0</v>
      </c>
      <c r="K179" s="118">
        <f t="shared" si="10"/>
        <v>72864.688128772628</v>
      </c>
    </row>
    <row r="180" spans="1:11" x14ac:dyDescent="0.25">
      <c r="A180" s="49">
        <f>'A) Base RI'!A179</f>
        <v>5693</v>
      </c>
      <c r="B180" s="32" t="str">
        <f>'A) Base RI'!B179</f>
        <v>Montanaire</v>
      </c>
      <c r="C180" s="14">
        <f>'A) Base RI'!AO179</f>
        <v>2717</v>
      </c>
      <c r="D180" s="10">
        <f t="shared" si="12"/>
        <v>1000</v>
      </c>
      <c r="E180" s="14">
        <f t="shared" si="11"/>
        <v>1717</v>
      </c>
      <c r="F180" s="10">
        <f t="shared" si="11"/>
        <v>0</v>
      </c>
      <c r="G180" s="14">
        <f t="shared" si="11"/>
        <v>0</v>
      </c>
      <c r="H180" s="41">
        <f t="shared" si="11"/>
        <v>0</v>
      </c>
      <c r="I180" s="10">
        <f t="shared" si="11"/>
        <v>0</v>
      </c>
      <c r="J180" s="10">
        <f t="shared" si="9"/>
        <v>0</v>
      </c>
      <c r="K180" s="118">
        <f t="shared" si="10"/>
        <v>729601.65995975852</v>
      </c>
    </row>
    <row r="181" spans="1:11" x14ac:dyDescent="0.25">
      <c r="A181" s="49">
        <f>'A) Base RI'!A180</f>
        <v>5701</v>
      </c>
      <c r="B181" s="32" t="str">
        <f>'A) Base RI'!B180</f>
        <v>Arnex-sur-Nyon</v>
      </c>
      <c r="C181" s="14">
        <f>'A) Base RI'!AO180</f>
        <v>229</v>
      </c>
      <c r="D181" s="10">
        <f t="shared" si="12"/>
        <v>229</v>
      </c>
      <c r="E181" s="14">
        <f t="shared" si="11"/>
        <v>0</v>
      </c>
      <c r="F181" s="10">
        <f t="shared" si="11"/>
        <v>0</v>
      </c>
      <c r="G181" s="14">
        <f t="shared" si="11"/>
        <v>0</v>
      </c>
      <c r="H181" s="41">
        <f t="shared" si="11"/>
        <v>0</v>
      </c>
      <c r="I181" s="10">
        <f t="shared" si="11"/>
        <v>0</v>
      </c>
      <c r="J181" s="10">
        <f t="shared" si="9"/>
        <v>0</v>
      </c>
      <c r="K181" s="118">
        <f t="shared" si="10"/>
        <v>28768.988933601609</v>
      </c>
    </row>
    <row r="182" spans="1:11" x14ac:dyDescent="0.25">
      <c r="A182" s="49">
        <f>'A) Base RI'!A181</f>
        <v>5702</v>
      </c>
      <c r="B182" s="32" t="str">
        <f>'A) Base RI'!B181</f>
        <v>Arzier-Le Muids</v>
      </c>
      <c r="C182" s="14">
        <f>'A) Base RI'!AO181</f>
        <v>2801</v>
      </c>
      <c r="D182" s="10">
        <f t="shared" si="12"/>
        <v>1000</v>
      </c>
      <c r="E182" s="14">
        <f t="shared" si="11"/>
        <v>1801</v>
      </c>
      <c r="F182" s="10">
        <f t="shared" si="11"/>
        <v>0</v>
      </c>
      <c r="G182" s="14">
        <f t="shared" si="11"/>
        <v>0</v>
      </c>
      <c r="H182" s="41">
        <f t="shared" si="11"/>
        <v>0</v>
      </c>
      <c r="I182" s="10">
        <f t="shared" si="11"/>
        <v>0</v>
      </c>
      <c r="J182" s="10">
        <f t="shared" si="9"/>
        <v>0</v>
      </c>
      <c r="K182" s="118">
        <f t="shared" si="10"/>
        <v>759149.54728370218</v>
      </c>
    </row>
    <row r="183" spans="1:11" x14ac:dyDescent="0.25">
      <c r="A183" s="49">
        <f>'A) Base RI'!A182</f>
        <v>5703</v>
      </c>
      <c r="B183" s="32" t="str">
        <f>'A) Base RI'!B182</f>
        <v>Bassins</v>
      </c>
      <c r="C183" s="14">
        <f>'A) Base RI'!AO182</f>
        <v>1395</v>
      </c>
      <c r="D183" s="10">
        <f t="shared" si="12"/>
        <v>1000</v>
      </c>
      <c r="E183" s="14">
        <f t="shared" si="11"/>
        <v>395</v>
      </c>
      <c r="F183" s="10">
        <f t="shared" si="11"/>
        <v>0</v>
      </c>
      <c r="G183" s="14">
        <f t="shared" si="11"/>
        <v>0</v>
      </c>
      <c r="H183" s="41">
        <f t="shared" si="11"/>
        <v>0</v>
      </c>
      <c r="I183" s="10">
        <f t="shared" si="11"/>
        <v>0</v>
      </c>
      <c r="J183" s="10">
        <f t="shared" si="9"/>
        <v>0</v>
      </c>
      <c r="K183" s="118">
        <f t="shared" si="10"/>
        <v>264574.19517102616</v>
      </c>
    </row>
    <row r="184" spans="1:11" x14ac:dyDescent="0.25">
      <c r="A184" s="49">
        <f>'A) Base RI'!A183</f>
        <v>5704</v>
      </c>
      <c r="B184" s="32" t="str">
        <f>'A) Base RI'!B183</f>
        <v>Begnins</v>
      </c>
      <c r="C184" s="14">
        <f>'A) Base RI'!AO183</f>
        <v>1931</v>
      </c>
      <c r="D184" s="10">
        <f t="shared" si="12"/>
        <v>1000</v>
      </c>
      <c r="E184" s="14">
        <f t="shared" si="11"/>
        <v>931</v>
      </c>
      <c r="F184" s="10">
        <f t="shared" si="11"/>
        <v>0</v>
      </c>
      <c r="G184" s="14">
        <f t="shared" si="11"/>
        <v>0</v>
      </c>
      <c r="H184" s="41">
        <f t="shared" si="11"/>
        <v>0</v>
      </c>
      <c r="I184" s="10">
        <f t="shared" si="11"/>
        <v>0</v>
      </c>
      <c r="J184" s="10">
        <f t="shared" si="9"/>
        <v>0</v>
      </c>
      <c r="K184" s="118">
        <f t="shared" si="10"/>
        <v>453117.85714285716</v>
      </c>
    </row>
    <row r="185" spans="1:11" x14ac:dyDescent="0.25">
      <c r="A185" s="49">
        <f>'A) Base RI'!A184</f>
        <v>5705</v>
      </c>
      <c r="B185" s="32" t="str">
        <f>'A) Base RI'!B184</f>
        <v>Bogis-Bossey</v>
      </c>
      <c r="C185" s="14">
        <f>'A) Base RI'!AO184</f>
        <v>825</v>
      </c>
      <c r="D185" s="10">
        <f t="shared" si="12"/>
        <v>825</v>
      </c>
      <c r="E185" s="14">
        <f t="shared" si="11"/>
        <v>0</v>
      </c>
      <c r="F185" s="10">
        <f t="shared" si="11"/>
        <v>0</v>
      </c>
      <c r="G185" s="14">
        <f t="shared" si="11"/>
        <v>0</v>
      </c>
      <c r="H185" s="41">
        <f t="shared" si="11"/>
        <v>0</v>
      </c>
      <c r="I185" s="10">
        <f t="shared" si="11"/>
        <v>0</v>
      </c>
      <c r="J185" s="10">
        <f t="shared" si="9"/>
        <v>0</v>
      </c>
      <c r="K185" s="118">
        <f t="shared" si="10"/>
        <v>103643.73742454727</v>
      </c>
    </row>
    <row r="186" spans="1:11" x14ac:dyDescent="0.25">
      <c r="A186" s="49">
        <f>'A) Base RI'!A185</f>
        <v>5706</v>
      </c>
      <c r="B186" s="32" t="str">
        <f>'A) Base RI'!B185</f>
        <v>Borex</v>
      </c>
      <c r="C186" s="14">
        <f>'A) Base RI'!AO185</f>
        <v>1132</v>
      </c>
      <c r="D186" s="10">
        <f t="shared" si="12"/>
        <v>1000</v>
      </c>
      <c r="E186" s="14">
        <f t="shared" si="11"/>
        <v>132</v>
      </c>
      <c r="F186" s="10">
        <f t="shared" si="11"/>
        <v>0</v>
      </c>
      <c r="G186" s="14">
        <f t="shared" si="11"/>
        <v>0</v>
      </c>
      <c r="H186" s="41">
        <f t="shared" si="11"/>
        <v>0</v>
      </c>
      <c r="I186" s="10">
        <f t="shared" si="11"/>
        <v>0</v>
      </c>
      <c r="J186" s="10">
        <f t="shared" si="9"/>
        <v>0</v>
      </c>
      <c r="K186" s="118">
        <f t="shared" si="10"/>
        <v>172061.16700201205</v>
      </c>
    </row>
    <row r="187" spans="1:11" x14ac:dyDescent="0.25">
      <c r="A187" s="49">
        <f>'A) Base RI'!A186</f>
        <v>5707</v>
      </c>
      <c r="B187" s="32" t="str">
        <f>'A) Base RI'!B186</f>
        <v>Chavannes-de-Bogis</v>
      </c>
      <c r="C187" s="14">
        <f>'A) Base RI'!AO186</f>
        <v>1357</v>
      </c>
      <c r="D187" s="10">
        <f t="shared" si="12"/>
        <v>1000</v>
      </c>
      <c r="E187" s="14">
        <f t="shared" si="11"/>
        <v>357</v>
      </c>
      <c r="F187" s="10">
        <f t="shared" si="11"/>
        <v>0</v>
      </c>
      <c r="G187" s="14">
        <f t="shared" si="11"/>
        <v>0</v>
      </c>
      <c r="H187" s="41">
        <f t="shared" si="11"/>
        <v>0</v>
      </c>
      <c r="I187" s="10">
        <f t="shared" si="11"/>
        <v>0</v>
      </c>
      <c r="J187" s="10">
        <f t="shared" si="9"/>
        <v>0</v>
      </c>
      <c r="K187" s="118">
        <f t="shared" si="10"/>
        <v>251207.29376257543</v>
      </c>
    </row>
    <row r="188" spans="1:11" x14ac:dyDescent="0.25">
      <c r="A188" s="49">
        <f>'A) Base RI'!A187</f>
        <v>5708</v>
      </c>
      <c r="B188" s="32" t="str">
        <f>'A) Base RI'!B187</f>
        <v>Chavannes-des-Bois</v>
      </c>
      <c r="C188" s="14">
        <f>'A) Base RI'!AO187</f>
        <v>960</v>
      </c>
      <c r="D188" s="10">
        <f t="shared" si="12"/>
        <v>960</v>
      </c>
      <c r="E188" s="14">
        <f t="shared" si="11"/>
        <v>0</v>
      </c>
      <c r="F188" s="10">
        <f t="shared" si="11"/>
        <v>0</v>
      </c>
      <c r="G188" s="14">
        <f t="shared" si="11"/>
        <v>0</v>
      </c>
      <c r="H188" s="41">
        <f t="shared" si="11"/>
        <v>0</v>
      </c>
      <c r="I188" s="10">
        <f t="shared" si="11"/>
        <v>0</v>
      </c>
      <c r="J188" s="10">
        <f t="shared" si="9"/>
        <v>0</v>
      </c>
      <c r="K188" s="118">
        <f t="shared" si="10"/>
        <v>120603.62173038229</v>
      </c>
    </row>
    <row r="189" spans="1:11" x14ac:dyDescent="0.25">
      <c r="A189" s="49">
        <f>'A) Base RI'!A188</f>
        <v>5709</v>
      </c>
      <c r="B189" s="32" t="str">
        <f>'A) Base RI'!B188</f>
        <v>Chéserex</v>
      </c>
      <c r="C189" s="14">
        <f>'A) Base RI'!AO188</f>
        <v>1238</v>
      </c>
      <c r="D189" s="10">
        <f t="shared" si="12"/>
        <v>1000</v>
      </c>
      <c r="E189" s="14">
        <f t="shared" si="11"/>
        <v>238</v>
      </c>
      <c r="F189" s="10">
        <f t="shared" si="11"/>
        <v>0</v>
      </c>
      <c r="G189" s="14">
        <f t="shared" si="11"/>
        <v>0</v>
      </c>
      <c r="H189" s="41">
        <f t="shared" si="11"/>
        <v>0</v>
      </c>
      <c r="I189" s="10">
        <f t="shared" si="11"/>
        <v>0</v>
      </c>
      <c r="J189" s="10">
        <f t="shared" si="9"/>
        <v>0</v>
      </c>
      <c r="K189" s="118">
        <f t="shared" si="10"/>
        <v>209347.78672032192</v>
      </c>
    </row>
    <row r="190" spans="1:11" x14ac:dyDescent="0.25">
      <c r="A190" s="49">
        <f>'A) Base RI'!A189</f>
        <v>5710</v>
      </c>
      <c r="B190" s="32" t="str">
        <f>'A) Base RI'!B189</f>
        <v>Coinsins</v>
      </c>
      <c r="C190" s="14">
        <f>'A) Base RI'!AO189</f>
        <v>494</v>
      </c>
      <c r="D190" s="10">
        <f t="shared" si="12"/>
        <v>494</v>
      </c>
      <c r="E190" s="14">
        <f t="shared" si="11"/>
        <v>0</v>
      </c>
      <c r="F190" s="10">
        <f t="shared" si="11"/>
        <v>0</v>
      </c>
      <c r="G190" s="14">
        <f t="shared" si="11"/>
        <v>0</v>
      </c>
      <c r="H190" s="41">
        <f t="shared" si="11"/>
        <v>0</v>
      </c>
      <c r="I190" s="10">
        <f t="shared" si="11"/>
        <v>0</v>
      </c>
      <c r="J190" s="10">
        <f t="shared" si="9"/>
        <v>0</v>
      </c>
      <c r="K190" s="118">
        <f t="shared" si="10"/>
        <v>62060.613682092553</v>
      </c>
    </row>
    <row r="191" spans="1:11" x14ac:dyDescent="0.25">
      <c r="A191" s="49">
        <f>'A) Base RI'!A190</f>
        <v>5711</v>
      </c>
      <c r="B191" s="32" t="str">
        <f>'A) Base RI'!B190</f>
        <v>Commugny</v>
      </c>
      <c r="C191" s="14">
        <f>'A) Base RI'!AO190</f>
        <v>2935</v>
      </c>
      <c r="D191" s="10">
        <f t="shared" si="12"/>
        <v>1000</v>
      </c>
      <c r="E191" s="14">
        <f t="shared" si="11"/>
        <v>1935</v>
      </c>
      <c r="F191" s="10">
        <f t="shared" si="11"/>
        <v>0</v>
      </c>
      <c r="G191" s="14">
        <f t="shared" si="11"/>
        <v>0</v>
      </c>
      <c r="H191" s="41">
        <f t="shared" si="11"/>
        <v>0</v>
      </c>
      <c r="I191" s="10">
        <f t="shared" si="11"/>
        <v>0</v>
      </c>
      <c r="J191" s="10">
        <f t="shared" si="9"/>
        <v>0</v>
      </c>
      <c r="K191" s="118">
        <f t="shared" si="10"/>
        <v>806285.46277665987</v>
      </c>
    </row>
    <row r="192" spans="1:11" x14ac:dyDescent="0.25">
      <c r="A192" s="49">
        <f>'A) Base RI'!A191</f>
        <v>5712</v>
      </c>
      <c r="B192" s="32" t="str">
        <f>'A) Base RI'!B191</f>
        <v>Coppet</v>
      </c>
      <c r="C192" s="14">
        <f>'A) Base RI'!AO191</f>
        <v>3211</v>
      </c>
      <c r="D192" s="10">
        <f t="shared" si="12"/>
        <v>1000</v>
      </c>
      <c r="E192" s="14">
        <f t="shared" si="11"/>
        <v>2000</v>
      </c>
      <c r="F192" s="10">
        <f t="shared" si="11"/>
        <v>211</v>
      </c>
      <c r="G192" s="14">
        <f t="shared" si="11"/>
        <v>0</v>
      </c>
      <c r="H192" s="41">
        <f t="shared" si="11"/>
        <v>0</v>
      </c>
      <c r="I192" s="10">
        <f t="shared" si="11"/>
        <v>0</v>
      </c>
      <c r="J192" s="10">
        <f t="shared" si="9"/>
        <v>0</v>
      </c>
      <c r="K192" s="118">
        <f t="shared" si="10"/>
        <v>935180.58350100601</v>
      </c>
    </row>
    <row r="193" spans="1:11" x14ac:dyDescent="0.25">
      <c r="A193" s="49">
        <f>'A) Base RI'!A192</f>
        <v>5713</v>
      </c>
      <c r="B193" s="32" t="str">
        <f>'A) Base RI'!B192</f>
        <v>Crans-près-Céligny</v>
      </c>
      <c r="C193" s="14">
        <f>'A) Base RI'!AO192</f>
        <v>2286</v>
      </c>
      <c r="D193" s="10">
        <f t="shared" si="12"/>
        <v>1000</v>
      </c>
      <c r="E193" s="14">
        <f t="shared" si="11"/>
        <v>1286</v>
      </c>
      <c r="F193" s="10">
        <f t="shared" si="11"/>
        <v>0</v>
      </c>
      <c r="G193" s="14">
        <f t="shared" si="11"/>
        <v>0</v>
      </c>
      <c r="H193" s="41">
        <f t="shared" si="11"/>
        <v>0</v>
      </c>
      <c r="I193" s="10">
        <f t="shared" si="11"/>
        <v>0</v>
      </c>
      <c r="J193" s="10">
        <f t="shared" si="9"/>
        <v>0</v>
      </c>
      <c r="K193" s="118">
        <f t="shared" si="10"/>
        <v>577992.85714285716</v>
      </c>
    </row>
    <row r="194" spans="1:11" x14ac:dyDescent="0.25">
      <c r="A194" s="49">
        <f>'A) Base RI'!A193</f>
        <v>5714</v>
      </c>
      <c r="B194" s="32" t="str">
        <f>'A) Base RI'!B193</f>
        <v>Crassier</v>
      </c>
      <c r="C194" s="14">
        <f>'A) Base RI'!AO193</f>
        <v>1169</v>
      </c>
      <c r="D194" s="10">
        <f t="shared" si="12"/>
        <v>1000</v>
      </c>
      <c r="E194" s="14">
        <f t="shared" si="11"/>
        <v>169</v>
      </c>
      <c r="F194" s="10">
        <f t="shared" si="11"/>
        <v>0</v>
      </c>
      <c r="G194" s="14">
        <f t="shared" si="11"/>
        <v>0</v>
      </c>
      <c r="H194" s="41">
        <f t="shared" si="11"/>
        <v>0</v>
      </c>
      <c r="I194" s="10">
        <f t="shared" si="11"/>
        <v>0</v>
      </c>
      <c r="J194" s="10">
        <f t="shared" si="9"/>
        <v>0</v>
      </c>
      <c r="K194" s="118">
        <f t="shared" si="10"/>
        <v>185076.3078470825</v>
      </c>
    </row>
    <row r="195" spans="1:11" x14ac:dyDescent="0.25">
      <c r="A195" s="49">
        <f>'A) Base RI'!A194</f>
        <v>5715</v>
      </c>
      <c r="B195" s="32" t="str">
        <f>'A) Base RI'!B194</f>
        <v>Duillier</v>
      </c>
      <c r="C195" s="14">
        <f>'A) Base RI'!AO194</f>
        <v>1090</v>
      </c>
      <c r="D195" s="10">
        <f t="shared" si="12"/>
        <v>1000</v>
      </c>
      <c r="E195" s="14">
        <f t="shared" si="11"/>
        <v>90</v>
      </c>
      <c r="F195" s="10">
        <f t="shared" si="11"/>
        <v>0</v>
      </c>
      <c r="G195" s="14">
        <f t="shared" si="11"/>
        <v>0</v>
      </c>
      <c r="H195" s="41">
        <f t="shared" si="11"/>
        <v>0</v>
      </c>
      <c r="I195" s="10">
        <f t="shared" si="11"/>
        <v>0</v>
      </c>
      <c r="J195" s="10">
        <f t="shared" si="9"/>
        <v>0</v>
      </c>
      <c r="K195" s="118">
        <f t="shared" si="10"/>
        <v>157287.22334004022</v>
      </c>
    </row>
    <row r="196" spans="1:11" x14ac:dyDescent="0.25">
      <c r="A196" s="49">
        <f>'A) Base RI'!A195</f>
        <v>5716</v>
      </c>
      <c r="B196" s="32" t="str">
        <f>'A) Base RI'!B195</f>
        <v>Eysins</v>
      </c>
      <c r="C196" s="14">
        <f>'A) Base RI'!AO195</f>
        <v>1737</v>
      </c>
      <c r="D196" s="10">
        <f t="shared" si="12"/>
        <v>1000</v>
      </c>
      <c r="E196" s="14">
        <f t="shared" si="11"/>
        <v>737</v>
      </c>
      <c r="F196" s="10">
        <f t="shared" si="11"/>
        <v>0</v>
      </c>
      <c r="G196" s="14">
        <f t="shared" si="11"/>
        <v>0</v>
      </c>
      <c r="H196" s="41">
        <f t="shared" si="11"/>
        <v>0</v>
      </c>
      <c r="I196" s="10">
        <f t="shared" si="11"/>
        <v>0</v>
      </c>
      <c r="J196" s="10">
        <f t="shared" si="9"/>
        <v>0</v>
      </c>
      <c r="K196" s="118">
        <f t="shared" si="10"/>
        <v>384876.3078470825</v>
      </c>
    </row>
    <row r="197" spans="1:11" x14ac:dyDescent="0.25">
      <c r="A197" s="49">
        <f>'A) Base RI'!A196</f>
        <v>5717</v>
      </c>
      <c r="B197" s="32" t="str">
        <f>'A) Base RI'!B196</f>
        <v>Founex</v>
      </c>
      <c r="C197" s="14">
        <f>'A) Base RI'!AO196</f>
        <v>3772</v>
      </c>
      <c r="D197" s="10">
        <f t="shared" si="12"/>
        <v>1000</v>
      </c>
      <c r="E197" s="14">
        <f t="shared" si="11"/>
        <v>2000</v>
      </c>
      <c r="F197" s="10">
        <f t="shared" si="11"/>
        <v>772</v>
      </c>
      <c r="G197" s="14">
        <f t="shared" si="11"/>
        <v>0</v>
      </c>
      <c r="H197" s="41">
        <f t="shared" si="11"/>
        <v>0</v>
      </c>
      <c r="I197" s="10">
        <f t="shared" si="11"/>
        <v>0</v>
      </c>
      <c r="J197" s="10">
        <f t="shared" si="9"/>
        <v>0</v>
      </c>
      <c r="K197" s="118">
        <f t="shared" si="10"/>
        <v>1217091.5492957747</v>
      </c>
    </row>
    <row r="198" spans="1:11" x14ac:dyDescent="0.25">
      <c r="A198" s="49">
        <f>'A) Base RI'!A197</f>
        <v>5718</v>
      </c>
      <c r="B198" s="32" t="str">
        <f>'A) Base RI'!B197</f>
        <v>Genolier</v>
      </c>
      <c r="C198" s="14">
        <f>'A) Base RI'!AO197</f>
        <v>2000</v>
      </c>
      <c r="D198" s="10">
        <f t="shared" si="12"/>
        <v>1000</v>
      </c>
      <c r="E198" s="14">
        <f t="shared" si="11"/>
        <v>1000</v>
      </c>
      <c r="F198" s="10">
        <f t="shared" si="11"/>
        <v>0</v>
      </c>
      <c r="G198" s="14">
        <f t="shared" si="11"/>
        <v>0</v>
      </c>
      <c r="H198" s="41">
        <f t="shared" si="11"/>
        <v>0</v>
      </c>
      <c r="I198" s="10">
        <f t="shared" si="11"/>
        <v>0</v>
      </c>
      <c r="J198" s="10">
        <f t="shared" si="9"/>
        <v>0</v>
      </c>
      <c r="K198" s="118">
        <f t="shared" si="10"/>
        <v>477389.33601609652</v>
      </c>
    </row>
    <row r="199" spans="1:11" x14ac:dyDescent="0.25">
      <c r="A199" s="49">
        <f>'A) Base RI'!A198</f>
        <v>5719</v>
      </c>
      <c r="B199" s="32" t="str">
        <f>'A) Base RI'!B198</f>
        <v>Gingins</v>
      </c>
      <c r="C199" s="14">
        <f>'A) Base RI'!AO198</f>
        <v>1239</v>
      </c>
      <c r="D199" s="10">
        <f t="shared" si="12"/>
        <v>1000</v>
      </c>
      <c r="E199" s="14">
        <f t="shared" si="11"/>
        <v>239</v>
      </c>
      <c r="F199" s="10">
        <f t="shared" si="11"/>
        <v>0</v>
      </c>
      <c r="G199" s="14">
        <f t="shared" si="11"/>
        <v>0</v>
      </c>
      <c r="H199" s="41">
        <f t="shared" si="11"/>
        <v>0</v>
      </c>
      <c r="I199" s="10">
        <f t="shared" si="11"/>
        <v>0</v>
      </c>
      <c r="J199" s="10">
        <f t="shared" si="9"/>
        <v>0</v>
      </c>
      <c r="K199" s="118">
        <f t="shared" si="10"/>
        <v>209699.54728370218</v>
      </c>
    </row>
    <row r="200" spans="1:11" x14ac:dyDescent="0.25">
      <c r="A200" s="49">
        <f>'A) Base RI'!A199</f>
        <v>5720</v>
      </c>
      <c r="B200" s="32" t="str">
        <f>'A) Base RI'!B199</f>
        <v>Givrins</v>
      </c>
      <c r="C200" s="14">
        <f>'A) Base RI'!AO199</f>
        <v>1032</v>
      </c>
      <c r="D200" s="10">
        <f t="shared" si="12"/>
        <v>1000</v>
      </c>
      <c r="E200" s="14">
        <f t="shared" si="11"/>
        <v>32</v>
      </c>
      <c r="F200" s="10">
        <f t="shared" si="11"/>
        <v>0</v>
      </c>
      <c r="G200" s="14">
        <f t="shared" si="11"/>
        <v>0</v>
      </c>
      <c r="H200" s="41">
        <f t="shared" si="11"/>
        <v>0</v>
      </c>
      <c r="I200" s="10">
        <f t="shared" si="11"/>
        <v>0</v>
      </c>
      <c r="J200" s="10">
        <f t="shared" si="9"/>
        <v>0</v>
      </c>
      <c r="K200" s="118">
        <f t="shared" si="10"/>
        <v>136885.11066398388</v>
      </c>
    </row>
    <row r="201" spans="1:11" x14ac:dyDescent="0.25">
      <c r="A201" s="49">
        <f>'A) Base RI'!A200</f>
        <v>5721</v>
      </c>
      <c r="B201" s="32" t="str">
        <f>'A) Base RI'!B200</f>
        <v>Gland</v>
      </c>
      <c r="C201" s="14">
        <f>'A) Base RI'!AO200</f>
        <v>13194</v>
      </c>
      <c r="D201" s="10">
        <f t="shared" si="12"/>
        <v>1000</v>
      </c>
      <c r="E201" s="14">
        <f t="shared" si="11"/>
        <v>2000</v>
      </c>
      <c r="F201" s="10">
        <f t="shared" si="11"/>
        <v>2000</v>
      </c>
      <c r="G201" s="14">
        <f t="shared" si="11"/>
        <v>4000</v>
      </c>
      <c r="H201" s="41">
        <f t="shared" si="11"/>
        <v>3000</v>
      </c>
      <c r="I201" s="10">
        <f t="shared" si="11"/>
        <v>1194</v>
      </c>
      <c r="J201" s="10">
        <f t="shared" ref="J201:J264" si="13">IF(C201&gt;$J$4,C201-$J$4,0)</f>
        <v>0</v>
      </c>
      <c r="K201" s="118">
        <f t="shared" ref="K201:K264" si="14">(D201*D$7)+(E201*E$7)+(F201*F$7)+(G201*G$7)+(H201*H$7)+(I201*I$7)+(J201*J$7)</f>
        <v>8009085.5130784716</v>
      </c>
    </row>
    <row r="202" spans="1:11" x14ac:dyDescent="0.25">
      <c r="A202" s="49">
        <f>'A) Base RI'!A201</f>
        <v>5722</v>
      </c>
      <c r="B202" s="32" t="str">
        <f>'A) Base RI'!B201</f>
        <v>Grens</v>
      </c>
      <c r="C202" s="14">
        <f>'A) Base RI'!AO201</f>
        <v>383</v>
      </c>
      <c r="D202" s="10">
        <f t="shared" si="12"/>
        <v>383</v>
      </c>
      <c r="E202" s="14">
        <f t="shared" si="11"/>
        <v>0</v>
      </c>
      <c r="F202" s="10">
        <f t="shared" si="11"/>
        <v>0</v>
      </c>
      <c r="G202" s="14">
        <f t="shared" si="11"/>
        <v>0</v>
      </c>
      <c r="H202" s="41">
        <f t="shared" si="11"/>
        <v>0</v>
      </c>
      <c r="I202" s="10">
        <f t="shared" si="11"/>
        <v>0</v>
      </c>
      <c r="J202" s="10">
        <f t="shared" si="13"/>
        <v>0</v>
      </c>
      <c r="K202" s="118">
        <f t="shared" si="14"/>
        <v>48115.819919517104</v>
      </c>
    </row>
    <row r="203" spans="1:11" x14ac:dyDescent="0.25">
      <c r="A203" s="49">
        <f>'A) Base RI'!A202</f>
        <v>5723</v>
      </c>
      <c r="B203" s="32" t="str">
        <f>'A) Base RI'!B202</f>
        <v>Mies</v>
      </c>
      <c r="C203" s="14">
        <f>'A) Base RI'!AO202</f>
        <v>2116</v>
      </c>
      <c r="D203" s="10">
        <f t="shared" si="12"/>
        <v>1000</v>
      </c>
      <c r="E203" s="14">
        <f t="shared" si="11"/>
        <v>1116</v>
      </c>
      <c r="F203" s="10">
        <f t="shared" si="11"/>
        <v>0</v>
      </c>
      <c r="G203" s="14">
        <f t="shared" si="11"/>
        <v>0</v>
      </c>
      <c r="H203" s="41">
        <f t="shared" si="11"/>
        <v>0</v>
      </c>
      <c r="I203" s="10">
        <f t="shared" si="11"/>
        <v>0</v>
      </c>
      <c r="J203" s="10">
        <f t="shared" si="13"/>
        <v>0</v>
      </c>
      <c r="K203" s="118">
        <f t="shared" si="14"/>
        <v>518193.56136820919</v>
      </c>
    </row>
    <row r="204" spans="1:11" x14ac:dyDescent="0.25">
      <c r="A204" s="49">
        <f>'A) Base RI'!A203</f>
        <v>5724</v>
      </c>
      <c r="B204" s="32" t="str">
        <f>'A) Base RI'!B203</f>
        <v>Nyon</v>
      </c>
      <c r="C204" s="14">
        <f>'A) Base RI'!AO203</f>
        <v>21416</v>
      </c>
      <c r="D204" s="10">
        <f t="shared" si="12"/>
        <v>1000</v>
      </c>
      <c r="E204" s="14">
        <f t="shared" si="11"/>
        <v>2000</v>
      </c>
      <c r="F204" s="10">
        <f t="shared" si="11"/>
        <v>2000</v>
      </c>
      <c r="G204" s="14">
        <f t="shared" si="11"/>
        <v>4000</v>
      </c>
      <c r="H204" s="41">
        <f t="shared" si="11"/>
        <v>3000</v>
      </c>
      <c r="I204" s="10">
        <f t="shared" si="11"/>
        <v>3000</v>
      </c>
      <c r="J204" s="10">
        <f t="shared" si="13"/>
        <v>6416</v>
      </c>
      <c r="K204" s="118">
        <f t="shared" si="14"/>
        <v>16594857.344064387</v>
      </c>
    </row>
    <row r="205" spans="1:11" x14ac:dyDescent="0.25">
      <c r="A205" s="49">
        <f>'A) Base RI'!A204</f>
        <v>5725</v>
      </c>
      <c r="B205" s="32" t="str">
        <f>'A) Base RI'!B204</f>
        <v>Prangins</v>
      </c>
      <c r="C205" s="14">
        <f>'A) Base RI'!AO204</f>
        <v>4088</v>
      </c>
      <c r="D205" s="10">
        <f t="shared" si="12"/>
        <v>1000</v>
      </c>
      <c r="E205" s="14">
        <f t="shared" si="11"/>
        <v>2000</v>
      </c>
      <c r="F205" s="10">
        <f t="shared" si="11"/>
        <v>1088</v>
      </c>
      <c r="G205" s="14">
        <f t="shared" si="11"/>
        <v>0</v>
      </c>
      <c r="H205" s="41">
        <f t="shared" si="11"/>
        <v>0</v>
      </c>
      <c r="I205" s="10">
        <f t="shared" si="11"/>
        <v>0</v>
      </c>
      <c r="J205" s="10">
        <f t="shared" si="13"/>
        <v>0</v>
      </c>
      <c r="K205" s="118">
        <f t="shared" si="14"/>
        <v>1375886.3179074447</v>
      </c>
    </row>
    <row r="206" spans="1:11" x14ac:dyDescent="0.25">
      <c r="A206" s="49">
        <f>'A) Base RI'!A205</f>
        <v>5726</v>
      </c>
      <c r="B206" s="32" t="str">
        <f>'A) Base RI'!B205</f>
        <v>La Rippe</v>
      </c>
      <c r="C206" s="14">
        <f>'A) Base RI'!AO205</f>
        <v>1136</v>
      </c>
      <c r="D206" s="10">
        <f t="shared" si="12"/>
        <v>1000</v>
      </c>
      <c r="E206" s="14">
        <f t="shared" si="11"/>
        <v>136</v>
      </c>
      <c r="F206" s="10">
        <f t="shared" si="11"/>
        <v>0</v>
      </c>
      <c r="G206" s="14">
        <f t="shared" si="11"/>
        <v>0</v>
      </c>
      <c r="H206" s="41">
        <f t="shared" si="11"/>
        <v>0</v>
      </c>
      <c r="I206" s="10">
        <f t="shared" si="11"/>
        <v>0</v>
      </c>
      <c r="J206" s="10">
        <f t="shared" si="13"/>
        <v>0</v>
      </c>
      <c r="K206" s="118">
        <f t="shared" si="14"/>
        <v>173468.20925553318</v>
      </c>
    </row>
    <row r="207" spans="1:11" x14ac:dyDescent="0.25">
      <c r="A207" s="49">
        <f>'A) Base RI'!A206</f>
        <v>5727</v>
      </c>
      <c r="B207" s="32" t="str">
        <f>'A) Base RI'!B206</f>
        <v>Saint-Cergue</v>
      </c>
      <c r="C207" s="14">
        <f>'A) Base RI'!AO206</f>
        <v>2603</v>
      </c>
      <c r="D207" s="10">
        <f t="shared" si="12"/>
        <v>1000</v>
      </c>
      <c r="E207" s="14">
        <f t="shared" si="11"/>
        <v>1603</v>
      </c>
      <c r="F207" s="10">
        <f t="shared" si="11"/>
        <v>0</v>
      </c>
      <c r="G207" s="14">
        <f t="shared" si="11"/>
        <v>0</v>
      </c>
      <c r="H207" s="41">
        <f t="shared" si="11"/>
        <v>0</v>
      </c>
      <c r="I207" s="10">
        <f t="shared" si="11"/>
        <v>0</v>
      </c>
      <c r="J207" s="10">
        <f t="shared" si="13"/>
        <v>0</v>
      </c>
      <c r="K207" s="118">
        <f t="shared" si="14"/>
        <v>689500.95573440637</v>
      </c>
    </row>
    <row r="208" spans="1:11" x14ac:dyDescent="0.25">
      <c r="A208" s="49">
        <f>'A) Base RI'!A207</f>
        <v>5728</v>
      </c>
      <c r="B208" s="32" t="str">
        <f>'A) Base RI'!B207</f>
        <v>Signy-Avenex</v>
      </c>
      <c r="C208" s="14">
        <f>'A) Base RI'!AO207</f>
        <v>586</v>
      </c>
      <c r="D208" s="10">
        <f t="shared" si="12"/>
        <v>586</v>
      </c>
      <c r="E208" s="14">
        <f t="shared" si="11"/>
        <v>0</v>
      </c>
      <c r="F208" s="10">
        <f t="shared" si="11"/>
        <v>0</v>
      </c>
      <c r="G208" s="14">
        <f t="shared" ref="E208:I259" si="15">IF($C208&gt;G$4,IF($C208&lt;G$5,$C208-G$4,G$5-G$4),0)</f>
        <v>0</v>
      </c>
      <c r="H208" s="41">
        <f t="shared" si="15"/>
        <v>0</v>
      </c>
      <c r="I208" s="10">
        <f t="shared" si="15"/>
        <v>0</v>
      </c>
      <c r="J208" s="10">
        <f t="shared" si="13"/>
        <v>0</v>
      </c>
      <c r="K208" s="118">
        <f t="shared" si="14"/>
        <v>73618.460764587522</v>
      </c>
    </row>
    <row r="209" spans="1:11" x14ac:dyDescent="0.25">
      <c r="A209" s="49">
        <f>'A) Base RI'!A208</f>
        <v>5729</v>
      </c>
      <c r="B209" s="32" t="str">
        <f>'A) Base RI'!B208</f>
        <v>Tannay</v>
      </c>
      <c r="C209" s="14">
        <f>'A) Base RI'!AO208</f>
        <v>1600</v>
      </c>
      <c r="D209" s="10">
        <f t="shared" si="12"/>
        <v>1000</v>
      </c>
      <c r="E209" s="14">
        <f t="shared" si="15"/>
        <v>600</v>
      </c>
      <c r="F209" s="10">
        <f t="shared" si="15"/>
        <v>0</v>
      </c>
      <c r="G209" s="14">
        <f t="shared" si="15"/>
        <v>0</v>
      </c>
      <c r="H209" s="41">
        <f t="shared" si="15"/>
        <v>0</v>
      </c>
      <c r="I209" s="10">
        <f t="shared" si="15"/>
        <v>0</v>
      </c>
      <c r="J209" s="10">
        <f t="shared" si="13"/>
        <v>0</v>
      </c>
      <c r="K209" s="118">
        <f t="shared" si="14"/>
        <v>336685.11066398385</v>
      </c>
    </row>
    <row r="210" spans="1:11" x14ac:dyDescent="0.25">
      <c r="A210" s="49">
        <f>'A) Base RI'!A209</f>
        <v>5730</v>
      </c>
      <c r="B210" s="32" t="str">
        <f>'A) Base RI'!B209</f>
        <v>Trélex</v>
      </c>
      <c r="C210" s="14">
        <f>'A) Base RI'!AO209</f>
        <v>1434</v>
      </c>
      <c r="D210" s="10">
        <f t="shared" si="12"/>
        <v>1000</v>
      </c>
      <c r="E210" s="14">
        <f t="shared" si="15"/>
        <v>434</v>
      </c>
      <c r="F210" s="10">
        <f t="shared" si="15"/>
        <v>0</v>
      </c>
      <c r="G210" s="14">
        <f t="shared" si="15"/>
        <v>0</v>
      </c>
      <c r="H210" s="41">
        <f t="shared" si="15"/>
        <v>0</v>
      </c>
      <c r="I210" s="10">
        <f t="shared" si="15"/>
        <v>0</v>
      </c>
      <c r="J210" s="10">
        <f t="shared" si="13"/>
        <v>0</v>
      </c>
      <c r="K210" s="118">
        <f t="shared" si="14"/>
        <v>278292.85714285716</v>
      </c>
    </row>
    <row r="211" spans="1:11" x14ac:dyDescent="0.25">
      <c r="A211" s="49">
        <f>'A) Base RI'!A210</f>
        <v>5731</v>
      </c>
      <c r="B211" s="32" t="str">
        <f>'A) Base RI'!B210</f>
        <v>Le Vaud</v>
      </c>
      <c r="C211" s="14">
        <f>'A) Base RI'!AO210</f>
        <v>1362</v>
      </c>
      <c r="D211" s="10">
        <f t="shared" si="12"/>
        <v>1000</v>
      </c>
      <c r="E211" s="14">
        <f t="shared" si="15"/>
        <v>362</v>
      </c>
      <c r="F211" s="10">
        <f t="shared" si="15"/>
        <v>0</v>
      </c>
      <c r="G211" s="14">
        <f t="shared" si="15"/>
        <v>0</v>
      </c>
      <c r="H211" s="41">
        <f t="shared" si="15"/>
        <v>0</v>
      </c>
      <c r="I211" s="10">
        <f t="shared" si="15"/>
        <v>0</v>
      </c>
      <c r="J211" s="10">
        <f t="shared" si="13"/>
        <v>0</v>
      </c>
      <c r="K211" s="118">
        <f t="shared" si="14"/>
        <v>252966.09657947684</v>
      </c>
    </row>
    <row r="212" spans="1:11" x14ac:dyDescent="0.25">
      <c r="A212" s="49">
        <f>'A) Base RI'!A211</f>
        <v>5732</v>
      </c>
      <c r="B212" s="32" t="str">
        <f>'A) Base RI'!B211</f>
        <v>Vich</v>
      </c>
      <c r="C212" s="14">
        <f>'A) Base RI'!AO211</f>
        <v>1083</v>
      </c>
      <c r="D212" s="10">
        <f t="shared" si="12"/>
        <v>1000</v>
      </c>
      <c r="E212" s="14">
        <f t="shared" si="15"/>
        <v>83</v>
      </c>
      <c r="F212" s="10">
        <f t="shared" si="15"/>
        <v>0</v>
      </c>
      <c r="G212" s="14">
        <f t="shared" si="15"/>
        <v>0</v>
      </c>
      <c r="H212" s="41">
        <f t="shared" si="15"/>
        <v>0</v>
      </c>
      <c r="I212" s="10">
        <f t="shared" si="15"/>
        <v>0</v>
      </c>
      <c r="J212" s="10">
        <f t="shared" si="13"/>
        <v>0</v>
      </c>
      <c r="K212" s="118">
        <f t="shared" si="14"/>
        <v>154824.89939637826</v>
      </c>
    </row>
    <row r="213" spans="1:11" x14ac:dyDescent="0.25">
      <c r="A213" s="49">
        <f>'A) Base RI'!A212</f>
        <v>5741</v>
      </c>
      <c r="B213" s="32" t="str">
        <f>'A) Base RI'!B212</f>
        <v>L'Abergement</v>
      </c>
      <c r="C213" s="14">
        <f>'A) Base RI'!AO212</f>
        <v>244</v>
      </c>
      <c r="D213" s="10">
        <f t="shared" si="12"/>
        <v>244</v>
      </c>
      <c r="E213" s="14">
        <f t="shared" si="15"/>
        <v>0</v>
      </c>
      <c r="F213" s="10">
        <f t="shared" si="15"/>
        <v>0</v>
      </c>
      <c r="G213" s="14">
        <f t="shared" si="15"/>
        <v>0</v>
      </c>
      <c r="H213" s="41">
        <f t="shared" si="15"/>
        <v>0</v>
      </c>
      <c r="I213" s="10">
        <f t="shared" si="15"/>
        <v>0</v>
      </c>
      <c r="J213" s="10">
        <f t="shared" si="13"/>
        <v>0</v>
      </c>
      <c r="K213" s="118">
        <f t="shared" si="14"/>
        <v>30653.420523138833</v>
      </c>
    </row>
    <row r="214" spans="1:11" x14ac:dyDescent="0.25">
      <c r="A214" s="49">
        <f>'A) Base RI'!A213</f>
        <v>5742</v>
      </c>
      <c r="B214" s="32" t="str">
        <f>'A) Base RI'!B213</f>
        <v>Agiez</v>
      </c>
      <c r="C214" s="14">
        <f>'A) Base RI'!AO213</f>
        <v>354</v>
      </c>
      <c r="D214" s="10">
        <f t="shared" si="12"/>
        <v>354</v>
      </c>
      <c r="E214" s="14">
        <f t="shared" si="15"/>
        <v>0</v>
      </c>
      <c r="F214" s="10">
        <f t="shared" si="15"/>
        <v>0</v>
      </c>
      <c r="G214" s="14">
        <f t="shared" si="15"/>
        <v>0</v>
      </c>
      <c r="H214" s="41">
        <f t="shared" si="15"/>
        <v>0</v>
      </c>
      <c r="I214" s="10">
        <f t="shared" si="15"/>
        <v>0</v>
      </c>
      <c r="J214" s="10">
        <f t="shared" si="13"/>
        <v>0</v>
      </c>
      <c r="K214" s="118">
        <f t="shared" si="14"/>
        <v>44472.585513078469</v>
      </c>
    </row>
    <row r="215" spans="1:11" x14ac:dyDescent="0.25">
      <c r="A215" s="49">
        <f>'A) Base RI'!A214</f>
        <v>5743</v>
      </c>
      <c r="B215" s="32" t="str">
        <f>'A) Base RI'!B214</f>
        <v>Arnex-sur-Orbe</v>
      </c>
      <c r="C215" s="14">
        <f>'A) Base RI'!AO214</f>
        <v>633</v>
      </c>
      <c r="D215" s="10">
        <f t="shared" si="12"/>
        <v>633</v>
      </c>
      <c r="E215" s="14">
        <f t="shared" si="15"/>
        <v>0</v>
      </c>
      <c r="F215" s="10">
        <f t="shared" si="15"/>
        <v>0</v>
      </c>
      <c r="G215" s="14">
        <f t="shared" si="15"/>
        <v>0</v>
      </c>
      <c r="H215" s="41">
        <f t="shared" si="15"/>
        <v>0</v>
      </c>
      <c r="I215" s="10">
        <f t="shared" si="15"/>
        <v>0</v>
      </c>
      <c r="J215" s="10">
        <f t="shared" si="13"/>
        <v>0</v>
      </c>
      <c r="K215" s="118">
        <f t="shared" si="14"/>
        <v>79523.013078470816</v>
      </c>
    </row>
    <row r="216" spans="1:11" x14ac:dyDescent="0.25">
      <c r="A216" s="49">
        <f>'A) Base RI'!A215</f>
        <v>5744</v>
      </c>
      <c r="B216" s="32" t="str">
        <f>'A) Base RI'!B215</f>
        <v>Ballaigues</v>
      </c>
      <c r="C216" s="14">
        <f>'A) Base RI'!AO215</f>
        <v>1108</v>
      </c>
      <c r="D216" s="10">
        <f t="shared" si="12"/>
        <v>1000</v>
      </c>
      <c r="E216" s="14">
        <f t="shared" si="15"/>
        <v>108</v>
      </c>
      <c r="F216" s="10">
        <f t="shared" si="15"/>
        <v>0</v>
      </c>
      <c r="G216" s="14">
        <f t="shared" si="15"/>
        <v>0</v>
      </c>
      <c r="H216" s="41">
        <f t="shared" si="15"/>
        <v>0</v>
      </c>
      <c r="I216" s="10">
        <f t="shared" si="15"/>
        <v>0</v>
      </c>
      <c r="J216" s="10">
        <f t="shared" si="13"/>
        <v>0</v>
      </c>
      <c r="K216" s="118">
        <f t="shared" si="14"/>
        <v>163618.9134808853</v>
      </c>
    </row>
    <row r="217" spans="1:11" x14ac:dyDescent="0.25">
      <c r="A217" s="49">
        <f>'A) Base RI'!A216</f>
        <v>5745</v>
      </c>
      <c r="B217" s="32" t="str">
        <f>'A) Base RI'!B216</f>
        <v>Baulmes</v>
      </c>
      <c r="C217" s="14">
        <f>'A) Base RI'!AO216</f>
        <v>1042</v>
      </c>
      <c r="D217" s="10">
        <f t="shared" si="12"/>
        <v>1000</v>
      </c>
      <c r="E217" s="14">
        <f t="shared" si="15"/>
        <v>42</v>
      </c>
      <c r="F217" s="10">
        <f t="shared" si="15"/>
        <v>0</v>
      </c>
      <c r="G217" s="14">
        <f t="shared" si="15"/>
        <v>0</v>
      </c>
      <c r="H217" s="41">
        <f t="shared" si="15"/>
        <v>0</v>
      </c>
      <c r="I217" s="10">
        <f t="shared" si="15"/>
        <v>0</v>
      </c>
      <c r="J217" s="10">
        <f t="shared" si="13"/>
        <v>0</v>
      </c>
      <c r="K217" s="118">
        <f t="shared" si="14"/>
        <v>140402.71629778671</v>
      </c>
    </row>
    <row r="218" spans="1:11" x14ac:dyDescent="0.25">
      <c r="A218" s="49">
        <f>'A) Base RI'!A217</f>
        <v>5746</v>
      </c>
      <c r="B218" s="32" t="str">
        <f>'A) Base RI'!B217</f>
        <v>Bavois</v>
      </c>
      <c r="C218" s="14">
        <f>'A) Base RI'!AO217</f>
        <v>952</v>
      </c>
      <c r="D218" s="10">
        <f t="shared" si="12"/>
        <v>952</v>
      </c>
      <c r="E218" s="14">
        <f t="shared" si="15"/>
        <v>0</v>
      </c>
      <c r="F218" s="10">
        <f t="shared" si="15"/>
        <v>0</v>
      </c>
      <c r="G218" s="14">
        <f t="shared" si="15"/>
        <v>0</v>
      </c>
      <c r="H218" s="41">
        <f t="shared" si="15"/>
        <v>0</v>
      </c>
      <c r="I218" s="10">
        <f t="shared" si="15"/>
        <v>0</v>
      </c>
      <c r="J218" s="10">
        <f t="shared" si="13"/>
        <v>0</v>
      </c>
      <c r="K218" s="118">
        <f t="shared" si="14"/>
        <v>119598.59154929577</v>
      </c>
    </row>
    <row r="219" spans="1:11" x14ac:dyDescent="0.25">
      <c r="A219" s="49">
        <f>'A) Base RI'!A218</f>
        <v>5747</v>
      </c>
      <c r="B219" s="32" t="str">
        <f>'A) Base RI'!B218</f>
        <v>Bofflens</v>
      </c>
      <c r="C219" s="14">
        <f>'A) Base RI'!AO218</f>
        <v>194</v>
      </c>
      <c r="D219" s="10">
        <f t="shared" si="12"/>
        <v>194</v>
      </c>
      <c r="E219" s="14">
        <f t="shared" si="15"/>
        <v>0</v>
      </c>
      <c r="F219" s="10">
        <f t="shared" si="15"/>
        <v>0</v>
      </c>
      <c r="G219" s="14">
        <f t="shared" si="15"/>
        <v>0</v>
      </c>
      <c r="H219" s="41">
        <f t="shared" si="15"/>
        <v>0</v>
      </c>
      <c r="I219" s="10">
        <f t="shared" si="15"/>
        <v>0</v>
      </c>
      <c r="J219" s="10">
        <f t="shared" si="13"/>
        <v>0</v>
      </c>
      <c r="K219" s="118">
        <f t="shared" si="14"/>
        <v>24371.981891348089</v>
      </c>
    </row>
    <row r="220" spans="1:11" x14ac:dyDescent="0.25">
      <c r="A220" s="49">
        <f>'A) Base RI'!A219</f>
        <v>5748</v>
      </c>
      <c r="B220" s="32" t="str">
        <f>'A) Base RI'!B219</f>
        <v>Bretonnières</v>
      </c>
      <c r="C220" s="14">
        <f>'A) Base RI'!AO219</f>
        <v>269</v>
      </c>
      <c r="D220" s="10">
        <f t="shared" si="12"/>
        <v>269</v>
      </c>
      <c r="E220" s="14">
        <f t="shared" si="15"/>
        <v>0</v>
      </c>
      <c r="F220" s="10">
        <f t="shared" si="15"/>
        <v>0</v>
      </c>
      <c r="G220" s="14">
        <f t="shared" si="15"/>
        <v>0</v>
      </c>
      <c r="H220" s="41">
        <f t="shared" si="15"/>
        <v>0</v>
      </c>
      <c r="I220" s="10">
        <f t="shared" si="15"/>
        <v>0</v>
      </c>
      <c r="J220" s="10">
        <f t="shared" si="13"/>
        <v>0</v>
      </c>
      <c r="K220" s="118">
        <f t="shared" si="14"/>
        <v>33794.1398390342</v>
      </c>
    </row>
    <row r="221" spans="1:11" x14ac:dyDescent="0.25">
      <c r="A221" s="49">
        <f>'A) Base RI'!A220</f>
        <v>5749</v>
      </c>
      <c r="B221" s="32" t="str">
        <f>'A) Base RI'!B220</f>
        <v>Chavornay</v>
      </c>
      <c r="C221" s="14">
        <f>'A) Base RI'!AO220</f>
        <v>5135</v>
      </c>
      <c r="D221" s="10">
        <f t="shared" si="12"/>
        <v>1000</v>
      </c>
      <c r="E221" s="14">
        <f t="shared" si="15"/>
        <v>2000</v>
      </c>
      <c r="F221" s="10">
        <f t="shared" si="15"/>
        <v>2000</v>
      </c>
      <c r="G221" s="14">
        <f t="shared" si="15"/>
        <v>135</v>
      </c>
      <c r="H221" s="41">
        <f t="shared" si="15"/>
        <v>0</v>
      </c>
      <c r="I221" s="10">
        <f t="shared" si="15"/>
        <v>0</v>
      </c>
      <c r="J221" s="10">
        <f t="shared" si="13"/>
        <v>0</v>
      </c>
      <c r="K221" s="118">
        <f t="shared" si="14"/>
        <v>1915587.5251509054</v>
      </c>
    </row>
    <row r="222" spans="1:11" x14ac:dyDescent="0.25">
      <c r="A222" s="49">
        <f>'A) Base RI'!A221</f>
        <v>5750</v>
      </c>
      <c r="B222" s="32" t="str">
        <f>'A) Base RI'!B221</f>
        <v>Les Clées</v>
      </c>
      <c r="C222" s="14">
        <f>'A) Base RI'!AO221</f>
        <v>185</v>
      </c>
      <c r="D222" s="10">
        <f t="shared" si="12"/>
        <v>185</v>
      </c>
      <c r="E222" s="14">
        <f t="shared" si="15"/>
        <v>0</v>
      </c>
      <c r="F222" s="10">
        <f t="shared" si="15"/>
        <v>0</v>
      </c>
      <c r="G222" s="14">
        <f t="shared" si="15"/>
        <v>0</v>
      </c>
      <c r="H222" s="41">
        <f t="shared" si="15"/>
        <v>0</v>
      </c>
      <c r="I222" s="10">
        <f t="shared" si="15"/>
        <v>0</v>
      </c>
      <c r="J222" s="10">
        <f t="shared" si="13"/>
        <v>0</v>
      </c>
      <c r="K222" s="118">
        <f t="shared" si="14"/>
        <v>23241.322937625755</v>
      </c>
    </row>
    <row r="223" spans="1:11" x14ac:dyDescent="0.25">
      <c r="A223" s="49">
        <f>'A) Base RI'!A222</f>
        <v>5752</v>
      </c>
      <c r="B223" s="32" t="str">
        <f>'A) Base RI'!B222</f>
        <v>Croy</v>
      </c>
      <c r="C223" s="14">
        <f>'A) Base RI'!AO222</f>
        <v>403</v>
      </c>
      <c r="D223" s="10">
        <f t="shared" si="12"/>
        <v>403</v>
      </c>
      <c r="E223" s="14">
        <f t="shared" si="15"/>
        <v>0</v>
      </c>
      <c r="F223" s="10">
        <f t="shared" si="15"/>
        <v>0</v>
      </c>
      <c r="G223" s="14">
        <f t="shared" si="15"/>
        <v>0</v>
      </c>
      <c r="H223" s="41">
        <f t="shared" si="15"/>
        <v>0</v>
      </c>
      <c r="I223" s="10">
        <f t="shared" si="15"/>
        <v>0</v>
      </c>
      <c r="J223" s="10">
        <f t="shared" si="13"/>
        <v>0</v>
      </c>
      <c r="K223" s="118">
        <f t="shared" si="14"/>
        <v>50628.395372233397</v>
      </c>
    </row>
    <row r="224" spans="1:11" x14ac:dyDescent="0.25">
      <c r="A224" s="49">
        <f>'A) Base RI'!A223</f>
        <v>5754</v>
      </c>
      <c r="B224" s="32" t="str">
        <f>'A) Base RI'!B223</f>
        <v>Juriens</v>
      </c>
      <c r="C224" s="14">
        <f>'A) Base RI'!AO223</f>
        <v>328</v>
      </c>
      <c r="D224" s="10">
        <f t="shared" si="12"/>
        <v>328</v>
      </c>
      <c r="E224" s="14">
        <f t="shared" si="15"/>
        <v>0</v>
      </c>
      <c r="F224" s="10">
        <f t="shared" si="15"/>
        <v>0</v>
      </c>
      <c r="G224" s="14">
        <f t="shared" si="15"/>
        <v>0</v>
      </c>
      <c r="H224" s="41">
        <f t="shared" si="15"/>
        <v>0</v>
      </c>
      <c r="I224" s="10">
        <f t="shared" si="15"/>
        <v>0</v>
      </c>
      <c r="J224" s="10">
        <f t="shared" si="13"/>
        <v>0</v>
      </c>
      <c r="K224" s="118">
        <f t="shared" si="14"/>
        <v>41206.237424547282</v>
      </c>
    </row>
    <row r="225" spans="1:11" x14ac:dyDescent="0.25">
      <c r="A225" s="49">
        <f>'A) Base RI'!A224</f>
        <v>5755</v>
      </c>
      <c r="B225" s="32" t="str">
        <f>'A) Base RI'!B224</f>
        <v>Lignerolle</v>
      </c>
      <c r="C225" s="14">
        <f>'A) Base RI'!AO224</f>
        <v>437</v>
      </c>
      <c r="D225" s="10">
        <f t="shared" si="12"/>
        <v>437</v>
      </c>
      <c r="E225" s="14">
        <f t="shared" si="15"/>
        <v>0</v>
      </c>
      <c r="F225" s="10">
        <f t="shared" si="15"/>
        <v>0</v>
      </c>
      <c r="G225" s="14">
        <f t="shared" si="15"/>
        <v>0</v>
      </c>
      <c r="H225" s="41">
        <f t="shared" si="15"/>
        <v>0</v>
      </c>
      <c r="I225" s="10">
        <f t="shared" si="15"/>
        <v>0</v>
      </c>
      <c r="J225" s="10">
        <f t="shared" si="13"/>
        <v>0</v>
      </c>
      <c r="K225" s="118">
        <f t="shared" si="14"/>
        <v>54899.773641851105</v>
      </c>
    </row>
    <row r="226" spans="1:11" x14ac:dyDescent="0.25">
      <c r="A226" s="49">
        <f>'A) Base RI'!A225</f>
        <v>5756</v>
      </c>
      <c r="B226" s="32" t="str">
        <f>'A) Base RI'!B225</f>
        <v>Montcherand</v>
      </c>
      <c r="C226" s="14">
        <f>'A) Base RI'!AO225</f>
        <v>505</v>
      </c>
      <c r="D226" s="10">
        <f t="shared" si="12"/>
        <v>505</v>
      </c>
      <c r="E226" s="14">
        <f t="shared" si="15"/>
        <v>0</v>
      </c>
      <c r="F226" s="10">
        <f t="shared" si="15"/>
        <v>0</v>
      </c>
      <c r="G226" s="14">
        <f t="shared" si="15"/>
        <v>0</v>
      </c>
      <c r="H226" s="41">
        <f t="shared" si="15"/>
        <v>0</v>
      </c>
      <c r="I226" s="10">
        <f t="shared" si="15"/>
        <v>0</v>
      </c>
      <c r="J226" s="10">
        <f t="shared" si="13"/>
        <v>0</v>
      </c>
      <c r="K226" s="118">
        <f t="shared" si="14"/>
        <v>63442.530181086513</v>
      </c>
    </row>
    <row r="227" spans="1:11" x14ac:dyDescent="0.25">
      <c r="A227" s="49">
        <f>'A) Base RI'!A226</f>
        <v>5757</v>
      </c>
      <c r="B227" s="32" t="str">
        <f>'A) Base RI'!B226</f>
        <v>Orbe</v>
      </c>
      <c r="C227" s="14">
        <f>'A) Base RI'!AO226</f>
        <v>7030</v>
      </c>
      <c r="D227" s="10">
        <f t="shared" si="12"/>
        <v>1000</v>
      </c>
      <c r="E227" s="14">
        <f t="shared" si="15"/>
        <v>2000</v>
      </c>
      <c r="F227" s="10">
        <f t="shared" si="15"/>
        <v>2000</v>
      </c>
      <c r="G227" s="14">
        <f t="shared" si="15"/>
        <v>2030</v>
      </c>
      <c r="H227" s="41">
        <f t="shared" si="15"/>
        <v>0</v>
      </c>
      <c r="I227" s="10">
        <f t="shared" si="15"/>
        <v>0</v>
      </c>
      <c r="J227" s="10">
        <f t="shared" si="13"/>
        <v>0</v>
      </c>
      <c r="K227" s="118">
        <f t="shared" si="14"/>
        <v>3058306.8410462774</v>
      </c>
    </row>
    <row r="228" spans="1:11" x14ac:dyDescent="0.25">
      <c r="A228" s="49">
        <f>'A) Base RI'!A227</f>
        <v>5758</v>
      </c>
      <c r="B228" s="32" t="str">
        <f>'A) Base RI'!B227</f>
        <v>La Praz</v>
      </c>
      <c r="C228" s="14">
        <f>'A) Base RI'!AO227</f>
        <v>165</v>
      </c>
      <c r="D228" s="10">
        <f t="shared" si="12"/>
        <v>165</v>
      </c>
      <c r="E228" s="14">
        <f t="shared" si="15"/>
        <v>0</v>
      </c>
      <c r="F228" s="10">
        <f t="shared" si="15"/>
        <v>0</v>
      </c>
      <c r="G228" s="14">
        <f t="shared" si="15"/>
        <v>0</v>
      </c>
      <c r="H228" s="41">
        <f t="shared" si="15"/>
        <v>0</v>
      </c>
      <c r="I228" s="10">
        <f t="shared" si="15"/>
        <v>0</v>
      </c>
      <c r="J228" s="10">
        <f t="shared" si="13"/>
        <v>0</v>
      </c>
      <c r="K228" s="118">
        <f t="shared" si="14"/>
        <v>20728.747484909454</v>
      </c>
    </row>
    <row r="229" spans="1:11" x14ac:dyDescent="0.25">
      <c r="A229" s="49">
        <f>'A) Base RI'!A228</f>
        <v>5759</v>
      </c>
      <c r="B229" s="32" t="str">
        <f>'A) Base RI'!B228</f>
        <v>Premier</v>
      </c>
      <c r="C229" s="14">
        <f>'A) Base RI'!AO228</f>
        <v>215</v>
      </c>
      <c r="D229" s="10">
        <f t="shared" si="12"/>
        <v>215</v>
      </c>
      <c r="E229" s="14">
        <f t="shared" si="15"/>
        <v>0</v>
      </c>
      <c r="F229" s="10">
        <f t="shared" si="15"/>
        <v>0</v>
      </c>
      <c r="G229" s="14">
        <f t="shared" si="15"/>
        <v>0</v>
      </c>
      <c r="H229" s="41">
        <f t="shared" si="15"/>
        <v>0</v>
      </c>
      <c r="I229" s="10">
        <f t="shared" si="15"/>
        <v>0</v>
      </c>
      <c r="J229" s="10">
        <f t="shared" si="13"/>
        <v>0</v>
      </c>
      <c r="K229" s="118">
        <f t="shared" si="14"/>
        <v>27010.186116700199</v>
      </c>
    </row>
    <row r="230" spans="1:11" x14ac:dyDescent="0.25">
      <c r="A230" s="49">
        <f>'A) Base RI'!A229</f>
        <v>5760</v>
      </c>
      <c r="B230" s="32" t="str">
        <f>'A) Base RI'!B229</f>
        <v>Rances</v>
      </c>
      <c r="C230" s="14">
        <f>'A) Base RI'!AO229</f>
        <v>505</v>
      </c>
      <c r="D230" s="10">
        <f t="shared" si="12"/>
        <v>505</v>
      </c>
      <c r="E230" s="14">
        <f t="shared" si="15"/>
        <v>0</v>
      </c>
      <c r="F230" s="10">
        <f t="shared" si="15"/>
        <v>0</v>
      </c>
      <c r="G230" s="14">
        <f t="shared" si="15"/>
        <v>0</v>
      </c>
      <c r="H230" s="41">
        <f t="shared" si="15"/>
        <v>0</v>
      </c>
      <c r="I230" s="10">
        <f t="shared" si="15"/>
        <v>0</v>
      </c>
      <c r="J230" s="10">
        <f t="shared" si="13"/>
        <v>0</v>
      </c>
      <c r="K230" s="118">
        <f t="shared" si="14"/>
        <v>63442.530181086513</v>
      </c>
    </row>
    <row r="231" spans="1:11" x14ac:dyDescent="0.25">
      <c r="A231" s="49">
        <f>'A) Base RI'!A230</f>
        <v>5761</v>
      </c>
      <c r="B231" s="32" t="str">
        <f>'A) Base RI'!B230</f>
        <v>Romainmôtier-Envy</v>
      </c>
      <c r="C231" s="14">
        <f>'A) Base RI'!AO230</f>
        <v>535</v>
      </c>
      <c r="D231" s="10">
        <f t="shared" si="12"/>
        <v>535</v>
      </c>
      <c r="E231" s="14">
        <f t="shared" si="15"/>
        <v>0</v>
      </c>
      <c r="F231" s="10">
        <f t="shared" si="15"/>
        <v>0</v>
      </c>
      <c r="G231" s="14">
        <f t="shared" si="15"/>
        <v>0</v>
      </c>
      <c r="H231" s="41">
        <f t="shared" si="15"/>
        <v>0</v>
      </c>
      <c r="I231" s="10">
        <f t="shared" si="15"/>
        <v>0</v>
      </c>
      <c r="J231" s="10">
        <f t="shared" si="13"/>
        <v>0</v>
      </c>
      <c r="K231" s="118">
        <f t="shared" si="14"/>
        <v>67211.393360160961</v>
      </c>
    </row>
    <row r="232" spans="1:11" x14ac:dyDescent="0.25">
      <c r="A232" s="49">
        <f>'A) Base RI'!A231</f>
        <v>5762</v>
      </c>
      <c r="B232" s="32" t="str">
        <f>'A) Base RI'!B231</f>
        <v>Sergey</v>
      </c>
      <c r="C232" s="14">
        <f>'A) Base RI'!AO231</f>
        <v>145</v>
      </c>
      <c r="D232" s="10">
        <f t="shared" si="12"/>
        <v>145</v>
      </c>
      <c r="E232" s="14">
        <f t="shared" si="15"/>
        <v>0</v>
      </c>
      <c r="F232" s="10">
        <f t="shared" si="15"/>
        <v>0</v>
      </c>
      <c r="G232" s="14">
        <f t="shared" si="15"/>
        <v>0</v>
      </c>
      <c r="H232" s="41">
        <f t="shared" si="15"/>
        <v>0</v>
      </c>
      <c r="I232" s="10">
        <f t="shared" si="15"/>
        <v>0</v>
      </c>
      <c r="J232" s="10">
        <f t="shared" si="13"/>
        <v>0</v>
      </c>
      <c r="K232" s="118">
        <f t="shared" si="14"/>
        <v>18216.172032193157</v>
      </c>
    </row>
    <row r="233" spans="1:11" x14ac:dyDescent="0.25">
      <c r="A233" s="49">
        <f>'A) Base RI'!A232</f>
        <v>5763</v>
      </c>
      <c r="B233" s="32" t="str">
        <f>'A) Base RI'!B232</f>
        <v>Valeyres-sous-Rances</v>
      </c>
      <c r="C233" s="14">
        <f>'A) Base RI'!AO232</f>
        <v>620</v>
      </c>
      <c r="D233" s="10">
        <f t="shared" si="12"/>
        <v>620</v>
      </c>
      <c r="E233" s="14">
        <f t="shared" si="15"/>
        <v>0</v>
      </c>
      <c r="F233" s="10">
        <f t="shared" si="15"/>
        <v>0</v>
      </c>
      <c r="G233" s="14">
        <f t="shared" si="15"/>
        <v>0</v>
      </c>
      <c r="H233" s="41">
        <f t="shared" si="15"/>
        <v>0</v>
      </c>
      <c r="I233" s="10">
        <f t="shared" si="15"/>
        <v>0</v>
      </c>
      <c r="J233" s="10">
        <f t="shared" si="13"/>
        <v>0</v>
      </c>
      <c r="K233" s="118">
        <f t="shared" si="14"/>
        <v>77889.83903420523</v>
      </c>
    </row>
    <row r="234" spans="1:11" x14ac:dyDescent="0.25">
      <c r="A234" s="49">
        <f>'A) Base RI'!A233</f>
        <v>5764</v>
      </c>
      <c r="B234" s="32" t="str">
        <f>'A) Base RI'!B233</f>
        <v>Vallorbe</v>
      </c>
      <c r="C234" s="14">
        <f>'A) Base RI'!AO233</f>
        <v>3857</v>
      </c>
      <c r="D234" s="10">
        <f t="shared" si="12"/>
        <v>1000</v>
      </c>
      <c r="E234" s="14">
        <f t="shared" si="15"/>
        <v>2000</v>
      </c>
      <c r="F234" s="10">
        <f t="shared" si="15"/>
        <v>857</v>
      </c>
      <c r="G234" s="14">
        <f t="shared" si="15"/>
        <v>0</v>
      </c>
      <c r="H234" s="41">
        <f t="shared" si="15"/>
        <v>0</v>
      </c>
      <c r="I234" s="10">
        <f t="shared" si="15"/>
        <v>0</v>
      </c>
      <c r="J234" s="10">
        <f t="shared" si="13"/>
        <v>0</v>
      </c>
      <c r="K234" s="118">
        <f t="shared" si="14"/>
        <v>1259805.3319919517</v>
      </c>
    </row>
    <row r="235" spans="1:11" x14ac:dyDescent="0.25">
      <c r="A235" s="49">
        <f>'A) Base RI'!A234</f>
        <v>5765</v>
      </c>
      <c r="B235" s="32" t="str">
        <f>'A) Base RI'!B234</f>
        <v>Vaulion</v>
      </c>
      <c r="C235" s="14">
        <f>'A) Base RI'!AO234</f>
        <v>496</v>
      </c>
      <c r="D235" s="10">
        <f t="shared" ref="D235:D298" si="16">IF($C235&gt;D$4,IF($C235&lt;D$5,$C235-D$4,D$5-D$4),0)</f>
        <v>496</v>
      </c>
      <c r="E235" s="14">
        <f t="shared" si="15"/>
        <v>0</v>
      </c>
      <c r="F235" s="10">
        <f t="shared" si="15"/>
        <v>0</v>
      </c>
      <c r="G235" s="14">
        <f t="shared" si="15"/>
        <v>0</v>
      </c>
      <c r="H235" s="41">
        <f t="shared" si="15"/>
        <v>0</v>
      </c>
      <c r="I235" s="10">
        <f t="shared" si="15"/>
        <v>0</v>
      </c>
      <c r="J235" s="10">
        <f t="shared" si="13"/>
        <v>0</v>
      </c>
      <c r="K235" s="118">
        <f t="shared" si="14"/>
        <v>62311.87122736418</v>
      </c>
    </row>
    <row r="236" spans="1:11" x14ac:dyDescent="0.25">
      <c r="A236" s="49">
        <f>'A) Base RI'!A235</f>
        <v>5766</v>
      </c>
      <c r="B236" s="32" t="str">
        <f>'A) Base RI'!B235</f>
        <v>Vuiteboeuf</v>
      </c>
      <c r="C236" s="14">
        <f>'A) Base RI'!AO235</f>
        <v>576</v>
      </c>
      <c r="D236" s="10">
        <f t="shared" si="16"/>
        <v>576</v>
      </c>
      <c r="E236" s="14">
        <f t="shared" si="15"/>
        <v>0</v>
      </c>
      <c r="F236" s="10">
        <f t="shared" si="15"/>
        <v>0</v>
      </c>
      <c r="G236" s="14">
        <f t="shared" si="15"/>
        <v>0</v>
      </c>
      <c r="H236" s="41">
        <f t="shared" si="15"/>
        <v>0</v>
      </c>
      <c r="I236" s="10">
        <f t="shared" si="15"/>
        <v>0</v>
      </c>
      <c r="J236" s="10">
        <f t="shared" si="13"/>
        <v>0</v>
      </c>
      <c r="K236" s="118">
        <f t="shared" si="14"/>
        <v>72362.173038229375</v>
      </c>
    </row>
    <row r="237" spans="1:11" x14ac:dyDescent="0.25">
      <c r="A237" s="49">
        <f>'A) Base RI'!A236</f>
        <v>5785</v>
      </c>
      <c r="B237" s="32" t="str">
        <f>'A) Base RI'!B236</f>
        <v>Corcelles-le-Jorat</v>
      </c>
      <c r="C237" s="14">
        <f>'A) Base RI'!AO236</f>
        <v>458</v>
      </c>
      <c r="D237" s="10">
        <f t="shared" si="16"/>
        <v>458</v>
      </c>
      <c r="E237" s="14">
        <f t="shared" si="15"/>
        <v>0</v>
      </c>
      <c r="F237" s="10">
        <f t="shared" si="15"/>
        <v>0</v>
      </c>
      <c r="G237" s="14">
        <f t="shared" si="15"/>
        <v>0</v>
      </c>
      <c r="H237" s="41">
        <f t="shared" si="15"/>
        <v>0</v>
      </c>
      <c r="I237" s="10">
        <f t="shared" si="15"/>
        <v>0</v>
      </c>
      <c r="J237" s="10">
        <f t="shared" si="13"/>
        <v>0</v>
      </c>
      <c r="K237" s="118">
        <f t="shared" si="14"/>
        <v>57537.977867203219</v>
      </c>
    </row>
    <row r="238" spans="1:11" x14ac:dyDescent="0.25">
      <c r="A238" s="49">
        <f>'A) Base RI'!A237</f>
        <v>5788</v>
      </c>
      <c r="B238" s="32" t="str">
        <f>'A) Base RI'!B237</f>
        <v>Essertes</v>
      </c>
      <c r="C238" s="14">
        <f>'A) Base RI'!AO237</f>
        <v>380</v>
      </c>
      <c r="D238" s="10">
        <f t="shared" si="16"/>
        <v>380</v>
      </c>
      <c r="E238" s="14">
        <f t="shared" si="15"/>
        <v>0</v>
      </c>
      <c r="F238" s="10">
        <f t="shared" si="15"/>
        <v>0</v>
      </c>
      <c r="G238" s="14">
        <f t="shared" si="15"/>
        <v>0</v>
      </c>
      <c r="H238" s="41">
        <f t="shared" si="15"/>
        <v>0</v>
      </c>
      <c r="I238" s="10">
        <f t="shared" si="15"/>
        <v>0</v>
      </c>
      <c r="J238" s="10">
        <f t="shared" si="13"/>
        <v>0</v>
      </c>
      <c r="K238" s="118">
        <f t="shared" si="14"/>
        <v>47738.933601609657</v>
      </c>
    </row>
    <row r="239" spans="1:11" x14ac:dyDescent="0.25">
      <c r="A239" s="49">
        <f>'A) Base RI'!A238</f>
        <v>5790</v>
      </c>
      <c r="B239" s="32" t="str">
        <f>'A) Base RI'!B238</f>
        <v>Maracon</v>
      </c>
      <c r="C239" s="14">
        <f>'A) Base RI'!AO238</f>
        <v>538</v>
      </c>
      <c r="D239" s="10">
        <f t="shared" si="16"/>
        <v>538</v>
      </c>
      <c r="E239" s="14">
        <f t="shared" si="15"/>
        <v>0</v>
      </c>
      <c r="F239" s="10">
        <f t="shared" si="15"/>
        <v>0</v>
      </c>
      <c r="G239" s="14">
        <f t="shared" si="15"/>
        <v>0</v>
      </c>
      <c r="H239" s="41">
        <f t="shared" si="15"/>
        <v>0</v>
      </c>
      <c r="I239" s="10">
        <f t="shared" si="15"/>
        <v>0</v>
      </c>
      <c r="J239" s="10">
        <f t="shared" si="13"/>
        <v>0</v>
      </c>
      <c r="K239" s="118">
        <f t="shared" si="14"/>
        <v>67588.2796780684</v>
      </c>
    </row>
    <row r="240" spans="1:11" x14ac:dyDescent="0.25">
      <c r="A240" s="49">
        <f>'A) Base RI'!A239</f>
        <v>5792</v>
      </c>
      <c r="B240" s="32" t="str">
        <f>'A) Base RI'!B239</f>
        <v>Montpreveyres</v>
      </c>
      <c r="C240" s="14">
        <f>'A) Base RI'!AO239</f>
        <v>657</v>
      </c>
      <c r="D240" s="10">
        <f t="shared" si="16"/>
        <v>657</v>
      </c>
      <c r="E240" s="14">
        <f t="shared" si="15"/>
        <v>0</v>
      </c>
      <c r="F240" s="10">
        <f t="shared" si="15"/>
        <v>0</v>
      </c>
      <c r="G240" s="14">
        <f t="shared" si="15"/>
        <v>0</v>
      </c>
      <c r="H240" s="41">
        <f t="shared" si="15"/>
        <v>0</v>
      </c>
      <c r="I240" s="10">
        <f t="shared" si="15"/>
        <v>0</v>
      </c>
      <c r="J240" s="10">
        <f t="shared" si="13"/>
        <v>0</v>
      </c>
      <c r="K240" s="118">
        <f t="shared" si="14"/>
        <v>82538.103621730377</v>
      </c>
    </row>
    <row r="241" spans="1:11" x14ac:dyDescent="0.25">
      <c r="A241" s="49">
        <f>'A) Base RI'!A240</f>
        <v>5798</v>
      </c>
      <c r="B241" s="32" t="str">
        <f>'A) Base RI'!B240</f>
        <v>Ropraz</v>
      </c>
      <c r="C241" s="14">
        <f>'A) Base RI'!AO240</f>
        <v>488</v>
      </c>
      <c r="D241" s="10">
        <f t="shared" si="16"/>
        <v>488</v>
      </c>
      <c r="E241" s="14">
        <f t="shared" si="15"/>
        <v>0</v>
      </c>
      <c r="F241" s="10">
        <f t="shared" si="15"/>
        <v>0</v>
      </c>
      <c r="G241" s="14">
        <f t="shared" si="15"/>
        <v>0</v>
      </c>
      <c r="H241" s="41">
        <f t="shared" si="15"/>
        <v>0</v>
      </c>
      <c r="I241" s="10">
        <f t="shared" si="15"/>
        <v>0</v>
      </c>
      <c r="J241" s="10">
        <f t="shared" si="13"/>
        <v>0</v>
      </c>
      <c r="K241" s="118">
        <f t="shared" si="14"/>
        <v>61306.841046277666</v>
      </c>
    </row>
    <row r="242" spans="1:11" x14ac:dyDescent="0.25">
      <c r="A242" s="49">
        <f>'A) Base RI'!A241</f>
        <v>5799</v>
      </c>
      <c r="B242" s="32" t="str">
        <f>'A) Base RI'!B241</f>
        <v>Servion</v>
      </c>
      <c r="C242" s="14">
        <f>'A) Base RI'!AO241</f>
        <v>1997</v>
      </c>
      <c r="D242" s="10">
        <f t="shared" si="16"/>
        <v>1000</v>
      </c>
      <c r="E242" s="14">
        <f t="shared" si="15"/>
        <v>997</v>
      </c>
      <c r="F242" s="10">
        <f t="shared" si="15"/>
        <v>0</v>
      </c>
      <c r="G242" s="14">
        <f t="shared" si="15"/>
        <v>0</v>
      </c>
      <c r="H242" s="41">
        <f t="shared" si="15"/>
        <v>0</v>
      </c>
      <c r="I242" s="10">
        <f t="shared" si="15"/>
        <v>0</v>
      </c>
      <c r="J242" s="10">
        <f t="shared" si="13"/>
        <v>0</v>
      </c>
      <c r="K242" s="118">
        <f t="shared" si="14"/>
        <v>476334.05432595569</v>
      </c>
    </row>
    <row r="243" spans="1:11" x14ac:dyDescent="0.25">
      <c r="A243" s="49">
        <f>'A) Base RI'!A242</f>
        <v>5803</v>
      </c>
      <c r="B243" s="32" t="str">
        <f>'A) Base RI'!B242</f>
        <v>Vulliens</v>
      </c>
      <c r="C243" s="14">
        <f>'A) Base RI'!AO242</f>
        <v>614</v>
      </c>
      <c r="D243" s="10">
        <f t="shared" si="16"/>
        <v>614</v>
      </c>
      <c r="E243" s="14">
        <f t="shared" si="15"/>
        <v>0</v>
      </c>
      <c r="F243" s="10">
        <f t="shared" si="15"/>
        <v>0</v>
      </c>
      <c r="G243" s="14">
        <f t="shared" si="15"/>
        <v>0</v>
      </c>
      <c r="H243" s="41">
        <f t="shared" si="15"/>
        <v>0</v>
      </c>
      <c r="I243" s="10">
        <f t="shared" si="15"/>
        <v>0</v>
      </c>
      <c r="J243" s="10">
        <f t="shared" si="13"/>
        <v>0</v>
      </c>
      <c r="K243" s="118">
        <f t="shared" si="14"/>
        <v>77136.066398390336</v>
      </c>
    </row>
    <row r="244" spans="1:11" x14ac:dyDescent="0.25">
      <c r="A244" s="49">
        <f>'A) Base RI'!A243</f>
        <v>5804</v>
      </c>
      <c r="B244" s="32" t="str">
        <f>'A) Base RI'!B243</f>
        <v>Jorat-Menthue</v>
      </c>
      <c r="C244" s="14">
        <f>'A) Base RI'!AO243</f>
        <v>1591</v>
      </c>
      <c r="D244" s="10">
        <f t="shared" si="16"/>
        <v>1000</v>
      </c>
      <c r="E244" s="14">
        <f t="shared" si="15"/>
        <v>591</v>
      </c>
      <c r="F244" s="10">
        <f t="shared" si="15"/>
        <v>0</v>
      </c>
      <c r="G244" s="14">
        <f t="shared" si="15"/>
        <v>0</v>
      </c>
      <c r="H244" s="41">
        <f t="shared" si="15"/>
        <v>0</v>
      </c>
      <c r="I244" s="10">
        <f t="shared" si="15"/>
        <v>0</v>
      </c>
      <c r="J244" s="10">
        <f t="shared" si="13"/>
        <v>0</v>
      </c>
      <c r="K244" s="118">
        <f t="shared" si="14"/>
        <v>333519.26559356134</v>
      </c>
    </row>
    <row r="245" spans="1:11" x14ac:dyDescent="0.25">
      <c r="A245" s="49">
        <f>'A) Base RI'!A244</f>
        <v>5805</v>
      </c>
      <c r="B245" s="32" t="str">
        <f>'A) Base RI'!B244</f>
        <v>Oron</v>
      </c>
      <c r="C245" s="14">
        <f>'A) Base RI'!AO244</f>
        <v>5669</v>
      </c>
      <c r="D245" s="10">
        <f t="shared" si="16"/>
        <v>1000</v>
      </c>
      <c r="E245" s="14">
        <f t="shared" si="15"/>
        <v>2000</v>
      </c>
      <c r="F245" s="10">
        <f t="shared" si="15"/>
        <v>2000</v>
      </c>
      <c r="G245" s="14">
        <f t="shared" si="15"/>
        <v>669</v>
      </c>
      <c r="H245" s="41">
        <f t="shared" si="15"/>
        <v>0</v>
      </c>
      <c r="I245" s="10">
        <f t="shared" si="15"/>
        <v>0</v>
      </c>
      <c r="J245" s="10">
        <f t="shared" si="13"/>
        <v>0</v>
      </c>
      <c r="K245" s="118">
        <f t="shared" si="14"/>
        <v>2237599.195171026</v>
      </c>
    </row>
    <row r="246" spans="1:11" x14ac:dyDescent="0.25">
      <c r="A246" s="49">
        <f>'A) Base RI'!A245</f>
        <v>5806</v>
      </c>
      <c r="B246" s="32" t="str">
        <f>'A) Base RI'!B245</f>
        <v>Jorat-Mézières</v>
      </c>
      <c r="C246" s="14">
        <f>'A) Base RI'!AO245</f>
        <v>2949</v>
      </c>
      <c r="D246" s="10">
        <f t="shared" si="16"/>
        <v>1000</v>
      </c>
      <c r="E246" s="14">
        <f t="shared" si="15"/>
        <v>1949</v>
      </c>
      <c r="F246" s="10">
        <f t="shared" si="15"/>
        <v>0</v>
      </c>
      <c r="G246" s="14">
        <f t="shared" si="15"/>
        <v>0</v>
      </c>
      <c r="H246" s="41">
        <f t="shared" si="15"/>
        <v>0</v>
      </c>
      <c r="I246" s="10">
        <f t="shared" si="15"/>
        <v>0</v>
      </c>
      <c r="J246" s="10">
        <f t="shared" si="13"/>
        <v>0</v>
      </c>
      <c r="K246" s="118">
        <f t="shared" si="14"/>
        <v>811210.11066398385</v>
      </c>
    </row>
    <row r="247" spans="1:11" x14ac:dyDescent="0.25">
      <c r="A247" s="49">
        <f>'A) Base RI'!A246</f>
        <v>5812</v>
      </c>
      <c r="B247" s="32" t="str">
        <f>'A) Base RI'!B246</f>
        <v>Champtauroz</v>
      </c>
      <c r="C247" s="14">
        <f>'A) Base RI'!AO246</f>
        <v>130</v>
      </c>
      <c r="D247" s="10">
        <f t="shared" si="16"/>
        <v>130</v>
      </c>
      <c r="E247" s="14">
        <f t="shared" si="15"/>
        <v>0</v>
      </c>
      <c r="F247" s="10">
        <f t="shared" si="15"/>
        <v>0</v>
      </c>
      <c r="G247" s="14">
        <f t="shared" si="15"/>
        <v>0</v>
      </c>
      <c r="H247" s="41">
        <f t="shared" si="15"/>
        <v>0</v>
      </c>
      <c r="I247" s="10">
        <f t="shared" si="15"/>
        <v>0</v>
      </c>
      <c r="J247" s="10">
        <f t="shared" si="13"/>
        <v>0</v>
      </c>
      <c r="K247" s="118">
        <f t="shared" si="14"/>
        <v>16331.740442655935</v>
      </c>
    </row>
    <row r="248" spans="1:11" x14ac:dyDescent="0.25">
      <c r="A248" s="49">
        <f>'A) Base RI'!A247</f>
        <v>5813</v>
      </c>
      <c r="B248" s="32" t="str">
        <f>'A) Base RI'!B247</f>
        <v>Chevroux</v>
      </c>
      <c r="C248" s="14">
        <f>'A) Base RI'!AO247</f>
        <v>492</v>
      </c>
      <c r="D248" s="10">
        <f t="shared" si="16"/>
        <v>492</v>
      </c>
      <c r="E248" s="14">
        <f t="shared" si="15"/>
        <v>0</v>
      </c>
      <c r="F248" s="10">
        <f t="shared" si="15"/>
        <v>0</v>
      </c>
      <c r="G248" s="14">
        <f t="shared" si="15"/>
        <v>0</v>
      </c>
      <c r="H248" s="41">
        <f t="shared" si="15"/>
        <v>0</v>
      </c>
      <c r="I248" s="10">
        <f t="shared" si="15"/>
        <v>0</v>
      </c>
      <c r="J248" s="10">
        <f t="shared" si="13"/>
        <v>0</v>
      </c>
      <c r="K248" s="118">
        <f t="shared" si="14"/>
        <v>61809.356136820919</v>
      </c>
    </row>
    <row r="249" spans="1:11" x14ac:dyDescent="0.25">
      <c r="A249" s="49">
        <f>'A) Base RI'!A248</f>
        <v>5816</v>
      </c>
      <c r="B249" s="32" t="str">
        <f>'A) Base RI'!B248</f>
        <v>Corcelles-près-Payerne</v>
      </c>
      <c r="C249" s="14">
        <f>'A) Base RI'!AO248</f>
        <v>2571</v>
      </c>
      <c r="D249" s="10">
        <f t="shared" si="16"/>
        <v>1000</v>
      </c>
      <c r="E249" s="14">
        <f t="shared" si="15"/>
        <v>1571</v>
      </c>
      <c r="F249" s="10">
        <f t="shared" si="15"/>
        <v>0</v>
      </c>
      <c r="G249" s="14">
        <f t="shared" si="15"/>
        <v>0</v>
      </c>
      <c r="H249" s="41">
        <f t="shared" si="15"/>
        <v>0</v>
      </c>
      <c r="I249" s="10">
        <f t="shared" si="15"/>
        <v>0</v>
      </c>
      <c r="J249" s="10">
        <f t="shared" si="13"/>
        <v>0</v>
      </c>
      <c r="K249" s="118">
        <f t="shared" si="14"/>
        <v>678244.61770623736</v>
      </c>
    </row>
    <row r="250" spans="1:11" x14ac:dyDescent="0.25">
      <c r="A250" s="49">
        <f>'A) Base RI'!A249</f>
        <v>5817</v>
      </c>
      <c r="B250" s="32" t="str">
        <f>'A) Base RI'!B249</f>
        <v>Grandcour</v>
      </c>
      <c r="C250" s="14">
        <f>'A) Base RI'!AO249</f>
        <v>953</v>
      </c>
      <c r="D250" s="10">
        <f t="shared" si="16"/>
        <v>953</v>
      </c>
      <c r="E250" s="14">
        <f t="shared" si="15"/>
        <v>0</v>
      </c>
      <c r="F250" s="10">
        <f t="shared" si="15"/>
        <v>0</v>
      </c>
      <c r="G250" s="14">
        <f t="shared" si="15"/>
        <v>0</v>
      </c>
      <c r="H250" s="41">
        <f t="shared" si="15"/>
        <v>0</v>
      </c>
      <c r="I250" s="10">
        <f t="shared" si="15"/>
        <v>0</v>
      </c>
      <c r="J250" s="10">
        <f t="shared" si="13"/>
        <v>0</v>
      </c>
      <c r="K250" s="118">
        <f t="shared" si="14"/>
        <v>119724.22032193159</v>
      </c>
    </row>
    <row r="251" spans="1:11" x14ac:dyDescent="0.25">
      <c r="A251" s="49">
        <f>'A) Base RI'!A250</f>
        <v>5819</v>
      </c>
      <c r="B251" s="32" t="str">
        <f>'A) Base RI'!B250</f>
        <v>Henniez</v>
      </c>
      <c r="C251" s="14">
        <f>'A) Base RI'!AO250</f>
        <v>376</v>
      </c>
      <c r="D251" s="10">
        <f t="shared" si="16"/>
        <v>376</v>
      </c>
      <c r="E251" s="14">
        <f t="shared" si="15"/>
        <v>0</v>
      </c>
      <c r="F251" s="10">
        <f t="shared" si="15"/>
        <v>0</v>
      </c>
      <c r="G251" s="14">
        <f t="shared" si="15"/>
        <v>0</v>
      </c>
      <c r="H251" s="41">
        <f t="shared" si="15"/>
        <v>0</v>
      </c>
      <c r="I251" s="10">
        <f t="shared" si="15"/>
        <v>0</v>
      </c>
      <c r="J251" s="10">
        <f t="shared" si="13"/>
        <v>0</v>
      </c>
      <c r="K251" s="118">
        <f t="shared" si="14"/>
        <v>47236.418511066397</v>
      </c>
    </row>
    <row r="252" spans="1:11" x14ac:dyDescent="0.25">
      <c r="A252" s="49">
        <f>'A) Base RI'!A251</f>
        <v>5821</v>
      </c>
      <c r="B252" s="32" t="str">
        <f>'A) Base RI'!B251</f>
        <v>Missy</v>
      </c>
      <c r="C252" s="14">
        <f>'A) Base RI'!AO251</f>
        <v>362</v>
      </c>
      <c r="D252" s="10">
        <f t="shared" si="16"/>
        <v>362</v>
      </c>
      <c r="E252" s="14">
        <f t="shared" si="15"/>
        <v>0</v>
      </c>
      <c r="F252" s="10">
        <f t="shared" si="15"/>
        <v>0</v>
      </c>
      <c r="G252" s="14">
        <f t="shared" si="15"/>
        <v>0</v>
      </c>
      <c r="H252" s="41">
        <f t="shared" si="15"/>
        <v>0</v>
      </c>
      <c r="I252" s="10">
        <f t="shared" si="15"/>
        <v>0</v>
      </c>
      <c r="J252" s="10">
        <f t="shared" si="13"/>
        <v>0</v>
      </c>
      <c r="K252" s="118">
        <f t="shared" si="14"/>
        <v>45477.61569416499</v>
      </c>
    </row>
    <row r="253" spans="1:11" x14ac:dyDescent="0.25">
      <c r="A253" s="49">
        <f>'A) Base RI'!A252</f>
        <v>5822</v>
      </c>
      <c r="B253" s="32" t="str">
        <f>'A) Base RI'!B252</f>
        <v>Payerne</v>
      </c>
      <c r="C253" s="14">
        <f>'A) Base RI'!AO252</f>
        <v>10072</v>
      </c>
      <c r="D253" s="10">
        <f t="shared" si="16"/>
        <v>1000</v>
      </c>
      <c r="E253" s="14">
        <f t="shared" si="15"/>
        <v>2000</v>
      </c>
      <c r="F253" s="10">
        <f t="shared" si="15"/>
        <v>2000</v>
      </c>
      <c r="G253" s="14">
        <f t="shared" si="15"/>
        <v>4000</v>
      </c>
      <c r="H253" s="41">
        <f t="shared" si="15"/>
        <v>1072</v>
      </c>
      <c r="I253" s="10">
        <f t="shared" si="15"/>
        <v>0</v>
      </c>
      <c r="J253" s="10">
        <f t="shared" si="13"/>
        <v>0</v>
      </c>
      <c r="K253" s="118">
        <f t="shared" si="14"/>
        <v>5162036.0160965798</v>
      </c>
    </row>
    <row r="254" spans="1:11" x14ac:dyDescent="0.25">
      <c r="A254" s="49">
        <f>'A) Base RI'!A253</f>
        <v>5827</v>
      </c>
      <c r="B254" s="32" t="str">
        <f>'A) Base RI'!B253</f>
        <v>Trey</v>
      </c>
      <c r="C254" s="14">
        <f>'A) Base RI'!AO253</f>
        <v>285</v>
      </c>
      <c r="D254" s="10">
        <f t="shared" si="16"/>
        <v>285</v>
      </c>
      <c r="E254" s="14">
        <f t="shared" si="15"/>
        <v>0</v>
      </c>
      <c r="F254" s="10">
        <f t="shared" si="15"/>
        <v>0</v>
      </c>
      <c r="G254" s="14">
        <f t="shared" si="15"/>
        <v>0</v>
      </c>
      <c r="H254" s="41">
        <f t="shared" si="15"/>
        <v>0</v>
      </c>
      <c r="I254" s="10">
        <f t="shared" si="15"/>
        <v>0</v>
      </c>
      <c r="J254" s="10">
        <f t="shared" si="13"/>
        <v>0</v>
      </c>
      <c r="K254" s="118">
        <f t="shared" si="14"/>
        <v>35804.200201207241</v>
      </c>
    </row>
    <row r="255" spans="1:11" x14ac:dyDescent="0.25">
      <c r="A255" s="49">
        <f>'A) Base RI'!A254</f>
        <v>5828</v>
      </c>
      <c r="B255" s="32" t="str">
        <f>'A) Base RI'!B254</f>
        <v>Treytorrens (Payerne)</v>
      </c>
      <c r="C255" s="14">
        <f>'A) Base RI'!AO254</f>
        <v>111</v>
      </c>
      <c r="D255" s="10">
        <f t="shared" si="16"/>
        <v>111</v>
      </c>
      <c r="E255" s="14">
        <f t="shared" si="15"/>
        <v>0</v>
      </c>
      <c r="F255" s="10">
        <f t="shared" si="15"/>
        <v>0</v>
      </c>
      <c r="G255" s="14">
        <f t="shared" si="15"/>
        <v>0</v>
      </c>
      <c r="H255" s="41">
        <f t="shared" si="15"/>
        <v>0</v>
      </c>
      <c r="I255" s="10">
        <f t="shared" si="15"/>
        <v>0</v>
      </c>
      <c r="J255" s="10">
        <f t="shared" si="13"/>
        <v>0</v>
      </c>
      <c r="K255" s="118">
        <f t="shared" si="14"/>
        <v>13944.793762575451</v>
      </c>
    </row>
    <row r="256" spans="1:11" x14ac:dyDescent="0.25">
      <c r="A256" s="49">
        <f>'A) Base RI'!A255</f>
        <v>5830</v>
      </c>
      <c r="B256" s="32" t="str">
        <f>'A) Base RI'!B255</f>
        <v>Villarzel</v>
      </c>
      <c r="C256" s="14">
        <f>'A) Base RI'!AO255</f>
        <v>451</v>
      </c>
      <c r="D256" s="10">
        <f t="shared" si="16"/>
        <v>451</v>
      </c>
      <c r="E256" s="14">
        <f t="shared" si="15"/>
        <v>0</v>
      </c>
      <c r="F256" s="10">
        <f t="shared" si="15"/>
        <v>0</v>
      </c>
      <c r="G256" s="14">
        <f t="shared" si="15"/>
        <v>0</v>
      </c>
      <c r="H256" s="41">
        <f t="shared" si="15"/>
        <v>0</v>
      </c>
      <c r="I256" s="10">
        <f t="shared" si="15"/>
        <v>0</v>
      </c>
      <c r="J256" s="10">
        <f t="shared" si="13"/>
        <v>0</v>
      </c>
      <c r="K256" s="118">
        <f t="shared" si="14"/>
        <v>56658.576458752512</v>
      </c>
    </row>
    <row r="257" spans="1:11" x14ac:dyDescent="0.25">
      <c r="A257" s="49">
        <f>'A) Base RI'!A256</f>
        <v>5831</v>
      </c>
      <c r="B257" s="32" t="str">
        <f>'A) Base RI'!B256</f>
        <v>Valbroye</v>
      </c>
      <c r="C257" s="14">
        <f>'A) Base RI'!AO256</f>
        <v>3296</v>
      </c>
      <c r="D257" s="10">
        <f t="shared" si="16"/>
        <v>1000</v>
      </c>
      <c r="E257" s="14">
        <f t="shared" si="15"/>
        <v>2000</v>
      </c>
      <c r="F257" s="10">
        <f t="shared" si="15"/>
        <v>296</v>
      </c>
      <c r="G257" s="14">
        <f t="shared" si="15"/>
        <v>0</v>
      </c>
      <c r="H257" s="41">
        <f t="shared" si="15"/>
        <v>0</v>
      </c>
      <c r="I257" s="10">
        <f t="shared" si="15"/>
        <v>0</v>
      </c>
      <c r="J257" s="10">
        <f t="shared" si="13"/>
        <v>0</v>
      </c>
      <c r="K257" s="118">
        <f t="shared" si="14"/>
        <v>977894.36619718303</v>
      </c>
    </row>
    <row r="258" spans="1:11" x14ac:dyDescent="0.25">
      <c r="A258" s="49">
        <f>'A) Base RI'!A257</f>
        <v>5841</v>
      </c>
      <c r="B258" s="32" t="str">
        <f>'A) Base RI'!B257</f>
        <v>Château-d'Oex</v>
      </c>
      <c r="C258" s="14">
        <f>'A) Base RI'!AO257</f>
        <v>3468</v>
      </c>
      <c r="D258" s="10">
        <f t="shared" si="16"/>
        <v>1000</v>
      </c>
      <c r="E258" s="14">
        <f t="shared" si="15"/>
        <v>2000</v>
      </c>
      <c r="F258" s="10">
        <f t="shared" si="15"/>
        <v>468</v>
      </c>
      <c r="G258" s="14">
        <f t="shared" si="15"/>
        <v>0</v>
      </c>
      <c r="H258" s="41">
        <f t="shared" si="15"/>
        <v>0</v>
      </c>
      <c r="I258" s="10">
        <f t="shared" si="15"/>
        <v>0</v>
      </c>
      <c r="J258" s="10">
        <f t="shared" si="13"/>
        <v>0</v>
      </c>
      <c r="K258" s="118">
        <f t="shared" si="14"/>
        <v>1064326.9617706237</v>
      </c>
    </row>
    <row r="259" spans="1:11" x14ac:dyDescent="0.25">
      <c r="A259" s="49">
        <f>'A) Base RI'!A258</f>
        <v>5842</v>
      </c>
      <c r="B259" s="32" t="str">
        <f>'A) Base RI'!B258</f>
        <v>Rossinière</v>
      </c>
      <c r="C259" s="14">
        <f>'A) Base RI'!AO258</f>
        <v>548</v>
      </c>
      <c r="D259" s="10">
        <f t="shared" si="16"/>
        <v>548</v>
      </c>
      <c r="E259" s="14">
        <f t="shared" si="15"/>
        <v>0</v>
      </c>
      <c r="F259" s="10">
        <f t="shared" si="15"/>
        <v>0</v>
      </c>
      <c r="G259" s="14">
        <f t="shared" ref="E259:I310" si="17">IF($C259&gt;G$4,IF($C259&lt;G$5,$C259-G$4,G$5-G$4),0)</f>
        <v>0</v>
      </c>
      <c r="H259" s="41">
        <f t="shared" si="17"/>
        <v>0</v>
      </c>
      <c r="I259" s="10">
        <f t="shared" si="17"/>
        <v>0</v>
      </c>
      <c r="J259" s="10">
        <f t="shared" si="13"/>
        <v>0</v>
      </c>
      <c r="K259" s="118">
        <f t="shared" si="14"/>
        <v>68844.567404426562</v>
      </c>
    </row>
    <row r="260" spans="1:11" x14ac:dyDescent="0.25">
      <c r="A260" s="49">
        <f>'A) Base RI'!A259</f>
        <v>5843</v>
      </c>
      <c r="B260" s="32" t="str">
        <f>'A) Base RI'!B259</f>
        <v>Rougemont</v>
      </c>
      <c r="C260" s="14">
        <f>'A) Base RI'!AO259</f>
        <v>858</v>
      </c>
      <c r="D260" s="10">
        <f t="shared" si="16"/>
        <v>858</v>
      </c>
      <c r="E260" s="14">
        <f t="shared" si="17"/>
        <v>0</v>
      </c>
      <c r="F260" s="10">
        <f t="shared" si="17"/>
        <v>0</v>
      </c>
      <c r="G260" s="14">
        <f t="shared" si="17"/>
        <v>0</v>
      </c>
      <c r="H260" s="41">
        <f t="shared" si="17"/>
        <v>0</v>
      </c>
      <c r="I260" s="10">
        <f t="shared" si="17"/>
        <v>0</v>
      </c>
      <c r="J260" s="10">
        <f t="shared" si="13"/>
        <v>0</v>
      </c>
      <c r="K260" s="118">
        <f t="shared" si="14"/>
        <v>107789.48692152917</v>
      </c>
    </row>
    <row r="261" spans="1:11" x14ac:dyDescent="0.25">
      <c r="A261" s="49">
        <f>'A) Base RI'!A260</f>
        <v>5851</v>
      </c>
      <c r="B261" s="32" t="str">
        <f>'A) Base RI'!B260</f>
        <v>Allaman</v>
      </c>
      <c r="C261" s="14">
        <f>'A) Base RI'!AO260</f>
        <v>451</v>
      </c>
      <c r="D261" s="10">
        <f t="shared" si="16"/>
        <v>451</v>
      </c>
      <c r="E261" s="14">
        <f t="shared" si="17"/>
        <v>0</v>
      </c>
      <c r="F261" s="10">
        <f t="shared" si="17"/>
        <v>0</v>
      </c>
      <c r="G261" s="14">
        <f t="shared" si="17"/>
        <v>0</v>
      </c>
      <c r="H261" s="41">
        <f t="shared" si="17"/>
        <v>0</v>
      </c>
      <c r="I261" s="10">
        <f t="shared" si="17"/>
        <v>0</v>
      </c>
      <c r="J261" s="10">
        <f t="shared" si="13"/>
        <v>0</v>
      </c>
      <c r="K261" s="118">
        <f t="shared" si="14"/>
        <v>56658.576458752512</v>
      </c>
    </row>
    <row r="262" spans="1:11" x14ac:dyDescent="0.25">
      <c r="A262" s="49">
        <f>'A) Base RI'!A261</f>
        <v>5852</v>
      </c>
      <c r="B262" s="32" t="str">
        <f>'A) Base RI'!B261</f>
        <v>Bursinel</v>
      </c>
      <c r="C262" s="14">
        <f>'A) Base RI'!AO261</f>
        <v>473</v>
      </c>
      <c r="D262" s="10">
        <f t="shared" si="16"/>
        <v>473</v>
      </c>
      <c r="E262" s="14">
        <f t="shared" si="17"/>
        <v>0</v>
      </c>
      <c r="F262" s="10">
        <f t="shared" si="17"/>
        <v>0</v>
      </c>
      <c r="G262" s="14">
        <f t="shared" si="17"/>
        <v>0</v>
      </c>
      <c r="H262" s="41">
        <f t="shared" si="17"/>
        <v>0</v>
      </c>
      <c r="I262" s="10">
        <f t="shared" si="17"/>
        <v>0</v>
      </c>
      <c r="J262" s="10">
        <f t="shared" si="13"/>
        <v>0</v>
      </c>
      <c r="K262" s="118">
        <f t="shared" si="14"/>
        <v>59422.409456740439</v>
      </c>
    </row>
    <row r="263" spans="1:11" x14ac:dyDescent="0.25">
      <c r="A263" s="49">
        <f>'A) Base RI'!A262</f>
        <v>5853</v>
      </c>
      <c r="B263" s="32" t="str">
        <f>'A) Base RI'!B262</f>
        <v>Bursins</v>
      </c>
      <c r="C263" s="14">
        <f>'A) Base RI'!AO262</f>
        <v>782</v>
      </c>
      <c r="D263" s="10">
        <f t="shared" si="16"/>
        <v>782</v>
      </c>
      <c r="E263" s="14">
        <f t="shared" si="17"/>
        <v>0</v>
      </c>
      <c r="F263" s="10">
        <f t="shared" si="17"/>
        <v>0</v>
      </c>
      <c r="G263" s="14">
        <f t="shared" si="17"/>
        <v>0</v>
      </c>
      <c r="H263" s="41">
        <f t="shared" si="17"/>
        <v>0</v>
      </c>
      <c r="I263" s="10">
        <f t="shared" si="17"/>
        <v>0</v>
      </c>
      <c r="J263" s="10">
        <f t="shared" si="13"/>
        <v>0</v>
      </c>
      <c r="K263" s="118">
        <f t="shared" si="14"/>
        <v>98241.700201207233</v>
      </c>
    </row>
    <row r="264" spans="1:11" x14ac:dyDescent="0.25">
      <c r="A264" s="49">
        <f>'A) Base RI'!A263</f>
        <v>5854</v>
      </c>
      <c r="B264" s="32" t="str">
        <f>'A) Base RI'!B263</f>
        <v>Burtigny</v>
      </c>
      <c r="C264" s="14">
        <f>'A) Base RI'!AO263</f>
        <v>390</v>
      </c>
      <c r="D264" s="10">
        <f t="shared" si="16"/>
        <v>390</v>
      </c>
      <c r="E264" s="14">
        <f t="shared" si="17"/>
        <v>0</v>
      </c>
      <c r="F264" s="10">
        <f t="shared" si="17"/>
        <v>0</v>
      </c>
      <c r="G264" s="14">
        <f t="shared" si="17"/>
        <v>0</v>
      </c>
      <c r="H264" s="41">
        <f t="shared" si="17"/>
        <v>0</v>
      </c>
      <c r="I264" s="10">
        <f t="shared" si="17"/>
        <v>0</v>
      </c>
      <c r="J264" s="10">
        <f t="shared" si="13"/>
        <v>0</v>
      </c>
      <c r="K264" s="118">
        <f t="shared" si="14"/>
        <v>48995.221327967804</v>
      </c>
    </row>
    <row r="265" spans="1:11" x14ac:dyDescent="0.25">
      <c r="A265" s="49">
        <f>'A) Base RI'!A264</f>
        <v>5855</v>
      </c>
      <c r="B265" s="32" t="str">
        <f>'A) Base RI'!B264</f>
        <v>Dully</v>
      </c>
      <c r="C265" s="14">
        <f>'A) Base RI'!AO264</f>
        <v>639</v>
      </c>
      <c r="D265" s="10">
        <f t="shared" si="16"/>
        <v>639</v>
      </c>
      <c r="E265" s="14">
        <f t="shared" si="17"/>
        <v>0</v>
      </c>
      <c r="F265" s="10">
        <f t="shared" si="17"/>
        <v>0</v>
      </c>
      <c r="G265" s="14">
        <f t="shared" si="17"/>
        <v>0</v>
      </c>
      <c r="H265" s="41">
        <f t="shared" si="17"/>
        <v>0</v>
      </c>
      <c r="I265" s="10">
        <f t="shared" si="17"/>
        <v>0</v>
      </c>
      <c r="J265" s="10">
        <f t="shared" ref="J265:J316" si="18">IF(C265&gt;$J$4,C265-$J$4,0)</f>
        <v>0</v>
      </c>
      <c r="K265" s="118">
        <f t="shared" ref="K265:K316" si="19">(D265*D$7)+(E265*E$7)+(F265*F$7)+(G265*G$7)+(H265*H$7)+(I265*I$7)+(J265*J$7)</f>
        <v>80276.78571428571</v>
      </c>
    </row>
    <row r="266" spans="1:11" x14ac:dyDescent="0.25">
      <c r="A266" s="49">
        <f>'A) Base RI'!A265</f>
        <v>5856</v>
      </c>
      <c r="B266" s="32" t="str">
        <f>'A) Base RI'!B265</f>
        <v>Essertines-sur-Rolle</v>
      </c>
      <c r="C266" s="14">
        <f>'A) Base RI'!AO265</f>
        <v>722</v>
      </c>
      <c r="D266" s="10">
        <f t="shared" si="16"/>
        <v>722</v>
      </c>
      <c r="E266" s="14">
        <f t="shared" si="17"/>
        <v>0</v>
      </c>
      <c r="F266" s="10">
        <f t="shared" si="17"/>
        <v>0</v>
      </c>
      <c r="G266" s="14">
        <f t="shared" si="17"/>
        <v>0</v>
      </c>
      <c r="H266" s="41">
        <f t="shared" si="17"/>
        <v>0</v>
      </c>
      <c r="I266" s="10">
        <f t="shared" si="17"/>
        <v>0</v>
      </c>
      <c r="J266" s="10">
        <f t="shared" si="18"/>
        <v>0</v>
      </c>
      <c r="K266" s="118">
        <f t="shared" si="19"/>
        <v>90703.973843058338</v>
      </c>
    </row>
    <row r="267" spans="1:11" x14ac:dyDescent="0.25">
      <c r="A267" s="49">
        <f>'A) Base RI'!A266</f>
        <v>5857</v>
      </c>
      <c r="B267" s="32" t="str">
        <f>'A) Base RI'!B266</f>
        <v>Gilly</v>
      </c>
      <c r="C267" s="14">
        <f>'A) Base RI'!AO266</f>
        <v>1370</v>
      </c>
      <c r="D267" s="10">
        <f t="shared" si="16"/>
        <v>1000</v>
      </c>
      <c r="E267" s="14">
        <f t="shared" si="17"/>
        <v>370</v>
      </c>
      <c r="F267" s="10">
        <f t="shared" si="17"/>
        <v>0</v>
      </c>
      <c r="G267" s="14">
        <f t="shared" si="17"/>
        <v>0</v>
      </c>
      <c r="H267" s="41">
        <f t="shared" si="17"/>
        <v>0</v>
      </c>
      <c r="I267" s="10">
        <f t="shared" si="17"/>
        <v>0</v>
      </c>
      <c r="J267" s="10">
        <f t="shared" si="18"/>
        <v>0</v>
      </c>
      <c r="K267" s="118">
        <f t="shared" si="19"/>
        <v>255780.18108651909</v>
      </c>
    </row>
    <row r="268" spans="1:11" x14ac:dyDescent="0.25">
      <c r="A268" s="49">
        <f>'A) Base RI'!A267</f>
        <v>5858</v>
      </c>
      <c r="B268" s="32" t="str">
        <f>'A) Base RI'!B267</f>
        <v>Luins</v>
      </c>
      <c r="C268" s="14">
        <f>'A) Base RI'!AO267</f>
        <v>621</v>
      </c>
      <c r="D268" s="10">
        <f t="shared" si="16"/>
        <v>621</v>
      </c>
      <c r="E268" s="14">
        <f t="shared" si="17"/>
        <v>0</v>
      </c>
      <c r="F268" s="10">
        <f t="shared" si="17"/>
        <v>0</v>
      </c>
      <c r="G268" s="14">
        <f t="shared" si="17"/>
        <v>0</v>
      </c>
      <c r="H268" s="41">
        <f t="shared" si="17"/>
        <v>0</v>
      </c>
      <c r="I268" s="10">
        <f t="shared" si="17"/>
        <v>0</v>
      </c>
      <c r="J268" s="10">
        <f t="shared" si="18"/>
        <v>0</v>
      </c>
      <c r="K268" s="118">
        <f t="shared" si="19"/>
        <v>78015.467806841043</v>
      </c>
    </row>
    <row r="269" spans="1:11" x14ac:dyDescent="0.25">
      <c r="A269" s="49">
        <f>'A) Base RI'!A268</f>
        <v>5859</v>
      </c>
      <c r="B269" s="32" t="str">
        <f>'A) Base RI'!B268</f>
        <v>Mont-sur-Rolle</v>
      </c>
      <c r="C269" s="14">
        <f>'A) Base RI'!AO268</f>
        <v>2677</v>
      </c>
      <c r="D269" s="10">
        <f t="shared" si="16"/>
        <v>1000</v>
      </c>
      <c r="E269" s="14">
        <f t="shared" si="17"/>
        <v>1677</v>
      </c>
      <c r="F269" s="10">
        <f t="shared" si="17"/>
        <v>0</v>
      </c>
      <c r="G269" s="14">
        <f t="shared" si="17"/>
        <v>0</v>
      </c>
      <c r="H269" s="41">
        <f t="shared" si="17"/>
        <v>0</v>
      </c>
      <c r="I269" s="10">
        <f t="shared" si="17"/>
        <v>0</v>
      </c>
      <c r="J269" s="10">
        <f t="shared" si="18"/>
        <v>0</v>
      </c>
      <c r="K269" s="118">
        <f t="shared" si="19"/>
        <v>715531.2374245472</v>
      </c>
    </row>
    <row r="270" spans="1:11" x14ac:dyDescent="0.25">
      <c r="A270" s="49">
        <f>'A) Base RI'!A269</f>
        <v>5860</v>
      </c>
      <c r="B270" s="32" t="str">
        <f>'A) Base RI'!B269</f>
        <v>Perroy</v>
      </c>
      <c r="C270" s="14">
        <f>'A) Base RI'!AO269</f>
        <v>1497</v>
      </c>
      <c r="D270" s="10">
        <f t="shared" si="16"/>
        <v>1000</v>
      </c>
      <c r="E270" s="14">
        <f t="shared" si="17"/>
        <v>497</v>
      </c>
      <c r="F270" s="10">
        <f t="shared" si="17"/>
        <v>0</v>
      </c>
      <c r="G270" s="14">
        <f t="shared" si="17"/>
        <v>0</v>
      </c>
      <c r="H270" s="41">
        <f t="shared" si="17"/>
        <v>0</v>
      </c>
      <c r="I270" s="10">
        <f t="shared" si="17"/>
        <v>0</v>
      </c>
      <c r="J270" s="10">
        <f t="shared" si="18"/>
        <v>0</v>
      </c>
      <c r="K270" s="118">
        <f t="shared" si="19"/>
        <v>300453.77263581485</v>
      </c>
    </row>
    <row r="271" spans="1:11" x14ac:dyDescent="0.25">
      <c r="A271" s="49">
        <f>'A) Base RI'!A270</f>
        <v>5861</v>
      </c>
      <c r="B271" s="32" t="str">
        <f>'A) Base RI'!B270</f>
        <v>Rolle</v>
      </c>
      <c r="C271" s="14">
        <f>'A) Base RI'!AO270</f>
        <v>6245</v>
      </c>
      <c r="D271" s="10">
        <f t="shared" si="16"/>
        <v>1000</v>
      </c>
      <c r="E271" s="14">
        <f t="shared" si="17"/>
        <v>2000</v>
      </c>
      <c r="F271" s="10">
        <f t="shared" si="17"/>
        <v>2000</v>
      </c>
      <c r="G271" s="14">
        <f t="shared" si="17"/>
        <v>1245</v>
      </c>
      <c r="H271" s="41">
        <f t="shared" si="17"/>
        <v>0</v>
      </c>
      <c r="I271" s="10">
        <f t="shared" si="17"/>
        <v>0</v>
      </c>
      <c r="J271" s="10">
        <f t="shared" si="18"/>
        <v>0</v>
      </c>
      <c r="K271" s="118">
        <f t="shared" si="19"/>
        <v>2584937.6257545273</v>
      </c>
    </row>
    <row r="272" spans="1:11" x14ac:dyDescent="0.25">
      <c r="A272" s="49">
        <f>'A) Base RI'!A271</f>
        <v>5862</v>
      </c>
      <c r="B272" s="32" t="str">
        <f>'A) Base RI'!B271</f>
        <v>Tartegnin</v>
      </c>
      <c r="C272" s="14">
        <f>'A) Base RI'!AO271</f>
        <v>233</v>
      </c>
      <c r="D272" s="10">
        <f t="shared" si="16"/>
        <v>233</v>
      </c>
      <c r="E272" s="14">
        <f t="shared" si="17"/>
        <v>0</v>
      </c>
      <c r="F272" s="10">
        <f t="shared" si="17"/>
        <v>0</v>
      </c>
      <c r="G272" s="14">
        <f t="shared" si="17"/>
        <v>0</v>
      </c>
      <c r="H272" s="41">
        <f t="shared" si="17"/>
        <v>0</v>
      </c>
      <c r="I272" s="10">
        <f t="shared" si="17"/>
        <v>0</v>
      </c>
      <c r="J272" s="10">
        <f t="shared" si="18"/>
        <v>0</v>
      </c>
      <c r="K272" s="118">
        <f t="shared" si="19"/>
        <v>29271.504024144866</v>
      </c>
    </row>
    <row r="273" spans="1:11" x14ac:dyDescent="0.25">
      <c r="A273" s="49">
        <f>'A) Base RI'!A272</f>
        <v>5863</v>
      </c>
      <c r="B273" s="32" t="str">
        <f>'A) Base RI'!B272</f>
        <v>Vinzel</v>
      </c>
      <c r="C273" s="14">
        <f>'A) Base RI'!AO272</f>
        <v>355</v>
      </c>
      <c r="D273" s="10">
        <f t="shared" si="16"/>
        <v>355</v>
      </c>
      <c r="E273" s="14">
        <f t="shared" si="17"/>
        <v>0</v>
      </c>
      <c r="F273" s="10">
        <f t="shared" si="17"/>
        <v>0</v>
      </c>
      <c r="G273" s="14">
        <f t="shared" si="17"/>
        <v>0</v>
      </c>
      <c r="H273" s="41">
        <f t="shared" si="17"/>
        <v>0</v>
      </c>
      <c r="I273" s="10">
        <f t="shared" si="17"/>
        <v>0</v>
      </c>
      <c r="J273" s="10">
        <f t="shared" si="18"/>
        <v>0</v>
      </c>
      <c r="K273" s="118">
        <f t="shared" si="19"/>
        <v>44598.214285714283</v>
      </c>
    </row>
    <row r="274" spans="1:11" x14ac:dyDescent="0.25">
      <c r="A274" s="49">
        <f>'A) Base RI'!A273</f>
        <v>5871</v>
      </c>
      <c r="B274" s="32" t="str">
        <f>'A) Base RI'!B273</f>
        <v>L'Abbaye</v>
      </c>
      <c r="C274" s="14">
        <f>'A) Base RI'!AO273</f>
        <v>1481</v>
      </c>
      <c r="D274" s="10">
        <f t="shared" si="16"/>
        <v>1000</v>
      </c>
      <c r="E274" s="14">
        <f t="shared" si="17"/>
        <v>481</v>
      </c>
      <c r="F274" s="10">
        <f t="shared" si="17"/>
        <v>0</v>
      </c>
      <c r="G274" s="14">
        <f t="shared" si="17"/>
        <v>0</v>
      </c>
      <c r="H274" s="41">
        <f t="shared" si="17"/>
        <v>0</v>
      </c>
      <c r="I274" s="10">
        <f t="shared" si="17"/>
        <v>0</v>
      </c>
      <c r="J274" s="10">
        <f t="shared" si="18"/>
        <v>0</v>
      </c>
      <c r="K274" s="118">
        <f t="shared" si="19"/>
        <v>294825.60362173035</v>
      </c>
    </row>
    <row r="275" spans="1:11" x14ac:dyDescent="0.25">
      <c r="A275" s="49">
        <f>'A) Base RI'!A274</f>
        <v>5872</v>
      </c>
      <c r="B275" s="32" t="str">
        <f>'A) Base RI'!B274</f>
        <v>Le Chenit</v>
      </c>
      <c r="C275" s="14">
        <f>'A) Base RI'!AO274</f>
        <v>4657</v>
      </c>
      <c r="D275" s="10">
        <f t="shared" si="16"/>
        <v>1000</v>
      </c>
      <c r="E275" s="14">
        <f t="shared" si="17"/>
        <v>2000</v>
      </c>
      <c r="F275" s="10">
        <f t="shared" si="17"/>
        <v>1657</v>
      </c>
      <c r="G275" s="14">
        <f t="shared" si="17"/>
        <v>0</v>
      </c>
      <c r="H275" s="41">
        <f t="shared" si="17"/>
        <v>0</v>
      </c>
      <c r="I275" s="10">
        <f t="shared" si="17"/>
        <v>0</v>
      </c>
      <c r="J275" s="10">
        <f t="shared" si="18"/>
        <v>0</v>
      </c>
      <c r="K275" s="118">
        <f t="shared" si="19"/>
        <v>1661817.4044265593</v>
      </c>
    </row>
    <row r="276" spans="1:11" x14ac:dyDescent="0.25">
      <c r="A276" s="49">
        <f>'A) Base RI'!A275</f>
        <v>5873</v>
      </c>
      <c r="B276" s="32" t="str">
        <f>'A) Base RI'!B275</f>
        <v>Le Lieu</v>
      </c>
      <c r="C276" s="14">
        <f>'A) Base RI'!AO275</f>
        <v>900</v>
      </c>
      <c r="D276" s="10">
        <f t="shared" si="16"/>
        <v>900</v>
      </c>
      <c r="E276" s="14">
        <f t="shared" si="17"/>
        <v>0</v>
      </c>
      <c r="F276" s="10">
        <f t="shared" si="17"/>
        <v>0</v>
      </c>
      <c r="G276" s="14">
        <f t="shared" si="17"/>
        <v>0</v>
      </c>
      <c r="H276" s="41">
        <f t="shared" si="17"/>
        <v>0</v>
      </c>
      <c r="I276" s="10">
        <f t="shared" si="17"/>
        <v>0</v>
      </c>
      <c r="J276" s="10">
        <f t="shared" si="18"/>
        <v>0</v>
      </c>
      <c r="K276" s="118">
        <f t="shared" si="19"/>
        <v>113065.8953722334</v>
      </c>
    </row>
    <row r="277" spans="1:11" x14ac:dyDescent="0.25">
      <c r="A277" s="49">
        <f>'A) Base RI'!A276</f>
        <v>5881</v>
      </c>
      <c r="B277" s="32" t="str">
        <f>'A) Base RI'!B276</f>
        <v>Blonay</v>
      </c>
      <c r="C277" s="14">
        <f>'A) Base RI'!AO276</f>
        <v>6151</v>
      </c>
      <c r="D277" s="10">
        <f t="shared" si="16"/>
        <v>1000</v>
      </c>
      <c r="E277" s="14">
        <f t="shared" si="17"/>
        <v>2000</v>
      </c>
      <c r="F277" s="10">
        <f t="shared" si="17"/>
        <v>2000</v>
      </c>
      <c r="G277" s="14">
        <f t="shared" si="17"/>
        <v>1151</v>
      </c>
      <c r="H277" s="41">
        <f t="shared" si="17"/>
        <v>0</v>
      </c>
      <c r="I277" s="10">
        <f t="shared" si="17"/>
        <v>0</v>
      </c>
      <c r="J277" s="10">
        <f t="shared" si="18"/>
        <v>0</v>
      </c>
      <c r="K277" s="118">
        <f t="shared" si="19"/>
        <v>2528253.9235412474</v>
      </c>
    </row>
    <row r="278" spans="1:11" x14ac:dyDescent="0.25">
      <c r="A278" s="49">
        <f>'A) Base RI'!A277</f>
        <v>5882</v>
      </c>
      <c r="B278" s="32" t="str">
        <f>'A) Base RI'!B277</f>
        <v>Chardonne</v>
      </c>
      <c r="C278" s="14">
        <f>'A) Base RI'!AO277</f>
        <v>3032</v>
      </c>
      <c r="D278" s="10">
        <f t="shared" si="16"/>
        <v>1000</v>
      </c>
      <c r="E278" s="14">
        <f t="shared" si="17"/>
        <v>2000</v>
      </c>
      <c r="F278" s="10">
        <f t="shared" si="17"/>
        <v>32</v>
      </c>
      <c r="G278" s="14">
        <f t="shared" si="17"/>
        <v>0</v>
      </c>
      <c r="H278" s="41">
        <f t="shared" si="17"/>
        <v>0</v>
      </c>
      <c r="I278" s="10">
        <f t="shared" si="17"/>
        <v>0</v>
      </c>
      <c r="J278" s="10">
        <f t="shared" si="18"/>
        <v>0</v>
      </c>
      <c r="K278" s="118">
        <f t="shared" si="19"/>
        <v>845230.38229376252</v>
      </c>
    </row>
    <row r="279" spans="1:11" x14ac:dyDescent="0.25">
      <c r="A279" s="49">
        <f>'A) Base RI'!A278</f>
        <v>5883</v>
      </c>
      <c r="B279" s="32" t="str">
        <f>'A) Base RI'!B278</f>
        <v>Corseaux</v>
      </c>
      <c r="C279" s="14">
        <f>'A) Base RI'!AO278</f>
        <v>2287</v>
      </c>
      <c r="D279" s="10">
        <f t="shared" si="16"/>
        <v>1000</v>
      </c>
      <c r="E279" s="14">
        <f t="shared" si="17"/>
        <v>1287</v>
      </c>
      <c r="F279" s="10">
        <f t="shared" si="17"/>
        <v>0</v>
      </c>
      <c r="G279" s="14">
        <f t="shared" si="17"/>
        <v>0</v>
      </c>
      <c r="H279" s="41">
        <f t="shared" si="17"/>
        <v>0</v>
      </c>
      <c r="I279" s="10">
        <f t="shared" si="17"/>
        <v>0</v>
      </c>
      <c r="J279" s="10">
        <f t="shared" si="18"/>
        <v>0</v>
      </c>
      <c r="K279" s="118">
        <f t="shared" si="19"/>
        <v>578344.61770623736</v>
      </c>
    </row>
    <row r="280" spans="1:11" x14ac:dyDescent="0.25">
      <c r="A280" s="49">
        <f>'A) Base RI'!A279</f>
        <v>5884</v>
      </c>
      <c r="B280" s="32" t="str">
        <f>'A) Base RI'!B279</f>
        <v>Corsier-sur-Vevey</v>
      </c>
      <c r="C280" s="14">
        <f>'A) Base RI'!AO279</f>
        <v>3363</v>
      </c>
      <c r="D280" s="10">
        <f t="shared" si="16"/>
        <v>1000</v>
      </c>
      <c r="E280" s="14">
        <f t="shared" si="17"/>
        <v>2000</v>
      </c>
      <c r="F280" s="10">
        <f t="shared" si="17"/>
        <v>363</v>
      </c>
      <c r="G280" s="14">
        <f t="shared" si="17"/>
        <v>0</v>
      </c>
      <c r="H280" s="41">
        <f t="shared" si="17"/>
        <v>0</v>
      </c>
      <c r="I280" s="10">
        <f t="shared" si="17"/>
        <v>0</v>
      </c>
      <c r="J280" s="10">
        <f t="shared" si="18"/>
        <v>0</v>
      </c>
      <c r="K280" s="118">
        <f t="shared" si="19"/>
        <v>1011562.8772635814</v>
      </c>
    </row>
    <row r="281" spans="1:11" x14ac:dyDescent="0.25">
      <c r="A281" s="49">
        <f>'A) Base RI'!A280</f>
        <v>5885</v>
      </c>
      <c r="B281" s="32" t="str">
        <f>'A) Base RI'!B280</f>
        <v>Jongny</v>
      </c>
      <c r="C281" s="14">
        <f>'A) Base RI'!AO280</f>
        <v>1544</v>
      </c>
      <c r="D281" s="10">
        <f t="shared" si="16"/>
        <v>1000</v>
      </c>
      <c r="E281" s="14">
        <f t="shared" si="17"/>
        <v>544</v>
      </c>
      <c r="F281" s="10">
        <f t="shared" si="17"/>
        <v>0</v>
      </c>
      <c r="G281" s="14">
        <f t="shared" si="17"/>
        <v>0</v>
      </c>
      <c r="H281" s="41">
        <f t="shared" si="17"/>
        <v>0</v>
      </c>
      <c r="I281" s="10">
        <f t="shared" si="17"/>
        <v>0</v>
      </c>
      <c r="J281" s="10">
        <f t="shared" si="18"/>
        <v>0</v>
      </c>
      <c r="K281" s="118">
        <f t="shared" si="19"/>
        <v>316986.5191146881</v>
      </c>
    </row>
    <row r="282" spans="1:11" x14ac:dyDescent="0.25">
      <c r="A282" s="49">
        <f>'A) Base RI'!A281</f>
        <v>5886</v>
      </c>
      <c r="B282" s="32" t="str">
        <f>'A) Base RI'!B281</f>
        <v>Montreux</v>
      </c>
      <c r="C282" s="14">
        <f>'A) Base RI'!AO281</f>
        <v>26065</v>
      </c>
      <c r="D282" s="10">
        <f t="shared" si="16"/>
        <v>1000</v>
      </c>
      <c r="E282" s="14">
        <f t="shared" si="17"/>
        <v>2000</v>
      </c>
      <c r="F282" s="10">
        <f t="shared" si="17"/>
        <v>2000</v>
      </c>
      <c r="G282" s="14">
        <f t="shared" si="17"/>
        <v>4000</v>
      </c>
      <c r="H282" s="41">
        <f t="shared" si="17"/>
        <v>3000</v>
      </c>
      <c r="I282" s="10">
        <f t="shared" si="17"/>
        <v>3000</v>
      </c>
      <c r="J282" s="10">
        <f t="shared" si="18"/>
        <v>11065</v>
      </c>
      <c r="K282" s="118">
        <f t="shared" si="19"/>
        <v>21500861.921529174</v>
      </c>
    </row>
    <row r="283" spans="1:11" x14ac:dyDescent="0.25">
      <c r="A283" s="49">
        <f>'A) Base RI'!A282</f>
        <v>5888</v>
      </c>
      <c r="B283" s="32" t="str">
        <f>'A) Base RI'!B282</f>
        <v>Saint-Légier-La Chiésaz</v>
      </c>
      <c r="C283" s="14">
        <f>'A) Base RI'!AO282</f>
        <v>5243</v>
      </c>
      <c r="D283" s="10">
        <f t="shared" si="16"/>
        <v>1000</v>
      </c>
      <c r="E283" s="14">
        <f t="shared" si="17"/>
        <v>2000</v>
      </c>
      <c r="F283" s="10">
        <f t="shared" si="17"/>
        <v>2000</v>
      </c>
      <c r="G283" s="14">
        <f t="shared" si="17"/>
        <v>243</v>
      </c>
      <c r="H283" s="41">
        <f t="shared" si="17"/>
        <v>0</v>
      </c>
      <c r="I283" s="10">
        <f t="shared" si="17"/>
        <v>0</v>
      </c>
      <c r="J283" s="10">
        <f t="shared" si="18"/>
        <v>0</v>
      </c>
      <c r="K283" s="118">
        <f t="shared" si="19"/>
        <v>1980713.480885312</v>
      </c>
    </row>
    <row r="284" spans="1:11" x14ac:dyDescent="0.25">
      <c r="A284" s="49">
        <f>'A) Base RI'!A283</f>
        <v>5889</v>
      </c>
      <c r="B284" s="32" t="str">
        <f>'A) Base RI'!B283</f>
        <v>La Tour-de-Peilz</v>
      </c>
      <c r="C284" s="14">
        <f>'A) Base RI'!AO283</f>
        <v>11906</v>
      </c>
      <c r="D284" s="10">
        <f t="shared" si="16"/>
        <v>1000</v>
      </c>
      <c r="E284" s="14">
        <f t="shared" si="17"/>
        <v>2000</v>
      </c>
      <c r="F284" s="10">
        <f t="shared" si="17"/>
        <v>2000</v>
      </c>
      <c r="G284" s="14">
        <f t="shared" si="17"/>
        <v>4000</v>
      </c>
      <c r="H284" s="41">
        <f t="shared" si="17"/>
        <v>2906</v>
      </c>
      <c r="I284" s="10">
        <f t="shared" si="17"/>
        <v>0</v>
      </c>
      <c r="J284" s="10">
        <f t="shared" si="18"/>
        <v>0</v>
      </c>
      <c r="K284" s="118">
        <f t="shared" si="19"/>
        <v>6728777.5653923545</v>
      </c>
    </row>
    <row r="285" spans="1:11" x14ac:dyDescent="0.25">
      <c r="A285" s="49">
        <f>'A) Base RI'!A284</f>
        <v>5890</v>
      </c>
      <c r="B285" s="32" t="str">
        <f>'A) Base RI'!B284</f>
        <v>Vevey</v>
      </c>
      <c r="C285" s="14">
        <f>'A) Base RI'!AO284</f>
        <v>19871</v>
      </c>
      <c r="D285" s="10">
        <f t="shared" si="16"/>
        <v>1000</v>
      </c>
      <c r="E285" s="14">
        <f t="shared" si="17"/>
        <v>2000</v>
      </c>
      <c r="F285" s="10">
        <f t="shared" si="17"/>
        <v>2000</v>
      </c>
      <c r="G285" s="14">
        <f t="shared" si="17"/>
        <v>4000</v>
      </c>
      <c r="H285" s="41">
        <f t="shared" si="17"/>
        <v>3000</v>
      </c>
      <c r="I285" s="10">
        <f t="shared" si="17"/>
        <v>3000</v>
      </c>
      <c r="J285" s="10">
        <f t="shared" si="18"/>
        <v>4871</v>
      </c>
      <c r="K285" s="118">
        <f t="shared" si="19"/>
        <v>14964447.132796781</v>
      </c>
    </row>
    <row r="286" spans="1:11" x14ac:dyDescent="0.25">
      <c r="A286" s="49">
        <f>'A) Base RI'!A285</f>
        <v>5891</v>
      </c>
      <c r="B286" s="32" t="str">
        <f>'A) Base RI'!B285</f>
        <v>Veytaux</v>
      </c>
      <c r="C286" s="14">
        <f>'A) Base RI'!AO285</f>
        <v>922</v>
      </c>
      <c r="D286" s="10">
        <f t="shared" si="16"/>
        <v>922</v>
      </c>
      <c r="E286" s="14">
        <f t="shared" si="17"/>
        <v>0</v>
      </c>
      <c r="F286" s="10">
        <f t="shared" si="17"/>
        <v>0</v>
      </c>
      <c r="G286" s="14">
        <f t="shared" si="17"/>
        <v>0</v>
      </c>
      <c r="H286" s="41">
        <f t="shared" si="17"/>
        <v>0</v>
      </c>
      <c r="I286" s="10">
        <f t="shared" si="17"/>
        <v>0</v>
      </c>
      <c r="J286" s="10">
        <f t="shared" si="18"/>
        <v>0</v>
      </c>
      <c r="K286" s="118">
        <f t="shared" si="19"/>
        <v>115829.72837022132</v>
      </c>
    </row>
    <row r="287" spans="1:11" x14ac:dyDescent="0.25">
      <c r="A287" s="49">
        <f>'A) Base RI'!A286</f>
        <v>5902</v>
      </c>
      <c r="B287" s="32" t="str">
        <f>'A) Base RI'!B286</f>
        <v>Belmont-sur-Yverdon</v>
      </c>
      <c r="C287" s="14">
        <f>'A) Base RI'!AO286</f>
        <v>374</v>
      </c>
      <c r="D287" s="10">
        <f t="shared" si="16"/>
        <v>374</v>
      </c>
      <c r="E287" s="14">
        <f t="shared" si="17"/>
        <v>0</v>
      </c>
      <c r="F287" s="10">
        <f t="shared" si="17"/>
        <v>0</v>
      </c>
      <c r="G287" s="14">
        <f t="shared" si="17"/>
        <v>0</v>
      </c>
      <c r="H287" s="41">
        <f t="shared" si="17"/>
        <v>0</v>
      </c>
      <c r="I287" s="10">
        <f t="shared" si="17"/>
        <v>0</v>
      </c>
      <c r="J287" s="10">
        <f t="shared" si="18"/>
        <v>0</v>
      </c>
      <c r="K287" s="118">
        <f t="shared" si="19"/>
        <v>46985.160965794763</v>
      </c>
    </row>
    <row r="288" spans="1:11" x14ac:dyDescent="0.25">
      <c r="A288" s="49">
        <f>'A) Base RI'!A287</f>
        <v>5903</v>
      </c>
      <c r="B288" s="32" t="str">
        <f>'A) Base RI'!B287</f>
        <v>Bioley-Magnoux</v>
      </c>
      <c r="C288" s="14">
        <f>'A) Base RI'!AO287</f>
        <v>228</v>
      </c>
      <c r="D288" s="10">
        <f t="shared" si="16"/>
        <v>228</v>
      </c>
      <c r="E288" s="14">
        <f t="shared" si="17"/>
        <v>0</v>
      </c>
      <c r="F288" s="10">
        <f t="shared" si="17"/>
        <v>0</v>
      </c>
      <c r="G288" s="14">
        <f t="shared" si="17"/>
        <v>0</v>
      </c>
      <c r="H288" s="41">
        <f t="shared" si="17"/>
        <v>0</v>
      </c>
      <c r="I288" s="10">
        <f t="shared" si="17"/>
        <v>0</v>
      </c>
      <c r="J288" s="10">
        <f t="shared" si="18"/>
        <v>0</v>
      </c>
      <c r="K288" s="118">
        <f t="shared" si="19"/>
        <v>28643.360160965793</v>
      </c>
    </row>
    <row r="289" spans="1:11" x14ac:dyDescent="0.25">
      <c r="A289" s="49">
        <f>'A) Base RI'!A288</f>
        <v>5904</v>
      </c>
      <c r="B289" s="32" t="str">
        <f>'A) Base RI'!B288</f>
        <v>Chamblon</v>
      </c>
      <c r="C289" s="14">
        <f>'A) Base RI'!AO288</f>
        <v>540</v>
      </c>
      <c r="D289" s="10">
        <f t="shared" si="16"/>
        <v>540</v>
      </c>
      <c r="E289" s="14">
        <f t="shared" si="17"/>
        <v>0</v>
      </c>
      <c r="F289" s="10">
        <f t="shared" si="17"/>
        <v>0</v>
      </c>
      <c r="G289" s="14">
        <f t="shared" si="17"/>
        <v>0</v>
      </c>
      <c r="H289" s="41">
        <f t="shared" si="17"/>
        <v>0</v>
      </c>
      <c r="I289" s="10">
        <f t="shared" si="17"/>
        <v>0</v>
      </c>
      <c r="J289" s="10">
        <f t="shared" si="18"/>
        <v>0</v>
      </c>
      <c r="K289" s="118">
        <f t="shared" si="19"/>
        <v>67839.537223340041</v>
      </c>
    </row>
    <row r="290" spans="1:11" x14ac:dyDescent="0.25">
      <c r="A290" s="49">
        <f>'A) Base RI'!A289</f>
        <v>5905</v>
      </c>
      <c r="B290" s="32" t="str">
        <f>'A) Base RI'!B289</f>
        <v>Champvent</v>
      </c>
      <c r="C290" s="14">
        <f>'A) Base RI'!AO289</f>
        <v>689</v>
      </c>
      <c r="D290" s="10">
        <f t="shared" si="16"/>
        <v>689</v>
      </c>
      <c r="E290" s="14">
        <f t="shared" si="17"/>
        <v>0</v>
      </c>
      <c r="F290" s="10">
        <f t="shared" si="17"/>
        <v>0</v>
      </c>
      <c r="G290" s="14">
        <f t="shared" si="17"/>
        <v>0</v>
      </c>
      <c r="H290" s="41">
        <f t="shared" si="17"/>
        <v>0</v>
      </c>
      <c r="I290" s="10">
        <f t="shared" si="17"/>
        <v>0</v>
      </c>
      <c r="J290" s="10">
        <f t="shared" si="18"/>
        <v>0</v>
      </c>
      <c r="K290" s="118">
        <f t="shared" si="19"/>
        <v>86558.224346076458</v>
      </c>
    </row>
    <row r="291" spans="1:11" x14ac:dyDescent="0.25">
      <c r="A291" s="49">
        <f>'A) Base RI'!A290</f>
        <v>5907</v>
      </c>
      <c r="B291" s="32" t="str">
        <f>'A) Base RI'!B290</f>
        <v>Chavannes-le-Chêne</v>
      </c>
      <c r="C291" s="14">
        <f>'A) Base RI'!AO290</f>
        <v>311</v>
      </c>
      <c r="D291" s="10">
        <f t="shared" si="16"/>
        <v>311</v>
      </c>
      <c r="E291" s="14">
        <f t="shared" si="17"/>
        <v>0</v>
      </c>
      <c r="F291" s="10">
        <f t="shared" si="17"/>
        <v>0</v>
      </c>
      <c r="G291" s="14">
        <f t="shared" si="17"/>
        <v>0</v>
      </c>
      <c r="H291" s="41">
        <f t="shared" si="17"/>
        <v>0</v>
      </c>
      <c r="I291" s="10">
        <f t="shared" si="17"/>
        <v>0</v>
      </c>
      <c r="J291" s="10">
        <f t="shared" si="18"/>
        <v>0</v>
      </c>
      <c r="K291" s="118">
        <f t="shared" si="19"/>
        <v>39070.548289738428</v>
      </c>
    </row>
    <row r="292" spans="1:11" x14ac:dyDescent="0.25">
      <c r="A292" s="49">
        <f>'A) Base RI'!A291</f>
        <v>5908</v>
      </c>
      <c r="B292" s="32" t="str">
        <f>'A) Base RI'!B291</f>
        <v>Chêne-Pâquier</v>
      </c>
      <c r="C292" s="14">
        <f>'A) Base RI'!AO291</f>
        <v>153</v>
      </c>
      <c r="D292" s="10">
        <f t="shared" si="16"/>
        <v>153</v>
      </c>
      <c r="E292" s="14">
        <f t="shared" si="17"/>
        <v>0</v>
      </c>
      <c r="F292" s="10">
        <f t="shared" si="17"/>
        <v>0</v>
      </c>
      <c r="G292" s="14">
        <f t="shared" si="17"/>
        <v>0</v>
      </c>
      <c r="H292" s="41">
        <f t="shared" si="17"/>
        <v>0</v>
      </c>
      <c r="I292" s="10">
        <f t="shared" si="17"/>
        <v>0</v>
      </c>
      <c r="J292" s="10">
        <f t="shared" si="18"/>
        <v>0</v>
      </c>
      <c r="K292" s="118">
        <f t="shared" si="19"/>
        <v>19221.202213279677</v>
      </c>
    </row>
    <row r="293" spans="1:11" x14ac:dyDescent="0.25">
      <c r="A293" s="49">
        <f>'A) Base RI'!A292</f>
        <v>5909</v>
      </c>
      <c r="B293" s="32" t="str">
        <f>'A) Base RI'!B292</f>
        <v>Cheseaux-Noréaz</v>
      </c>
      <c r="C293" s="14">
        <f>'A) Base RI'!AO292</f>
        <v>725</v>
      </c>
      <c r="D293" s="10">
        <f t="shared" si="16"/>
        <v>725</v>
      </c>
      <c r="E293" s="14">
        <f t="shared" si="17"/>
        <v>0</v>
      </c>
      <c r="F293" s="10">
        <f t="shared" si="17"/>
        <v>0</v>
      </c>
      <c r="G293" s="14">
        <f t="shared" si="17"/>
        <v>0</v>
      </c>
      <c r="H293" s="41">
        <f t="shared" si="17"/>
        <v>0</v>
      </c>
      <c r="I293" s="10">
        <f t="shared" si="17"/>
        <v>0</v>
      </c>
      <c r="J293" s="10">
        <f t="shared" si="18"/>
        <v>0</v>
      </c>
      <c r="K293" s="118">
        <f t="shared" si="19"/>
        <v>91080.860160965793</v>
      </c>
    </row>
    <row r="294" spans="1:11" x14ac:dyDescent="0.25">
      <c r="A294" s="49">
        <f>'A) Base RI'!A293</f>
        <v>5910</v>
      </c>
      <c r="B294" s="32" t="str">
        <f>'A) Base RI'!B293</f>
        <v>Cronay</v>
      </c>
      <c r="C294" s="14">
        <f>'A) Base RI'!AO293</f>
        <v>394</v>
      </c>
      <c r="D294" s="10">
        <f t="shared" si="16"/>
        <v>394</v>
      </c>
      <c r="E294" s="14">
        <f t="shared" si="17"/>
        <v>0</v>
      </c>
      <c r="F294" s="10">
        <f t="shared" si="17"/>
        <v>0</v>
      </c>
      <c r="G294" s="14">
        <f t="shared" si="17"/>
        <v>0</v>
      </c>
      <c r="H294" s="41">
        <f t="shared" si="17"/>
        <v>0</v>
      </c>
      <c r="I294" s="10">
        <f t="shared" si="17"/>
        <v>0</v>
      </c>
      <c r="J294" s="10">
        <f t="shared" si="18"/>
        <v>0</v>
      </c>
      <c r="K294" s="118">
        <f t="shared" si="19"/>
        <v>49497.736418511064</v>
      </c>
    </row>
    <row r="295" spans="1:11" x14ac:dyDescent="0.25">
      <c r="A295" s="49">
        <f>'A) Base RI'!A294</f>
        <v>5911</v>
      </c>
      <c r="B295" s="32" t="str">
        <f>'A) Base RI'!B294</f>
        <v>Cuarny</v>
      </c>
      <c r="C295" s="14">
        <f>'A) Base RI'!AO294</f>
        <v>239</v>
      </c>
      <c r="D295" s="10">
        <f t="shared" si="16"/>
        <v>239</v>
      </c>
      <c r="E295" s="14">
        <f t="shared" si="17"/>
        <v>0</v>
      </c>
      <c r="F295" s="10">
        <f t="shared" si="17"/>
        <v>0</v>
      </c>
      <c r="G295" s="14">
        <f t="shared" si="17"/>
        <v>0</v>
      </c>
      <c r="H295" s="41">
        <f t="shared" si="17"/>
        <v>0</v>
      </c>
      <c r="I295" s="10">
        <f t="shared" si="17"/>
        <v>0</v>
      </c>
      <c r="J295" s="10">
        <f t="shared" si="18"/>
        <v>0</v>
      </c>
      <c r="K295" s="118">
        <f t="shared" si="19"/>
        <v>30025.276659959756</v>
      </c>
    </row>
    <row r="296" spans="1:11" x14ac:dyDescent="0.25">
      <c r="A296" s="49">
        <f>'A) Base RI'!A295</f>
        <v>5912</v>
      </c>
      <c r="B296" s="32" t="str">
        <f>'A) Base RI'!B295</f>
        <v>Démoret</v>
      </c>
      <c r="C296" s="14">
        <f>'A) Base RI'!AO295</f>
        <v>156</v>
      </c>
      <c r="D296" s="10">
        <f t="shared" si="16"/>
        <v>156</v>
      </c>
      <c r="E296" s="14">
        <f t="shared" si="17"/>
        <v>0</v>
      </c>
      <c r="F296" s="10">
        <f t="shared" si="17"/>
        <v>0</v>
      </c>
      <c r="G296" s="14">
        <f t="shared" si="17"/>
        <v>0</v>
      </c>
      <c r="H296" s="41">
        <f t="shared" si="17"/>
        <v>0</v>
      </c>
      <c r="I296" s="10">
        <f t="shared" si="17"/>
        <v>0</v>
      </c>
      <c r="J296" s="10">
        <f t="shared" si="18"/>
        <v>0</v>
      </c>
      <c r="K296" s="118">
        <f t="shared" si="19"/>
        <v>19598.088531187121</v>
      </c>
    </row>
    <row r="297" spans="1:11" x14ac:dyDescent="0.25">
      <c r="A297" s="49">
        <f>'A) Base RI'!A296</f>
        <v>5913</v>
      </c>
      <c r="B297" s="32" t="str">
        <f>'A) Base RI'!B296</f>
        <v>Donneloye</v>
      </c>
      <c r="C297" s="14">
        <f>'A) Base RI'!AO296</f>
        <v>823</v>
      </c>
      <c r="D297" s="10">
        <f t="shared" si="16"/>
        <v>823</v>
      </c>
      <c r="E297" s="14">
        <f t="shared" si="17"/>
        <v>0</v>
      </c>
      <c r="F297" s="10">
        <f t="shared" si="17"/>
        <v>0</v>
      </c>
      <c r="G297" s="14">
        <f t="shared" si="17"/>
        <v>0</v>
      </c>
      <c r="H297" s="41">
        <f t="shared" si="17"/>
        <v>0</v>
      </c>
      <c r="I297" s="10">
        <f t="shared" si="17"/>
        <v>0</v>
      </c>
      <c r="J297" s="10">
        <f t="shared" si="18"/>
        <v>0</v>
      </c>
      <c r="K297" s="118">
        <f t="shared" si="19"/>
        <v>103392.47987927565</v>
      </c>
    </row>
    <row r="298" spans="1:11" x14ac:dyDescent="0.25">
      <c r="A298" s="49">
        <f>'A) Base RI'!A297</f>
        <v>5914</v>
      </c>
      <c r="B298" s="32" t="str">
        <f>'A) Base RI'!B297</f>
        <v>Ependes</v>
      </c>
      <c r="C298" s="14">
        <f>'A) Base RI'!AO297</f>
        <v>357</v>
      </c>
      <c r="D298" s="10">
        <f t="shared" si="16"/>
        <v>357</v>
      </c>
      <c r="E298" s="14">
        <f t="shared" si="17"/>
        <v>0</v>
      </c>
      <c r="F298" s="10">
        <f t="shared" si="17"/>
        <v>0</v>
      </c>
      <c r="G298" s="14">
        <f t="shared" si="17"/>
        <v>0</v>
      </c>
      <c r="H298" s="41">
        <f t="shared" si="17"/>
        <v>0</v>
      </c>
      <c r="I298" s="10">
        <f t="shared" si="17"/>
        <v>0</v>
      </c>
      <c r="J298" s="10">
        <f t="shared" si="18"/>
        <v>0</v>
      </c>
      <c r="K298" s="118">
        <f t="shared" si="19"/>
        <v>44849.471830985916</v>
      </c>
    </row>
    <row r="299" spans="1:11" x14ac:dyDescent="0.25">
      <c r="A299" s="49">
        <f>'A) Base RI'!A298</f>
        <v>5919</v>
      </c>
      <c r="B299" s="32" t="str">
        <f>'A) Base RI'!B298</f>
        <v>Mathod</v>
      </c>
      <c r="C299" s="14">
        <f>'A) Base RI'!AO298</f>
        <v>601</v>
      </c>
      <c r="D299" s="10">
        <f t="shared" ref="D299:D316" si="20">IF($C299&gt;D$4,IF($C299&lt;D$5,$C299-D$4,D$5-D$4),0)</f>
        <v>601</v>
      </c>
      <c r="E299" s="14">
        <f t="shared" si="17"/>
        <v>0</v>
      </c>
      <c r="F299" s="10">
        <f t="shared" si="17"/>
        <v>0</v>
      </c>
      <c r="G299" s="14">
        <f t="shared" si="17"/>
        <v>0</v>
      </c>
      <c r="H299" s="41">
        <f t="shared" si="17"/>
        <v>0</v>
      </c>
      <c r="I299" s="10">
        <f t="shared" si="17"/>
        <v>0</v>
      </c>
      <c r="J299" s="10">
        <f t="shared" si="18"/>
        <v>0</v>
      </c>
      <c r="K299" s="118">
        <f t="shared" si="19"/>
        <v>75502.89235412475</v>
      </c>
    </row>
    <row r="300" spans="1:11" x14ac:dyDescent="0.25">
      <c r="A300" s="49">
        <f>'A) Base RI'!A299</f>
        <v>5921</v>
      </c>
      <c r="B300" s="32" t="str">
        <f>'A) Base RI'!B299</f>
        <v>Molondin</v>
      </c>
      <c r="C300" s="14">
        <f>'A) Base RI'!AO299</f>
        <v>240</v>
      </c>
      <c r="D300" s="10">
        <f t="shared" si="20"/>
        <v>240</v>
      </c>
      <c r="E300" s="14">
        <f t="shared" si="17"/>
        <v>0</v>
      </c>
      <c r="F300" s="10">
        <f t="shared" si="17"/>
        <v>0</v>
      </c>
      <c r="G300" s="14">
        <f t="shared" si="17"/>
        <v>0</v>
      </c>
      <c r="H300" s="41">
        <f t="shared" si="17"/>
        <v>0</v>
      </c>
      <c r="I300" s="10">
        <f t="shared" si="17"/>
        <v>0</v>
      </c>
      <c r="J300" s="10">
        <f t="shared" si="18"/>
        <v>0</v>
      </c>
      <c r="K300" s="118">
        <f t="shared" si="19"/>
        <v>30150.905432595573</v>
      </c>
    </row>
    <row r="301" spans="1:11" x14ac:dyDescent="0.25">
      <c r="A301" s="49">
        <f>'A) Base RI'!A300</f>
        <v>5922</v>
      </c>
      <c r="B301" s="32" t="str">
        <f>'A) Base RI'!B300</f>
        <v>Montagny-près-Yverdon</v>
      </c>
      <c r="C301" s="14">
        <f>'A) Base RI'!AO300</f>
        <v>747</v>
      </c>
      <c r="D301" s="10">
        <f t="shared" si="20"/>
        <v>747</v>
      </c>
      <c r="E301" s="14">
        <f t="shared" si="17"/>
        <v>0</v>
      </c>
      <c r="F301" s="10">
        <f t="shared" si="17"/>
        <v>0</v>
      </c>
      <c r="G301" s="14">
        <f t="shared" si="17"/>
        <v>0</v>
      </c>
      <c r="H301" s="41">
        <f t="shared" si="17"/>
        <v>0</v>
      </c>
      <c r="I301" s="10">
        <f t="shared" si="17"/>
        <v>0</v>
      </c>
      <c r="J301" s="10">
        <f t="shared" si="18"/>
        <v>0</v>
      </c>
      <c r="K301" s="118">
        <f t="shared" si="19"/>
        <v>93844.693158953713</v>
      </c>
    </row>
    <row r="302" spans="1:11" x14ac:dyDescent="0.25">
      <c r="A302" s="49">
        <f>'A) Base RI'!A301</f>
        <v>5923</v>
      </c>
      <c r="B302" s="32" t="str">
        <f>'A) Base RI'!B301</f>
        <v>Oppens</v>
      </c>
      <c r="C302" s="14">
        <f>'A) Base RI'!AO301</f>
        <v>202</v>
      </c>
      <c r="D302" s="10">
        <f t="shared" si="20"/>
        <v>202</v>
      </c>
      <c r="E302" s="14">
        <f t="shared" si="17"/>
        <v>0</v>
      </c>
      <c r="F302" s="10">
        <f t="shared" si="17"/>
        <v>0</v>
      </c>
      <c r="G302" s="14">
        <f t="shared" si="17"/>
        <v>0</v>
      </c>
      <c r="H302" s="41">
        <f t="shared" si="17"/>
        <v>0</v>
      </c>
      <c r="I302" s="10">
        <f t="shared" si="17"/>
        <v>0</v>
      </c>
      <c r="J302" s="10">
        <f t="shared" si="18"/>
        <v>0</v>
      </c>
      <c r="K302" s="118">
        <f t="shared" si="19"/>
        <v>25377.012072434605</v>
      </c>
    </row>
    <row r="303" spans="1:11" x14ac:dyDescent="0.25">
      <c r="A303" s="49">
        <f>'A) Base RI'!A302</f>
        <v>5924</v>
      </c>
      <c r="B303" s="32" t="str">
        <f>'A) Base RI'!B302</f>
        <v>Orges</v>
      </c>
      <c r="C303" s="14">
        <f>'A) Base RI'!AO302</f>
        <v>332</v>
      </c>
      <c r="D303" s="10">
        <f t="shared" si="20"/>
        <v>332</v>
      </c>
      <c r="E303" s="14">
        <f t="shared" si="17"/>
        <v>0</v>
      </c>
      <c r="F303" s="10">
        <f t="shared" si="17"/>
        <v>0</v>
      </c>
      <c r="G303" s="14">
        <f t="shared" si="17"/>
        <v>0</v>
      </c>
      <c r="H303" s="41">
        <f t="shared" si="17"/>
        <v>0</v>
      </c>
      <c r="I303" s="10">
        <f t="shared" si="17"/>
        <v>0</v>
      </c>
      <c r="J303" s="10">
        <f t="shared" si="18"/>
        <v>0</v>
      </c>
      <c r="K303" s="118">
        <f t="shared" si="19"/>
        <v>41708.752515090542</v>
      </c>
    </row>
    <row r="304" spans="1:11" x14ac:dyDescent="0.25">
      <c r="A304" s="49">
        <f>'A) Base RI'!A303</f>
        <v>5925</v>
      </c>
      <c r="B304" s="32" t="str">
        <f>'A) Base RI'!B303</f>
        <v>Orzens</v>
      </c>
      <c r="C304" s="14">
        <f>'A) Base RI'!AO303</f>
        <v>208</v>
      </c>
      <c r="D304" s="10">
        <f t="shared" si="20"/>
        <v>208</v>
      </c>
      <c r="E304" s="14">
        <f t="shared" si="17"/>
        <v>0</v>
      </c>
      <c r="F304" s="10">
        <f t="shared" si="17"/>
        <v>0</v>
      </c>
      <c r="G304" s="14">
        <f t="shared" si="17"/>
        <v>0</v>
      </c>
      <c r="H304" s="41">
        <f t="shared" si="17"/>
        <v>0</v>
      </c>
      <c r="I304" s="10">
        <f t="shared" si="17"/>
        <v>0</v>
      </c>
      <c r="J304" s="10">
        <f t="shared" si="18"/>
        <v>0</v>
      </c>
      <c r="K304" s="118">
        <f t="shared" si="19"/>
        <v>26130.784708249495</v>
      </c>
    </row>
    <row r="305" spans="1:11" x14ac:dyDescent="0.25">
      <c r="A305" s="49">
        <f>'A) Base RI'!A304</f>
        <v>5926</v>
      </c>
      <c r="B305" s="32" t="str">
        <f>'A) Base RI'!B304</f>
        <v>Pomy</v>
      </c>
      <c r="C305" s="14">
        <f>'A) Base RI'!AO304</f>
        <v>793</v>
      </c>
      <c r="D305" s="10">
        <f t="shared" si="20"/>
        <v>793</v>
      </c>
      <c r="E305" s="14">
        <f t="shared" si="17"/>
        <v>0</v>
      </c>
      <c r="F305" s="10">
        <f t="shared" si="17"/>
        <v>0</v>
      </c>
      <c r="G305" s="14">
        <f t="shared" si="17"/>
        <v>0</v>
      </c>
      <c r="H305" s="41">
        <f t="shared" si="17"/>
        <v>0</v>
      </c>
      <c r="I305" s="10">
        <f t="shared" si="17"/>
        <v>0</v>
      </c>
      <c r="J305" s="10">
        <f t="shared" si="18"/>
        <v>0</v>
      </c>
      <c r="K305" s="118">
        <f t="shared" si="19"/>
        <v>99623.616700201208</v>
      </c>
    </row>
    <row r="306" spans="1:11" x14ac:dyDescent="0.25">
      <c r="A306" s="49">
        <f>'A) Base RI'!A305</f>
        <v>5928</v>
      </c>
      <c r="B306" s="32" t="str">
        <f>'A) Base RI'!B305</f>
        <v>Rovray</v>
      </c>
      <c r="C306" s="14">
        <f>'A) Base RI'!AO305</f>
        <v>185</v>
      </c>
      <c r="D306" s="10">
        <f t="shared" si="20"/>
        <v>185</v>
      </c>
      <c r="E306" s="14">
        <f t="shared" si="17"/>
        <v>0</v>
      </c>
      <c r="F306" s="10">
        <f t="shared" si="17"/>
        <v>0</v>
      </c>
      <c r="G306" s="14">
        <f t="shared" si="17"/>
        <v>0</v>
      </c>
      <c r="H306" s="41">
        <f t="shared" si="17"/>
        <v>0</v>
      </c>
      <c r="I306" s="10">
        <f t="shared" si="17"/>
        <v>0</v>
      </c>
      <c r="J306" s="10">
        <f t="shared" si="18"/>
        <v>0</v>
      </c>
      <c r="K306" s="118">
        <f t="shared" si="19"/>
        <v>23241.322937625755</v>
      </c>
    </row>
    <row r="307" spans="1:11" x14ac:dyDescent="0.25">
      <c r="A307" s="49">
        <f>'A) Base RI'!A306</f>
        <v>5929</v>
      </c>
      <c r="B307" s="32" t="str">
        <f>'A) Base RI'!B306</f>
        <v>Suchy</v>
      </c>
      <c r="C307" s="14">
        <f>'A) Base RI'!AO306</f>
        <v>645</v>
      </c>
      <c r="D307" s="10">
        <f t="shared" si="20"/>
        <v>645</v>
      </c>
      <c r="E307" s="14">
        <f t="shared" si="17"/>
        <v>0</v>
      </c>
      <c r="F307" s="10">
        <f t="shared" si="17"/>
        <v>0</v>
      </c>
      <c r="G307" s="14">
        <f t="shared" si="17"/>
        <v>0</v>
      </c>
      <c r="H307" s="41">
        <f t="shared" si="17"/>
        <v>0</v>
      </c>
      <c r="I307" s="10">
        <f t="shared" si="17"/>
        <v>0</v>
      </c>
      <c r="J307" s="10">
        <f t="shared" si="18"/>
        <v>0</v>
      </c>
      <c r="K307" s="118">
        <f t="shared" si="19"/>
        <v>81030.558350100604</v>
      </c>
    </row>
    <row r="308" spans="1:11" x14ac:dyDescent="0.25">
      <c r="A308" s="49">
        <f>'A) Base RI'!A307</f>
        <v>5930</v>
      </c>
      <c r="B308" s="32" t="str">
        <f>'A) Base RI'!B307</f>
        <v>Suscévaz</v>
      </c>
      <c r="C308" s="14">
        <f>'A) Base RI'!AO307</f>
        <v>215</v>
      </c>
      <c r="D308" s="10">
        <f t="shared" si="20"/>
        <v>215</v>
      </c>
      <c r="E308" s="14">
        <f t="shared" si="17"/>
        <v>0</v>
      </c>
      <c r="F308" s="10">
        <f t="shared" si="17"/>
        <v>0</v>
      </c>
      <c r="G308" s="14">
        <f t="shared" si="17"/>
        <v>0</v>
      </c>
      <c r="H308" s="41">
        <f t="shared" si="17"/>
        <v>0</v>
      </c>
      <c r="I308" s="10">
        <f t="shared" si="17"/>
        <v>0</v>
      </c>
      <c r="J308" s="10">
        <f t="shared" si="18"/>
        <v>0</v>
      </c>
      <c r="K308" s="118">
        <f t="shared" si="19"/>
        <v>27010.186116700199</v>
      </c>
    </row>
    <row r="309" spans="1:11" x14ac:dyDescent="0.25">
      <c r="A309" s="49">
        <f>'A) Base RI'!A308</f>
        <v>5931</v>
      </c>
      <c r="B309" s="32" t="str">
        <f>'A) Base RI'!B308</f>
        <v>Treycovagnes</v>
      </c>
      <c r="C309" s="14">
        <f>'A) Base RI'!AO308</f>
        <v>492</v>
      </c>
      <c r="D309" s="10">
        <f t="shared" si="20"/>
        <v>492</v>
      </c>
      <c r="E309" s="14">
        <f t="shared" si="17"/>
        <v>0</v>
      </c>
      <c r="F309" s="10">
        <f t="shared" si="17"/>
        <v>0</v>
      </c>
      <c r="G309" s="14">
        <f t="shared" si="17"/>
        <v>0</v>
      </c>
      <c r="H309" s="41">
        <f t="shared" si="17"/>
        <v>0</v>
      </c>
      <c r="I309" s="10">
        <f t="shared" si="17"/>
        <v>0</v>
      </c>
      <c r="J309" s="10">
        <f t="shared" si="18"/>
        <v>0</v>
      </c>
      <c r="K309" s="118">
        <f t="shared" si="19"/>
        <v>61809.356136820919</v>
      </c>
    </row>
    <row r="310" spans="1:11" x14ac:dyDescent="0.25">
      <c r="A310" s="49">
        <f>'A) Base RI'!A309</f>
        <v>5932</v>
      </c>
      <c r="B310" s="32" t="str">
        <f>'A) Base RI'!B309</f>
        <v>Ursins</v>
      </c>
      <c r="C310" s="14">
        <f>'A) Base RI'!AO309</f>
        <v>225</v>
      </c>
      <c r="D310" s="10">
        <f t="shared" si="20"/>
        <v>225</v>
      </c>
      <c r="E310" s="14">
        <f t="shared" si="17"/>
        <v>0</v>
      </c>
      <c r="F310" s="10">
        <f t="shared" si="17"/>
        <v>0</v>
      </c>
      <c r="G310" s="14">
        <f t="shared" ref="E310:I316" si="21">IF($C310&gt;G$4,IF($C310&lt;G$5,$C310-G$4,G$5-G$4),0)</f>
        <v>0</v>
      </c>
      <c r="H310" s="41">
        <f t="shared" si="21"/>
        <v>0</v>
      </c>
      <c r="I310" s="10">
        <f t="shared" si="21"/>
        <v>0</v>
      </c>
      <c r="J310" s="10">
        <f t="shared" si="18"/>
        <v>0</v>
      </c>
      <c r="K310" s="118">
        <f t="shared" si="19"/>
        <v>28266.473843058349</v>
      </c>
    </row>
    <row r="311" spans="1:11" x14ac:dyDescent="0.25">
      <c r="A311" s="49">
        <f>'A) Base RI'!A310</f>
        <v>5933</v>
      </c>
      <c r="B311" s="32" t="str">
        <f>'A) Base RI'!B310</f>
        <v>Valeyres-sous-Montagny</v>
      </c>
      <c r="C311" s="14">
        <f>'A) Base RI'!AO310</f>
        <v>709</v>
      </c>
      <c r="D311" s="10">
        <f t="shared" si="20"/>
        <v>709</v>
      </c>
      <c r="E311" s="14">
        <f t="shared" si="21"/>
        <v>0</v>
      </c>
      <c r="F311" s="10">
        <f t="shared" si="21"/>
        <v>0</v>
      </c>
      <c r="G311" s="14">
        <f t="shared" si="21"/>
        <v>0</v>
      </c>
      <c r="H311" s="41">
        <f t="shared" si="21"/>
        <v>0</v>
      </c>
      <c r="I311" s="10">
        <f t="shared" si="21"/>
        <v>0</v>
      </c>
      <c r="J311" s="10">
        <f t="shared" si="18"/>
        <v>0</v>
      </c>
      <c r="K311" s="118">
        <f t="shared" si="19"/>
        <v>89070.799798792752</v>
      </c>
    </row>
    <row r="312" spans="1:11" x14ac:dyDescent="0.25">
      <c r="A312" s="49">
        <f>'A) Base RI'!A311</f>
        <v>5934</v>
      </c>
      <c r="B312" s="32" t="str">
        <f>'A) Base RI'!B311</f>
        <v>Valeyres-sous-Ursins</v>
      </c>
      <c r="C312" s="14">
        <f>'A) Base RI'!AO311</f>
        <v>227</v>
      </c>
      <c r="D312" s="10">
        <f t="shared" si="20"/>
        <v>227</v>
      </c>
      <c r="E312" s="14">
        <f t="shared" si="21"/>
        <v>0</v>
      </c>
      <c r="F312" s="10">
        <f t="shared" si="21"/>
        <v>0</v>
      </c>
      <c r="G312" s="14">
        <f t="shared" si="21"/>
        <v>0</v>
      </c>
      <c r="H312" s="41">
        <f t="shared" si="21"/>
        <v>0</v>
      </c>
      <c r="I312" s="10">
        <f t="shared" si="21"/>
        <v>0</v>
      </c>
      <c r="J312" s="10">
        <f t="shared" si="18"/>
        <v>0</v>
      </c>
      <c r="K312" s="118">
        <f t="shared" si="19"/>
        <v>28517.731388329979</v>
      </c>
    </row>
    <row r="313" spans="1:11" x14ac:dyDescent="0.25">
      <c r="A313" s="49">
        <f>'A) Base RI'!A312</f>
        <v>5935</v>
      </c>
      <c r="B313" s="32" t="str">
        <f>'A) Base RI'!B312</f>
        <v>Villars-Epeney</v>
      </c>
      <c r="C313" s="14">
        <f>'A) Base RI'!AO312</f>
        <v>102</v>
      </c>
      <c r="D313" s="10">
        <f t="shared" si="20"/>
        <v>102</v>
      </c>
      <c r="E313" s="14">
        <f t="shared" si="21"/>
        <v>0</v>
      </c>
      <c r="F313" s="10">
        <f t="shared" si="21"/>
        <v>0</v>
      </c>
      <c r="G313" s="14">
        <f t="shared" si="21"/>
        <v>0</v>
      </c>
      <c r="H313" s="41">
        <f t="shared" si="21"/>
        <v>0</v>
      </c>
      <c r="I313" s="10">
        <f t="shared" si="21"/>
        <v>0</v>
      </c>
      <c r="J313" s="10">
        <f t="shared" si="18"/>
        <v>0</v>
      </c>
      <c r="K313" s="118">
        <f t="shared" si="19"/>
        <v>12814.134808853118</v>
      </c>
    </row>
    <row r="314" spans="1:11" x14ac:dyDescent="0.25">
      <c r="A314" s="49">
        <f>'A) Base RI'!A313</f>
        <v>5937</v>
      </c>
      <c r="B314" s="32" t="str">
        <f>'A) Base RI'!B313</f>
        <v>Vugelles-La Mothe</v>
      </c>
      <c r="C314" s="14">
        <f>'A) Base RI'!AO313</f>
        <v>135</v>
      </c>
      <c r="D314" s="10">
        <f t="shared" si="20"/>
        <v>135</v>
      </c>
      <c r="E314" s="14">
        <f t="shared" si="21"/>
        <v>0</v>
      </c>
      <c r="F314" s="10">
        <f t="shared" si="21"/>
        <v>0</v>
      </c>
      <c r="G314" s="14">
        <f t="shared" si="21"/>
        <v>0</v>
      </c>
      <c r="H314" s="41">
        <f t="shared" si="21"/>
        <v>0</v>
      </c>
      <c r="I314" s="10">
        <f t="shared" si="21"/>
        <v>0</v>
      </c>
      <c r="J314" s="10">
        <f t="shared" si="18"/>
        <v>0</v>
      </c>
      <c r="K314" s="118">
        <f t="shared" si="19"/>
        <v>16959.88430583501</v>
      </c>
    </row>
    <row r="315" spans="1:11" x14ac:dyDescent="0.25">
      <c r="A315" s="49">
        <f>'A) Base RI'!A314</f>
        <v>5938</v>
      </c>
      <c r="B315" s="32" t="str">
        <f>'A) Base RI'!B314</f>
        <v>Yverdon-les-Bains</v>
      </c>
      <c r="C315" s="14">
        <f>'A) Base RI'!AO314</f>
        <v>30189</v>
      </c>
      <c r="D315" s="10">
        <f t="shared" si="20"/>
        <v>1000</v>
      </c>
      <c r="E315" s="14">
        <f t="shared" si="21"/>
        <v>2000</v>
      </c>
      <c r="F315" s="10">
        <f t="shared" si="21"/>
        <v>2000</v>
      </c>
      <c r="G315" s="14">
        <f t="shared" si="21"/>
        <v>4000</v>
      </c>
      <c r="H315" s="41">
        <f t="shared" si="21"/>
        <v>3000</v>
      </c>
      <c r="I315" s="10">
        <f t="shared" si="21"/>
        <v>3000</v>
      </c>
      <c r="J315" s="10">
        <f t="shared" si="18"/>
        <v>15189</v>
      </c>
      <c r="K315" s="118">
        <f t="shared" si="19"/>
        <v>25852843.611670021</v>
      </c>
    </row>
    <row r="316" spans="1:11" x14ac:dyDescent="0.25">
      <c r="A316" s="50">
        <f>'A) Base RI'!A315</f>
        <v>5939</v>
      </c>
      <c r="B316" s="295" t="str">
        <f>'A) Base RI'!B315</f>
        <v>Yvonand</v>
      </c>
      <c r="C316" s="14">
        <f>'A) Base RI'!AO315</f>
        <v>3434</v>
      </c>
      <c r="D316" s="10">
        <f t="shared" si="20"/>
        <v>1000</v>
      </c>
      <c r="E316" s="14">
        <f t="shared" si="21"/>
        <v>2000</v>
      </c>
      <c r="F316" s="10">
        <f t="shared" si="21"/>
        <v>434</v>
      </c>
      <c r="G316" s="14">
        <f t="shared" si="21"/>
        <v>0</v>
      </c>
      <c r="H316" s="41">
        <f t="shared" si="21"/>
        <v>0</v>
      </c>
      <c r="I316" s="10">
        <f t="shared" si="21"/>
        <v>0</v>
      </c>
      <c r="J316" s="10">
        <f t="shared" si="18"/>
        <v>0</v>
      </c>
      <c r="K316" s="118">
        <f t="shared" si="19"/>
        <v>1047241.4486921529</v>
      </c>
    </row>
    <row r="317" spans="1:11" x14ac:dyDescent="0.25">
      <c r="B317" s="58">
        <f>COUNTA(B8:B316)</f>
        <v>309</v>
      </c>
      <c r="C317" s="11">
        <f>SUM(C8:C316)</f>
        <v>806088</v>
      </c>
      <c r="D317" s="11">
        <f t="shared" ref="D317:J317" si="22">SUM(D8:D316)</f>
        <v>217975</v>
      </c>
      <c r="E317" s="11">
        <f t="shared" si="22"/>
        <v>169855</v>
      </c>
      <c r="F317" s="11">
        <f t="shared" si="22"/>
        <v>86122</v>
      </c>
      <c r="G317" s="11">
        <f t="shared" si="22"/>
        <v>92625</v>
      </c>
      <c r="H317" s="11">
        <f t="shared" si="22"/>
        <v>40253</v>
      </c>
      <c r="I317" s="11">
        <f t="shared" si="22"/>
        <v>26706</v>
      </c>
      <c r="J317" s="11">
        <f t="shared" si="22"/>
        <v>172552</v>
      </c>
      <c r="K317" s="37">
        <f>SUM(K8:K316)</f>
        <v>429582839.26056331</v>
      </c>
    </row>
    <row r="318" spans="1:11" x14ac:dyDescent="0.25">
      <c r="C318" s="74"/>
    </row>
    <row r="328" spans="3:3" x14ac:dyDescent="0.25">
      <c r="C328" s="61"/>
    </row>
  </sheetData>
  <mergeCells count="6">
    <mergeCell ref="K6:K7"/>
    <mergeCell ref="C3:J3"/>
    <mergeCell ref="A6:A7"/>
    <mergeCell ref="B6:B7"/>
    <mergeCell ref="C6:C7"/>
    <mergeCell ref="D6:J6"/>
  </mergeCells>
  <phoneticPr fontId="15"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00B050"/>
  </sheetPr>
  <dimension ref="A1:M315"/>
  <sheetViews>
    <sheetView workbookViewId="0"/>
  </sheetViews>
  <sheetFormatPr baseColWidth="10" defaultColWidth="11" defaultRowHeight="15" x14ac:dyDescent="0.25"/>
  <cols>
    <col min="1" max="1" width="7.25" style="13" customWidth="1"/>
    <col min="2" max="2" width="25.375" style="13" customWidth="1"/>
    <col min="3" max="3" width="9.25" style="13" customWidth="1"/>
    <col min="4" max="4" width="13.625" style="13" customWidth="1"/>
    <col min="5" max="5" width="10.375" style="13" customWidth="1"/>
    <col min="6" max="6" width="13.25" style="14" customWidth="1"/>
    <col min="7" max="7" width="11" style="15"/>
    <col min="8" max="8" width="11" style="13"/>
    <col min="9" max="9" width="13.375" style="6" customWidth="1"/>
    <col min="10" max="12" width="11" style="13"/>
    <col min="13" max="13" width="11.625" style="15" bestFit="1" customWidth="1"/>
    <col min="14" max="16384" width="11" style="13"/>
  </cols>
  <sheetData>
    <row r="1" spans="1:12" ht="21" x14ac:dyDescent="0.25">
      <c r="A1" s="51" t="s">
        <v>452</v>
      </c>
      <c r="B1" s="42"/>
      <c r="C1" s="96"/>
      <c r="D1" s="96"/>
    </row>
    <row r="3" spans="1:12" ht="30" x14ac:dyDescent="0.25">
      <c r="A3" s="559" t="s">
        <v>46</v>
      </c>
      <c r="B3" s="559" t="s">
        <v>96</v>
      </c>
      <c r="C3" s="559" t="s">
        <v>304</v>
      </c>
      <c r="D3" s="559" t="s">
        <v>547</v>
      </c>
      <c r="E3" s="116" t="s">
        <v>354</v>
      </c>
      <c r="F3" s="556" t="s">
        <v>311</v>
      </c>
      <c r="G3" s="581" t="s">
        <v>78</v>
      </c>
      <c r="H3" s="559" t="s">
        <v>352</v>
      </c>
      <c r="I3" s="556" t="s">
        <v>353</v>
      </c>
    </row>
    <row r="4" spans="1:12" x14ac:dyDescent="0.25">
      <c r="A4" s="560"/>
      <c r="B4" s="560"/>
      <c r="C4" s="560"/>
      <c r="D4" s="560"/>
      <c r="E4" s="117">
        <f>+Paramètres!B32</f>
        <v>0.27</v>
      </c>
      <c r="F4" s="557"/>
      <c r="G4" s="582"/>
      <c r="H4" s="560"/>
      <c r="I4" s="557"/>
    </row>
    <row r="5" spans="1:12" x14ac:dyDescent="0.25">
      <c r="A5" s="46">
        <f>'A) Base RI'!A7</f>
        <v>5401</v>
      </c>
      <c r="B5" s="291" t="str">
        <f>'A) Base RI'!B7</f>
        <v>Aigle</v>
      </c>
      <c r="C5" s="97">
        <f>'A) Base RI'!AO7</f>
        <v>10217</v>
      </c>
      <c r="D5" s="114">
        <f>'D) Ecrêtage'!E5</f>
        <v>27.188962762377404</v>
      </c>
      <c r="E5" s="34">
        <f t="shared" ref="E5" si="0">IF($D$314-D5&lt;0,0,$D$314-D5)</f>
        <v>19.935762330261273</v>
      </c>
      <c r="F5" s="268">
        <f t="shared" ref="F5" si="1">(C5*E5*G5)*$E$4</f>
        <v>3712135.1359478929</v>
      </c>
      <c r="G5" s="33">
        <f>+'A) Base RI'!AN7</f>
        <v>67.5</v>
      </c>
      <c r="H5" s="269">
        <f t="shared" ref="H5" si="2">G5/$G$314</f>
        <v>0.98985376574700146</v>
      </c>
      <c r="I5" s="57">
        <f>F5*H5</f>
        <v>3674470.9432797791</v>
      </c>
      <c r="J5" s="48"/>
      <c r="K5" s="111"/>
      <c r="L5" s="15"/>
    </row>
    <row r="6" spans="1:12" x14ac:dyDescent="0.25">
      <c r="A6" s="49">
        <f>'A) Base RI'!A8</f>
        <v>5402</v>
      </c>
      <c r="B6" s="32" t="str">
        <f>'A) Base RI'!B8</f>
        <v>Bex</v>
      </c>
      <c r="C6" s="98">
        <f>'A) Base RI'!AO8</f>
        <v>7869</v>
      </c>
      <c r="D6" s="114">
        <f>'D) Ecrêtage'!E6</f>
        <v>23.602686222814071</v>
      </c>
      <c r="E6" s="34">
        <f t="shared" ref="E6:E69" si="3">IF($D$314-D6&lt;0,0,$D$314-D6)</f>
        <v>23.522038869824605</v>
      </c>
      <c r="F6" s="268">
        <f t="shared" ref="F6:F69" si="4">(C6*E6*G6)*$E$4</f>
        <v>3548269.6905236775</v>
      </c>
      <c r="G6" s="33">
        <f>+'A) Base RI'!AN8</f>
        <v>71</v>
      </c>
      <c r="H6" s="269">
        <f t="shared" ref="H6:H69" si="5">G6/$G$314</f>
        <v>1.0411795165635125</v>
      </c>
      <c r="I6" s="57">
        <f t="shared" ref="I6:I69" si="6">F6*H6</f>
        <v>3694385.7210164065</v>
      </c>
      <c r="J6" s="48"/>
      <c r="L6" s="112"/>
    </row>
    <row r="7" spans="1:12" x14ac:dyDescent="0.25">
      <c r="A7" s="49">
        <f>'A) Base RI'!A9</f>
        <v>5403</v>
      </c>
      <c r="B7" s="32" t="str">
        <f>'A) Base RI'!B9</f>
        <v>Chessel</v>
      </c>
      <c r="C7" s="98">
        <f>'A) Base RI'!AO9</f>
        <v>429</v>
      </c>
      <c r="D7" s="114">
        <f>'D) Ecrêtage'!E7</f>
        <v>24.834483084483089</v>
      </c>
      <c r="E7" s="34">
        <f t="shared" si="3"/>
        <v>22.290242008155587</v>
      </c>
      <c r="F7" s="268">
        <f t="shared" si="4"/>
        <v>191059.02615354498</v>
      </c>
      <c r="G7" s="33">
        <f>+'A) Base RI'!AN9</f>
        <v>74</v>
      </c>
      <c r="H7" s="269">
        <f t="shared" si="5"/>
        <v>1.0851730172633793</v>
      </c>
      <c r="I7" s="57">
        <f t="shared" si="6"/>
        <v>207332.0998864453</v>
      </c>
      <c r="J7" s="48"/>
      <c r="L7" s="112"/>
    </row>
    <row r="8" spans="1:12" x14ac:dyDescent="0.25">
      <c r="A8" s="49">
        <f>'A) Base RI'!A10</f>
        <v>5404</v>
      </c>
      <c r="B8" s="32" t="str">
        <f>'A) Base RI'!B10</f>
        <v>Corbeyrier</v>
      </c>
      <c r="C8" s="98">
        <f>'A) Base RI'!AO10</f>
        <v>437</v>
      </c>
      <c r="D8" s="114">
        <f>'D) Ecrêtage'!E8</f>
        <v>33.399433896138696</v>
      </c>
      <c r="E8" s="34">
        <f t="shared" si="3"/>
        <v>13.725291196499981</v>
      </c>
      <c r="F8" s="268">
        <f t="shared" si="4"/>
        <v>119839.08601235243</v>
      </c>
      <c r="G8" s="33">
        <f>+'A) Base RI'!AN10</f>
        <v>74</v>
      </c>
      <c r="H8" s="269">
        <f t="shared" si="5"/>
        <v>1.0851730172633793</v>
      </c>
      <c r="I8" s="57">
        <f t="shared" si="6"/>
        <v>130046.14255411013</v>
      </c>
    </row>
    <row r="9" spans="1:12" x14ac:dyDescent="0.25">
      <c r="A9" s="49">
        <f>'A) Base RI'!A11</f>
        <v>5405</v>
      </c>
      <c r="B9" s="32" t="str">
        <f>'A) Base RI'!B11</f>
        <v>Gryon</v>
      </c>
      <c r="C9" s="98">
        <f>'A) Base RI'!AO11</f>
        <v>1347</v>
      </c>
      <c r="D9" s="114">
        <f>'D) Ecrêtage'!E9</f>
        <v>48.779180268910324</v>
      </c>
      <c r="E9" s="34">
        <f t="shared" si="3"/>
        <v>0</v>
      </c>
      <c r="F9" s="268">
        <f t="shared" si="4"/>
        <v>0</v>
      </c>
      <c r="G9" s="33">
        <f>+'A) Base RI'!AN11</f>
        <v>75</v>
      </c>
      <c r="H9" s="269">
        <f t="shared" si="5"/>
        <v>1.0998375174966681</v>
      </c>
      <c r="I9" s="57">
        <f t="shared" si="6"/>
        <v>0</v>
      </c>
    </row>
    <row r="10" spans="1:12" x14ac:dyDescent="0.25">
      <c r="A10" s="49">
        <f>'A) Base RI'!A12</f>
        <v>5406</v>
      </c>
      <c r="B10" s="32" t="str">
        <f>'A) Base RI'!B12</f>
        <v>Lavey-Morcles</v>
      </c>
      <c r="C10" s="98">
        <f>'A) Base RI'!AO12</f>
        <v>931</v>
      </c>
      <c r="D10" s="114">
        <f>'D) Ecrêtage'!E10</f>
        <v>26.699484157693405</v>
      </c>
      <c r="E10" s="34">
        <f t="shared" si="3"/>
        <v>20.425240934945272</v>
      </c>
      <c r="F10" s="268">
        <f t="shared" si="4"/>
        <v>364534.78978102072</v>
      </c>
      <c r="G10" s="33">
        <f>+'A) Base RI'!AN12</f>
        <v>71</v>
      </c>
      <c r="H10" s="269">
        <f t="shared" si="5"/>
        <v>1.0411795165635125</v>
      </c>
      <c r="I10" s="57">
        <f t="shared" si="6"/>
        <v>379546.15619478479</v>
      </c>
    </row>
    <row r="11" spans="1:12" x14ac:dyDescent="0.25">
      <c r="A11" s="49">
        <f>'A) Base RI'!A13</f>
        <v>5407</v>
      </c>
      <c r="B11" s="32" t="str">
        <f>'A) Base RI'!B13</f>
        <v>Leysin</v>
      </c>
      <c r="C11" s="98">
        <f>'A) Base RI'!AO13</f>
        <v>3776</v>
      </c>
      <c r="D11" s="114">
        <f>'D) Ecrêtage'!E11</f>
        <v>23.99199316646747</v>
      </c>
      <c r="E11" s="34">
        <f t="shared" si="3"/>
        <v>23.132731926171207</v>
      </c>
      <c r="F11" s="268">
        <f t="shared" si="4"/>
        <v>1839574.0625628654</v>
      </c>
      <c r="G11" s="33">
        <f>+'A) Base RI'!AN13</f>
        <v>78</v>
      </c>
      <c r="H11" s="269">
        <f t="shared" si="5"/>
        <v>1.143831018196535</v>
      </c>
      <c r="I11" s="57">
        <f t="shared" si="6"/>
        <v>2104161.8730292185</v>
      </c>
    </row>
    <row r="12" spans="1:12" x14ac:dyDescent="0.25">
      <c r="A12" s="49">
        <f>'A) Base RI'!A14</f>
        <v>5408</v>
      </c>
      <c r="B12" s="32" t="str">
        <f>'A) Base RI'!B14</f>
        <v>Noville</v>
      </c>
      <c r="C12" s="98">
        <f>'A) Base RI'!AO14</f>
        <v>1167</v>
      </c>
      <c r="D12" s="114">
        <f>'D) Ecrêtage'!E12</f>
        <v>24.568657981250123</v>
      </c>
      <c r="E12" s="34">
        <f t="shared" si="3"/>
        <v>22.556067111388554</v>
      </c>
      <c r="F12" s="268">
        <f t="shared" si="4"/>
        <v>557914.50811100251</v>
      </c>
      <c r="G12" s="33">
        <f>+'A) Base RI'!AN14</f>
        <v>78.5</v>
      </c>
      <c r="H12" s="269">
        <f t="shared" si="5"/>
        <v>1.1511632683131794</v>
      </c>
      <c r="I12" s="57">
        <f t="shared" si="6"/>
        <v>642250.68859640148</v>
      </c>
    </row>
    <row r="13" spans="1:12" x14ac:dyDescent="0.25">
      <c r="A13" s="49">
        <f>'A) Base RI'!A15</f>
        <v>5409</v>
      </c>
      <c r="B13" s="32" t="str">
        <f>'A) Base RI'!B15</f>
        <v>Ollon</v>
      </c>
      <c r="C13" s="98">
        <f>'A) Base RI'!AO15</f>
        <v>7560</v>
      </c>
      <c r="D13" s="114">
        <f>'D) Ecrêtage'!E13</f>
        <v>52.880427453673775</v>
      </c>
      <c r="E13" s="34">
        <f t="shared" si="3"/>
        <v>0</v>
      </c>
      <c r="F13" s="268">
        <f t="shared" si="4"/>
        <v>0</v>
      </c>
      <c r="G13" s="33">
        <f>+'A) Base RI'!AN15</f>
        <v>68</v>
      </c>
      <c r="H13" s="269">
        <f t="shared" si="5"/>
        <v>0.99718601586364586</v>
      </c>
      <c r="I13" s="57">
        <f t="shared" si="6"/>
        <v>0</v>
      </c>
    </row>
    <row r="14" spans="1:12" x14ac:dyDescent="0.25">
      <c r="A14" s="49">
        <f>'A) Base RI'!A16</f>
        <v>5410</v>
      </c>
      <c r="B14" s="32" t="str">
        <f>'A) Base RI'!B16</f>
        <v>Ormont-Dessous</v>
      </c>
      <c r="C14" s="98">
        <f>'A) Base RI'!AO16</f>
        <v>1141</v>
      </c>
      <c r="D14" s="114">
        <f>'D) Ecrêtage'!E14</f>
        <v>33.682650187658979</v>
      </c>
      <c r="E14" s="34">
        <f t="shared" si="3"/>
        <v>13.442074904979698</v>
      </c>
      <c r="F14" s="268">
        <f t="shared" si="4"/>
        <v>325076.35125420202</v>
      </c>
      <c r="G14" s="33">
        <f>+'A) Base RI'!AN16</f>
        <v>78.5</v>
      </c>
      <c r="H14" s="269">
        <f t="shared" si="5"/>
        <v>1.1511632683131794</v>
      </c>
      <c r="I14" s="57">
        <f t="shared" si="6"/>
        <v>374215.95496111031</v>
      </c>
    </row>
    <row r="15" spans="1:12" x14ac:dyDescent="0.25">
      <c r="A15" s="49">
        <f>'A) Base RI'!A17</f>
        <v>5411</v>
      </c>
      <c r="B15" s="32" t="str">
        <f>'A) Base RI'!B17</f>
        <v>Ormont-Dessus</v>
      </c>
      <c r="C15" s="98">
        <f>'A) Base RI'!AO17</f>
        <v>1434</v>
      </c>
      <c r="D15" s="114">
        <f>'D) Ecrêtage'!E15</f>
        <v>51.0809509652793</v>
      </c>
      <c r="E15" s="34">
        <f t="shared" si="3"/>
        <v>0</v>
      </c>
      <c r="F15" s="268">
        <f t="shared" si="4"/>
        <v>0</v>
      </c>
      <c r="G15" s="33">
        <f>+'A) Base RI'!AN17</f>
        <v>76</v>
      </c>
      <c r="H15" s="269">
        <f t="shared" si="5"/>
        <v>1.1145020177299572</v>
      </c>
      <c r="I15" s="57">
        <f t="shared" si="6"/>
        <v>0</v>
      </c>
    </row>
    <row r="16" spans="1:12" x14ac:dyDescent="0.25">
      <c r="A16" s="49">
        <f>'A) Base RI'!A18</f>
        <v>5412</v>
      </c>
      <c r="B16" s="32" t="str">
        <f>'A) Base RI'!B18</f>
        <v>Rennaz</v>
      </c>
      <c r="C16" s="98">
        <f>'A) Base RI'!AO18</f>
        <v>871</v>
      </c>
      <c r="D16" s="114">
        <f>'D) Ecrêtage'!E16</f>
        <v>27.901826083258925</v>
      </c>
      <c r="E16" s="34">
        <f t="shared" si="3"/>
        <v>19.222899009379752</v>
      </c>
      <c r="F16" s="268">
        <f t="shared" si="4"/>
        <v>305143.81830241898</v>
      </c>
      <c r="G16" s="33">
        <f>+'A) Base RI'!AN18</f>
        <v>67.5</v>
      </c>
      <c r="H16" s="269">
        <f t="shared" si="5"/>
        <v>0.98985376574700146</v>
      </c>
      <c r="I16" s="57">
        <f t="shared" si="6"/>
        <v>302047.75764106819</v>
      </c>
    </row>
    <row r="17" spans="1:9" x14ac:dyDescent="0.25">
      <c r="A17" s="49">
        <f>'A) Base RI'!A19</f>
        <v>5413</v>
      </c>
      <c r="B17" s="32" t="str">
        <f>'A) Base RI'!B19</f>
        <v>Roche</v>
      </c>
      <c r="C17" s="98">
        <f>'A) Base RI'!AO19</f>
        <v>1826</v>
      </c>
      <c r="D17" s="114">
        <f>'D) Ecrêtage'!E17</f>
        <v>24.690212386981077</v>
      </c>
      <c r="E17" s="34">
        <f t="shared" si="3"/>
        <v>22.4345127056576</v>
      </c>
      <c r="F17" s="268">
        <f t="shared" si="4"/>
        <v>752125.11488174507</v>
      </c>
      <c r="G17" s="33">
        <f>+'A) Base RI'!AN19</f>
        <v>68</v>
      </c>
      <c r="H17" s="269">
        <f t="shared" si="5"/>
        <v>0.99718601586364586</v>
      </c>
      <c r="I17" s="57">
        <f t="shared" si="6"/>
        <v>750008.64673991431</v>
      </c>
    </row>
    <row r="18" spans="1:9" x14ac:dyDescent="0.25">
      <c r="A18" s="49">
        <f>'A) Base RI'!A20</f>
        <v>5414</v>
      </c>
      <c r="B18" s="32" t="str">
        <f>'A) Base RI'!B20</f>
        <v>Villeneuve</v>
      </c>
      <c r="C18" s="98">
        <f>'A) Base RI'!AO20</f>
        <v>5772</v>
      </c>
      <c r="D18" s="114">
        <f>'D) Ecrêtage'!E18</f>
        <v>29.035923875380398</v>
      </c>
      <c r="E18" s="34">
        <f t="shared" si="3"/>
        <v>18.088801217258279</v>
      </c>
      <c r="F18" s="268">
        <f t="shared" si="4"/>
        <v>1945131.4844626558</v>
      </c>
      <c r="G18" s="33">
        <f>+'A) Base RI'!AN20</f>
        <v>69</v>
      </c>
      <c r="H18" s="269">
        <f t="shared" si="5"/>
        <v>1.0118505160969347</v>
      </c>
      <c r="I18" s="57">
        <f t="shared" si="6"/>
        <v>1968182.2964299349</v>
      </c>
    </row>
    <row r="19" spans="1:9" x14ac:dyDescent="0.25">
      <c r="A19" s="49">
        <f>'A) Base RI'!A21</f>
        <v>5415</v>
      </c>
      <c r="B19" s="32" t="str">
        <f>'A) Base RI'!B21</f>
        <v>Yvorne</v>
      </c>
      <c r="C19" s="98">
        <f>'A) Base RI'!AO21</f>
        <v>1071</v>
      </c>
      <c r="D19" s="114">
        <f>'D) Ecrêtage'!E19</f>
        <v>36.573940873940877</v>
      </c>
      <c r="E19" s="34">
        <f t="shared" si="3"/>
        <v>10.5507842186978</v>
      </c>
      <c r="F19" s="268">
        <f t="shared" si="4"/>
        <v>218144.37448524026</v>
      </c>
      <c r="G19" s="33">
        <f>+'A) Base RI'!AN21</f>
        <v>71.5</v>
      </c>
      <c r="H19" s="269">
        <f t="shared" si="5"/>
        <v>1.0485117666801571</v>
      </c>
      <c r="I19" s="57">
        <f t="shared" si="6"/>
        <v>228726.94348285705</v>
      </c>
    </row>
    <row r="20" spans="1:9" x14ac:dyDescent="0.25">
      <c r="A20" s="49">
        <f>'A) Base RI'!A22</f>
        <v>5421</v>
      </c>
      <c r="B20" s="32" t="str">
        <f>'A) Base RI'!B22</f>
        <v>Apples</v>
      </c>
      <c r="C20" s="98">
        <f>'A) Base RI'!AO22</f>
        <v>1460</v>
      </c>
      <c r="D20" s="114">
        <f>'D) Ecrêtage'!E20</f>
        <v>48.364490897620769</v>
      </c>
      <c r="E20" s="34">
        <f t="shared" si="3"/>
        <v>0</v>
      </c>
      <c r="F20" s="268">
        <f t="shared" si="4"/>
        <v>0</v>
      </c>
      <c r="G20" s="33">
        <f>+'A) Base RI'!AN22</f>
        <v>76</v>
      </c>
      <c r="H20" s="269">
        <f t="shared" si="5"/>
        <v>1.1145020177299572</v>
      </c>
      <c r="I20" s="57">
        <f t="shared" si="6"/>
        <v>0</v>
      </c>
    </row>
    <row r="21" spans="1:9" x14ac:dyDescent="0.25">
      <c r="A21" s="49">
        <f>'A) Base RI'!A23</f>
        <v>5422</v>
      </c>
      <c r="B21" s="32" t="str">
        <f>'A) Base RI'!B23</f>
        <v>Aubonne</v>
      </c>
      <c r="C21" s="98">
        <f>'A) Base RI'!AO23</f>
        <v>3276</v>
      </c>
      <c r="D21" s="114">
        <f>'D) Ecrêtage'!E21</f>
        <v>70.56527285016567</v>
      </c>
      <c r="E21" s="34">
        <f t="shared" si="3"/>
        <v>0</v>
      </c>
      <c r="F21" s="268">
        <f t="shared" si="4"/>
        <v>0</v>
      </c>
      <c r="G21" s="33">
        <f>+'A) Base RI'!AN23</f>
        <v>70</v>
      </c>
      <c r="H21" s="269">
        <f t="shared" si="5"/>
        <v>1.0265150163302237</v>
      </c>
      <c r="I21" s="57">
        <f t="shared" si="6"/>
        <v>0</v>
      </c>
    </row>
    <row r="22" spans="1:9" x14ac:dyDescent="0.25">
      <c r="A22" s="49">
        <f>'A) Base RI'!A24</f>
        <v>5423</v>
      </c>
      <c r="B22" s="32" t="str">
        <f>'A) Base RI'!B24</f>
        <v>Ballens</v>
      </c>
      <c r="C22" s="98">
        <f>'A) Base RI'!AO24</f>
        <v>545</v>
      </c>
      <c r="D22" s="114">
        <f>'D) Ecrêtage'!E22</f>
        <v>29.839315319844165</v>
      </c>
      <c r="E22" s="34">
        <f t="shared" si="3"/>
        <v>17.285409772794512</v>
      </c>
      <c r="F22" s="268">
        <f t="shared" si="4"/>
        <v>185679.00750887004</v>
      </c>
      <c r="G22" s="33">
        <f>+'A) Base RI'!AN24</f>
        <v>73</v>
      </c>
      <c r="H22" s="269">
        <f t="shared" si="5"/>
        <v>1.0705085170300903</v>
      </c>
      <c r="I22" s="57">
        <f t="shared" si="6"/>
        <v>198770.95897193946</v>
      </c>
    </row>
    <row r="23" spans="1:9" x14ac:dyDescent="0.25">
      <c r="A23" s="49">
        <f>'A) Base RI'!A25</f>
        <v>5424</v>
      </c>
      <c r="B23" s="32" t="str">
        <f>'A) Base RI'!B25</f>
        <v>Berolle</v>
      </c>
      <c r="C23" s="98">
        <f>'A) Base RI'!AO25</f>
        <v>300</v>
      </c>
      <c r="D23" s="114">
        <f>'D) Ecrêtage'!E23</f>
        <v>30.939141991341984</v>
      </c>
      <c r="E23" s="34">
        <f t="shared" si="3"/>
        <v>16.185583101296693</v>
      </c>
      <c r="F23" s="268">
        <f t="shared" si="4"/>
        <v>100949.48180278749</v>
      </c>
      <c r="G23" s="33">
        <f>+'A) Base RI'!AN25</f>
        <v>77</v>
      </c>
      <c r="H23" s="269">
        <f t="shared" si="5"/>
        <v>1.129166517963246</v>
      </c>
      <c r="I23" s="57">
        <f t="shared" si="6"/>
        <v>113988.77485744761</v>
      </c>
    </row>
    <row r="24" spans="1:9" x14ac:dyDescent="0.25">
      <c r="A24" s="49">
        <f>'A) Base RI'!A26</f>
        <v>5425</v>
      </c>
      <c r="B24" s="32" t="str">
        <f>'A) Base RI'!B26</f>
        <v>Bière</v>
      </c>
      <c r="C24" s="98">
        <f>'A) Base RI'!AO26</f>
        <v>1596</v>
      </c>
      <c r="D24" s="114">
        <f>'D) Ecrêtage'!E24</f>
        <v>24.763308156474931</v>
      </c>
      <c r="E24" s="34">
        <f t="shared" si="3"/>
        <v>22.361416936163746</v>
      </c>
      <c r="F24" s="268">
        <f t="shared" si="4"/>
        <v>674518.72502921778</v>
      </c>
      <c r="G24" s="33">
        <f>+'A) Base RI'!AN26</f>
        <v>70</v>
      </c>
      <c r="H24" s="269">
        <f t="shared" si="5"/>
        <v>1.0265150163302237</v>
      </c>
      <c r="I24" s="57">
        <f t="shared" si="6"/>
        <v>692403.60003840912</v>
      </c>
    </row>
    <row r="25" spans="1:9" x14ac:dyDescent="0.25">
      <c r="A25" s="49">
        <f>'A) Base RI'!A27</f>
        <v>5426</v>
      </c>
      <c r="B25" s="32" t="str">
        <f>'A) Base RI'!B27</f>
        <v>Bougy-Villars</v>
      </c>
      <c r="C25" s="98">
        <f>'A) Base RI'!AO27</f>
        <v>475</v>
      </c>
      <c r="D25" s="114">
        <f>'D) Ecrêtage'!E25</f>
        <v>109.62770632642211</v>
      </c>
      <c r="E25" s="34">
        <f t="shared" si="3"/>
        <v>0</v>
      </c>
      <c r="F25" s="268">
        <f t="shared" si="4"/>
        <v>0</v>
      </c>
      <c r="G25" s="33">
        <f>+'A) Base RI'!AN27</f>
        <v>66</v>
      </c>
      <c r="H25" s="269">
        <f t="shared" si="5"/>
        <v>0.96785701539706803</v>
      </c>
      <c r="I25" s="57">
        <f t="shared" si="6"/>
        <v>0</v>
      </c>
    </row>
    <row r="26" spans="1:9" x14ac:dyDescent="0.25">
      <c r="A26" s="49">
        <f>'A) Base RI'!A28</f>
        <v>5427</v>
      </c>
      <c r="B26" s="32" t="str">
        <f>'A) Base RI'!B28</f>
        <v>Féchy</v>
      </c>
      <c r="C26" s="98">
        <f>'A) Base RI'!AO28</f>
        <v>861</v>
      </c>
      <c r="D26" s="114">
        <f>'D) Ecrêtage'!E26</f>
        <v>100.75428588180112</v>
      </c>
      <c r="E26" s="34">
        <f t="shared" si="3"/>
        <v>0</v>
      </c>
      <c r="F26" s="268">
        <f t="shared" si="4"/>
        <v>0</v>
      </c>
      <c r="G26" s="33">
        <f>+'A) Base RI'!AN28</f>
        <v>64</v>
      </c>
      <c r="H26" s="269">
        <f t="shared" si="5"/>
        <v>0.93852801493049021</v>
      </c>
      <c r="I26" s="57">
        <f t="shared" si="6"/>
        <v>0</v>
      </c>
    </row>
    <row r="27" spans="1:9" x14ac:dyDescent="0.25">
      <c r="A27" s="49">
        <f>'A) Base RI'!A29</f>
        <v>5428</v>
      </c>
      <c r="B27" s="32" t="str">
        <f>'A) Base RI'!B29</f>
        <v>Gimel</v>
      </c>
      <c r="C27" s="98">
        <f>'A) Base RI'!AO29</f>
        <v>2238</v>
      </c>
      <c r="D27" s="114">
        <f>'D) Ecrêtage'!E27</f>
        <v>29.567028536984733</v>
      </c>
      <c r="E27" s="34">
        <f t="shared" si="3"/>
        <v>17.557696555653944</v>
      </c>
      <c r="F27" s="268">
        <f t="shared" si="4"/>
        <v>790401.32219359919</v>
      </c>
      <c r="G27" s="33">
        <f>+'A) Base RI'!AN29</f>
        <v>74.5</v>
      </c>
      <c r="H27" s="269">
        <f t="shared" si="5"/>
        <v>1.0925052673800237</v>
      </c>
      <c r="I27" s="57">
        <f t="shared" si="6"/>
        <v>863517.60784064233</v>
      </c>
    </row>
    <row r="28" spans="1:9" x14ac:dyDescent="0.25">
      <c r="A28" s="49">
        <f>'A) Base RI'!A30</f>
        <v>5429</v>
      </c>
      <c r="B28" s="32" t="str">
        <f>'A) Base RI'!B30</f>
        <v>Longirod</v>
      </c>
      <c r="C28" s="98">
        <f>'A) Base RI'!AO30</f>
        <v>482</v>
      </c>
      <c r="D28" s="114">
        <f>'D) Ecrêtage'!E28</f>
        <v>31.766424619640386</v>
      </c>
      <c r="E28" s="34">
        <f t="shared" si="3"/>
        <v>15.358300472998291</v>
      </c>
      <c r="F28" s="268">
        <f t="shared" si="4"/>
        <v>161897.06710803579</v>
      </c>
      <c r="G28" s="33">
        <f>+'A) Base RI'!AN30</f>
        <v>81</v>
      </c>
      <c r="H28" s="269">
        <f t="shared" si="5"/>
        <v>1.1878245188964016</v>
      </c>
      <c r="I28" s="57">
        <f t="shared" si="6"/>
        <v>192305.30584834106</v>
      </c>
    </row>
    <row r="29" spans="1:9" x14ac:dyDescent="0.25">
      <c r="A29" s="49">
        <f>'A) Base RI'!A31</f>
        <v>5430</v>
      </c>
      <c r="B29" s="32" t="str">
        <f>'A) Base RI'!B31</f>
        <v>Marchissy</v>
      </c>
      <c r="C29" s="98">
        <f>'A) Base RI'!AO31</f>
        <v>472</v>
      </c>
      <c r="D29" s="114">
        <f>'D) Ecrêtage'!E29</f>
        <v>31.413968300793822</v>
      </c>
      <c r="E29" s="34">
        <f t="shared" si="3"/>
        <v>15.710756791844855</v>
      </c>
      <c r="F29" s="268">
        <f t="shared" si="4"/>
        <v>158172.12879866397</v>
      </c>
      <c r="G29" s="33">
        <f>+'A) Base RI'!AN31</f>
        <v>79</v>
      </c>
      <c r="H29" s="269">
        <f t="shared" si="5"/>
        <v>1.1584955184298238</v>
      </c>
      <c r="I29" s="57">
        <f t="shared" si="6"/>
        <v>183241.70235375708</v>
      </c>
    </row>
    <row r="30" spans="1:9" x14ac:dyDescent="0.25">
      <c r="A30" s="49">
        <f>'A) Base RI'!A32</f>
        <v>5431</v>
      </c>
      <c r="B30" s="32" t="str">
        <f>'A) Base RI'!B32</f>
        <v>Mollens</v>
      </c>
      <c r="C30" s="98">
        <f>'A) Base RI'!AO32</f>
        <v>308</v>
      </c>
      <c r="D30" s="114">
        <f>'D) Ecrêtage'!E30</f>
        <v>34.502452614952617</v>
      </c>
      <c r="E30" s="34">
        <f t="shared" si="3"/>
        <v>12.62227247768606</v>
      </c>
      <c r="F30" s="268">
        <f t="shared" si="4"/>
        <v>77675.445264083595</v>
      </c>
      <c r="G30" s="33">
        <f>+'A) Base RI'!AN32</f>
        <v>74</v>
      </c>
      <c r="H30" s="269">
        <f t="shared" si="5"/>
        <v>1.0851730172633793</v>
      </c>
      <c r="I30" s="57">
        <f t="shared" si="6"/>
        <v>84291.297304502063</v>
      </c>
    </row>
    <row r="31" spans="1:9" x14ac:dyDescent="0.25">
      <c r="A31" s="49">
        <f>'A) Base RI'!A33</f>
        <v>5432</v>
      </c>
      <c r="B31" s="32" t="str">
        <f>'A) Base RI'!B33</f>
        <v>Montherod</v>
      </c>
      <c r="C31" s="98">
        <f>'A) Base RI'!AO33</f>
        <v>541</v>
      </c>
      <c r="D31" s="114">
        <f>'D) Ecrêtage'!E31</f>
        <v>29.719065121569745</v>
      </c>
      <c r="E31" s="34">
        <f t="shared" si="3"/>
        <v>17.405659971068932</v>
      </c>
      <c r="F31" s="268">
        <f t="shared" si="4"/>
        <v>198310.69065397506</v>
      </c>
      <c r="G31" s="33">
        <f>+'A) Base RI'!AN33</f>
        <v>78</v>
      </c>
      <c r="H31" s="269">
        <f t="shared" si="5"/>
        <v>1.143831018196535</v>
      </c>
      <c r="I31" s="57">
        <f t="shared" si="6"/>
        <v>226833.91920999438</v>
      </c>
    </row>
    <row r="32" spans="1:9" x14ac:dyDescent="0.25">
      <c r="A32" s="49">
        <f>'A) Base RI'!A34</f>
        <v>5434</v>
      </c>
      <c r="B32" s="32" t="str">
        <f>'A) Base RI'!B34</f>
        <v>Saint-George</v>
      </c>
      <c r="C32" s="98">
        <f>'A) Base RI'!AO34</f>
        <v>1063</v>
      </c>
      <c r="D32" s="114">
        <f>'D) Ecrêtage'!E32</f>
        <v>37.54088599013334</v>
      </c>
      <c r="E32" s="34">
        <f t="shared" si="3"/>
        <v>9.5838391025053369</v>
      </c>
      <c r="F32" s="268">
        <f t="shared" si="4"/>
        <v>195296.69391751406</v>
      </c>
      <c r="G32" s="33">
        <f>+'A) Base RI'!AN34</f>
        <v>71</v>
      </c>
      <c r="H32" s="269">
        <f t="shared" si="5"/>
        <v>1.0411795165635125</v>
      </c>
      <c r="I32" s="57">
        <f t="shared" si="6"/>
        <v>203338.91735948957</v>
      </c>
    </row>
    <row r="33" spans="1:9" x14ac:dyDescent="0.25">
      <c r="A33" s="49">
        <f>'A) Base RI'!A35</f>
        <v>5435</v>
      </c>
      <c r="B33" s="32" t="str">
        <f>'A) Base RI'!B35</f>
        <v>Saint-Livres</v>
      </c>
      <c r="C33" s="98">
        <f>'A) Base RI'!AO35</f>
        <v>691</v>
      </c>
      <c r="D33" s="114">
        <f>'D) Ecrêtage'!E33</f>
        <v>35.212325552129862</v>
      </c>
      <c r="E33" s="34">
        <f t="shared" si="3"/>
        <v>11.912399540508815</v>
      </c>
      <c r="F33" s="268">
        <f t="shared" si="4"/>
        <v>153352.25037681838</v>
      </c>
      <c r="G33" s="33">
        <f>+'A) Base RI'!AN35</f>
        <v>69</v>
      </c>
      <c r="H33" s="269">
        <f t="shared" si="5"/>
        <v>1.0118505160969347</v>
      </c>
      <c r="I33" s="57">
        <f t="shared" si="6"/>
        <v>155169.55368841003</v>
      </c>
    </row>
    <row r="34" spans="1:9" x14ac:dyDescent="0.25">
      <c r="A34" s="49">
        <f>'A) Base RI'!A36</f>
        <v>5436</v>
      </c>
      <c r="B34" s="32" t="str">
        <f>'A) Base RI'!B36</f>
        <v>Saint-Oyens</v>
      </c>
      <c r="C34" s="98">
        <f>'A) Base RI'!AO36</f>
        <v>447</v>
      </c>
      <c r="D34" s="114">
        <f>'D) Ecrêtage'!E34</f>
        <v>37.057808987212425</v>
      </c>
      <c r="E34" s="34">
        <f t="shared" si="3"/>
        <v>10.066916105426252</v>
      </c>
      <c r="F34" s="268">
        <f t="shared" si="4"/>
        <v>98413.064485875439</v>
      </c>
      <c r="G34" s="33">
        <f>+'A) Base RI'!AN36</f>
        <v>81</v>
      </c>
      <c r="H34" s="269">
        <f t="shared" si="5"/>
        <v>1.1878245188964016</v>
      </c>
      <c r="I34" s="57">
        <f t="shared" si="6"/>
        <v>116897.45097605554</v>
      </c>
    </row>
    <row r="35" spans="1:9" x14ac:dyDescent="0.25">
      <c r="A35" s="49">
        <f>'A) Base RI'!A37</f>
        <v>5437</v>
      </c>
      <c r="B35" s="32" t="str">
        <f>'A) Base RI'!B37</f>
        <v>Saubraz</v>
      </c>
      <c r="C35" s="98">
        <f>'A) Base RI'!AO37</f>
        <v>423</v>
      </c>
      <c r="D35" s="114">
        <f>'D) Ecrêtage'!E35</f>
        <v>31.10114686761229</v>
      </c>
      <c r="E35" s="34">
        <f t="shared" si="3"/>
        <v>16.023578225026387</v>
      </c>
      <c r="F35" s="268">
        <f t="shared" si="4"/>
        <v>146404.22952642111</v>
      </c>
      <c r="G35" s="33">
        <f>+'A) Base RI'!AN37</f>
        <v>80</v>
      </c>
      <c r="H35" s="269">
        <f t="shared" si="5"/>
        <v>1.1731600186631128</v>
      </c>
      <c r="I35" s="57">
        <f t="shared" si="6"/>
        <v>171755.58864357485</v>
      </c>
    </row>
    <row r="36" spans="1:9" x14ac:dyDescent="0.25">
      <c r="A36" s="49">
        <f>'A) Base RI'!A38</f>
        <v>5451</v>
      </c>
      <c r="B36" s="32" t="str">
        <f>'A) Base RI'!B38</f>
        <v>Avenches</v>
      </c>
      <c r="C36" s="98">
        <f>'A) Base RI'!AO38</f>
        <v>4305</v>
      </c>
      <c r="D36" s="114">
        <f>'D) Ecrêtage'!E36</f>
        <v>30.053007720161268</v>
      </c>
      <c r="E36" s="34">
        <f t="shared" si="3"/>
        <v>17.071717372477409</v>
      </c>
      <c r="F36" s="268">
        <f t="shared" si="4"/>
        <v>1349345.1267771397</v>
      </c>
      <c r="G36" s="33">
        <f>+'A) Base RI'!AN38</f>
        <v>68</v>
      </c>
      <c r="H36" s="269">
        <f t="shared" si="5"/>
        <v>0.99718601586364586</v>
      </c>
      <c r="I36" s="57">
        <f t="shared" si="6"/>
        <v>1345548.090995922</v>
      </c>
    </row>
    <row r="37" spans="1:9" x14ac:dyDescent="0.25">
      <c r="A37" s="49">
        <f>'A) Base RI'!A39</f>
        <v>5456</v>
      </c>
      <c r="B37" s="32" t="str">
        <f>'A) Base RI'!B39</f>
        <v>Cudrefin</v>
      </c>
      <c r="C37" s="98">
        <f>'A) Base RI'!AO39</f>
        <v>1735</v>
      </c>
      <c r="D37" s="114">
        <f>'D) Ecrêtage'!E37</f>
        <v>33.28832898614435</v>
      </c>
      <c r="E37" s="34">
        <f t="shared" si="3"/>
        <v>13.836396106494327</v>
      </c>
      <c r="F37" s="268">
        <f t="shared" si="4"/>
        <v>382417.92560914881</v>
      </c>
      <c r="G37" s="33">
        <f>+'A) Base RI'!AN39</f>
        <v>59</v>
      </c>
      <c r="H37" s="269">
        <f t="shared" si="5"/>
        <v>0.86520551376404564</v>
      </c>
      <c r="I37" s="57">
        <f t="shared" si="6"/>
        <v>330870.09779924416</v>
      </c>
    </row>
    <row r="38" spans="1:9" x14ac:dyDescent="0.25">
      <c r="A38" s="49">
        <f>'A) Base RI'!A40</f>
        <v>5458</v>
      </c>
      <c r="B38" s="32" t="str">
        <f>'A) Base RI'!B40</f>
        <v>Faoug</v>
      </c>
      <c r="C38" s="98">
        <f>'A) Base RI'!AO40</f>
        <v>884</v>
      </c>
      <c r="D38" s="114">
        <f>'D) Ecrêtage'!E38</f>
        <v>37.4927665798254</v>
      </c>
      <c r="E38" s="34">
        <f t="shared" si="3"/>
        <v>9.6319585128132772</v>
      </c>
      <c r="F38" s="268">
        <f t="shared" si="4"/>
        <v>151731.08661732601</v>
      </c>
      <c r="G38" s="33">
        <f>+'A) Base RI'!AN40</f>
        <v>66</v>
      </c>
      <c r="H38" s="269">
        <f t="shared" si="5"/>
        <v>0.96785701539706803</v>
      </c>
      <c r="I38" s="57">
        <f t="shared" si="6"/>
        <v>146853.99663639916</v>
      </c>
    </row>
    <row r="39" spans="1:9" x14ac:dyDescent="0.25">
      <c r="A39" s="49">
        <f>'A) Base RI'!A41</f>
        <v>5464</v>
      </c>
      <c r="B39" s="32" t="str">
        <f>'A) Base RI'!B41</f>
        <v>Vully-les-Lacs</v>
      </c>
      <c r="C39" s="98">
        <f>'A) Base RI'!AO41</f>
        <v>3278</v>
      </c>
      <c r="D39" s="114">
        <f>'D) Ecrêtage'!E39</f>
        <v>34.393297256851795</v>
      </c>
      <c r="E39" s="34">
        <f t="shared" si="3"/>
        <v>12.731427835786882</v>
      </c>
      <c r="F39" s="268">
        <f t="shared" si="4"/>
        <v>754961.19386288302</v>
      </c>
      <c r="G39" s="33">
        <f>+'A) Base RI'!AN41</f>
        <v>67</v>
      </c>
      <c r="H39" s="269">
        <f t="shared" si="5"/>
        <v>0.98252151563035695</v>
      </c>
      <c r="I39" s="57">
        <f t="shared" si="6"/>
        <v>741765.61643626355</v>
      </c>
    </row>
    <row r="40" spans="1:9" x14ac:dyDescent="0.25">
      <c r="A40" s="49">
        <f>'A) Base RI'!A42</f>
        <v>5471</v>
      </c>
      <c r="B40" s="32" t="str">
        <f>'A) Base RI'!B42</f>
        <v>Bettens</v>
      </c>
      <c r="C40" s="98">
        <f>'A) Base RI'!AO42</f>
        <v>650</v>
      </c>
      <c r="D40" s="114">
        <f>'D) Ecrêtage'!E40</f>
        <v>33.396953821733817</v>
      </c>
      <c r="E40" s="34">
        <f t="shared" si="3"/>
        <v>13.72777127090486</v>
      </c>
      <c r="F40" s="268">
        <f t="shared" si="4"/>
        <v>168645.67006306624</v>
      </c>
      <c r="G40" s="33">
        <f>+'A) Base RI'!AN42</f>
        <v>70</v>
      </c>
      <c r="H40" s="269">
        <f t="shared" si="5"/>
        <v>1.0265150163302237</v>
      </c>
      <c r="I40" s="57">
        <f t="shared" si="6"/>
        <v>173117.31275880995</v>
      </c>
    </row>
    <row r="41" spans="1:9" x14ac:dyDescent="0.25">
      <c r="A41" s="49">
        <f>'A) Base RI'!A43</f>
        <v>5472</v>
      </c>
      <c r="B41" s="32" t="str">
        <f>'A) Base RI'!B43</f>
        <v>Bournens</v>
      </c>
      <c r="C41" s="98">
        <f>'A) Base RI'!AO43</f>
        <v>422</v>
      </c>
      <c r="D41" s="114">
        <f>'D) Ecrêtage'!E41</f>
        <v>35.700616425542528</v>
      </c>
      <c r="E41" s="34">
        <f t="shared" si="3"/>
        <v>11.424108667096149</v>
      </c>
      <c r="F41" s="268">
        <f t="shared" si="4"/>
        <v>98926.383556199085</v>
      </c>
      <c r="G41" s="33">
        <f>+'A) Base RI'!AN43</f>
        <v>76</v>
      </c>
      <c r="H41" s="269">
        <f t="shared" si="5"/>
        <v>1.1145020177299572</v>
      </c>
      <c r="I41" s="57">
        <f t="shared" si="6"/>
        <v>110253.65408011153</v>
      </c>
    </row>
    <row r="42" spans="1:9" x14ac:dyDescent="0.25">
      <c r="A42" s="49">
        <f>'A) Base RI'!A44</f>
        <v>5473</v>
      </c>
      <c r="B42" s="32" t="str">
        <f>'A) Base RI'!B44</f>
        <v>Boussens</v>
      </c>
      <c r="C42" s="98">
        <f>'A) Base RI'!AO44</f>
        <v>993</v>
      </c>
      <c r="D42" s="114">
        <f>'D) Ecrêtage'!E42</f>
        <v>34.592834333085229</v>
      </c>
      <c r="E42" s="34">
        <f t="shared" si="3"/>
        <v>12.531890759553448</v>
      </c>
      <c r="F42" s="268">
        <f t="shared" si="4"/>
        <v>231834.8409765274</v>
      </c>
      <c r="G42" s="33">
        <f>+'A) Base RI'!AN44</f>
        <v>69</v>
      </c>
      <c r="H42" s="269">
        <f t="shared" si="5"/>
        <v>1.0118505160969347</v>
      </c>
      <c r="I42" s="57">
        <f t="shared" si="6"/>
        <v>234582.20349135002</v>
      </c>
    </row>
    <row r="43" spans="1:9" x14ac:dyDescent="0.25">
      <c r="A43" s="49">
        <f>'A) Base RI'!A45</f>
        <v>5474</v>
      </c>
      <c r="B43" s="32" t="str">
        <f>'A) Base RI'!B45</f>
        <v>La Chaux (Cossonay)</v>
      </c>
      <c r="C43" s="98">
        <f>'A) Base RI'!AO45</f>
        <v>395</v>
      </c>
      <c r="D43" s="114">
        <f>'D) Ecrêtage'!E43</f>
        <v>38.793476135678667</v>
      </c>
      <c r="E43" s="34">
        <f t="shared" si="3"/>
        <v>8.3312489569600103</v>
      </c>
      <c r="F43" s="268">
        <f t="shared" si="4"/>
        <v>68416.632997003457</v>
      </c>
      <c r="G43" s="33">
        <f>+'A) Base RI'!AN45</f>
        <v>77</v>
      </c>
      <c r="H43" s="269">
        <f t="shared" si="5"/>
        <v>1.129166517963246</v>
      </c>
      <c r="I43" s="57">
        <f t="shared" si="6"/>
        <v>77253.771251995713</v>
      </c>
    </row>
    <row r="44" spans="1:9" x14ac:dyDescent="0.25">
      <c r="A44" s="49">
        <f>'A) Base RI'!A46</f>
        <v>5475</v>
      </c>
      <c r="B44" s="32" t="str">
        <f>'A) Base RI'!B46</f>
        <v>Chavannes-le-Veyron</v>
      </c>
      <c r="C44" s="98">
        <f>'A) Base RI'!AO46</f>
        <v>152</v>
      </c>
      <c r="D44" s="114">
        <f>'D) Ecrêtage'!E44</f>
        <v>20.039043916609707</v>
      </c>
      <c r="E44" s="34">
        <f t="shared" si="3"/>
        <v>27.08568117602897</v>
      </c>
      <c r="F44" s="268">
        <f t="shared" si="4"/>
        <v>85592.919370745629</v>
      </c>
      <c r="G44" s="33">
        <f>+'A) Base RI'!AN46</f>
        <v>77</v>
      </c>
      <c r="H44" s="269">
        <f t="shared" si="5"/>
        <v>1.129166517963246</v>
      </c>
      <c r="I44" s="57">
        <f t="shared" si="6"/>
        <v>96648.658728173701</v>
      </c>
    </row>
    <row r="45" spans="1:9" x14ac:dyDescent="0.25">
      <c r="A45" s="49">
        <f>'A) Base RI'!A47</f>
        <v>5476</v>
      </c>
      <c r="B45" s="32" t="str">
        <f>'A) Base RI'!B47</f>
        <v>Chevilly</v>
      </c>
      <c r="C45" s="98">
        <f>'A) Base RI'!AO47</f>
        <v>317</v>
      </c>
      <c r="D45" s="114">
        <f>'D) Ecrêtage'!E45</f>
        <v>39.850299684542577</v>
      </c>
      <c r="E45" s="34">
        <f t="shared" si="3"/>
        <v>7.2744254080960999</v>
      </c>
      <c r="F45" s="268">
        <f t="shared" si="4"/>
        <v>46073.737230241946</v>
      </c>
      <c r="G45" s="33">
        <f>+'A) Base RI'!AN47</f>
        <v>74</v>
      </c>
      <c r="H45" s="269">
        <f t="shared" si="5"/>
        <v>1.0851730172633793</v>
      </c>
      <c r="I45" s="57">
        <f t="shared" si="6"/>
        <v>49997.976446741748</v>
      </c>
    </row>
    <row r="46" spans="1:9" x14ac:dyDescent="0.25">
      <c r="A46" s="49">
        <f>'A) Base RI'!A48</f>
        <v>5477</v>
      </c>
      <c r="B46" s="32" t="str">
        <f>'A) Base RI'!B48</f>
        <v>Cossonay</v>
      </c>
      <c r="C46" s="98">
        <f>'A) Base RI'!AO48</f>
        <v>4045</v>
      </c>
      <c r="D46" s="114">
        <f>'D) Ecrêtage'!E46</f>
        <v>35.695736694580347</v>
      </c>
      <c r="E46" s="34">
        <f t="shared" si="3"/>
        <v>11.42898839805833</v>
      </c>
      <c r="F46" s="268">
        <f t="shared" si="4"/>
        <v>886234.04720469785</v>
      </c>
      <c r="G46" s="33">
        <f>+'A) Base RI'!AN48</f>
        <v>71</v>
      </c>
      <c r="H46" s="269">
        <f t="shared" si="5"/>
        <v>1.0411795165635125</v>
      </c>
      <c r="I46" s="57">
        <f t="shared" si="6"/>
        <v>922728.73683071241</v>
      </c>
    </row>
    <row r="47" spans="1:9" x14ac:dyDescent="0.25">
      <c r="A47" s="49">
        <f>'A) Base RI'!A49</f>
        <v>5478</v>
      </c>
      <c r="B47" s="32" t="str">
        <f>'A) Base RI'!B49</f>
        <v>Cottens</v>
      </c>
      <c r="C47" s="98">
        <f>'A) Base RI'!AO49</f>
        <v>487</v>
      </c>
      <c r="D47" s="114">
        <f>'D) Ecrêtage'!E47</f>
        <v>36.070525556357175</v>
      </c>
      <c r="E47" s="34">
        <f t="shared" si="3"/>
        <v>11.054199536281502</v>
      </c>
      <c r="F47" s="268">
        <f t="shared" si="4"/>
        <v>107560.23557989846</v>
      </c>
      <c r="G47" s="33">
        <f>+'A) Base RI'!AN49</f>
        <v>74</v>
      </c>
      <c r="H47" s="269">
        <f t="shared" si="5"/>
        <v>1.0851730172633793</v>
      </c>
      <c r="I47" s="57">
        <f t="shared" si="6"/>
        <v>116721.46538179831</v>
      </c>
    </row>
    <row r="48" spans="1:9" x14ac:dyDescent="0.25">
      <c r="A48" s="49">
        <f>'A) Base RI'!A50</f>
        <v>5479</v>
      </c>
      <c r="B48" s="32" t="str">
        <f>'A) Base RI'!B50</f>
        <v>Cuarnens</v>
      </c>
      <c r="C48" s="98">
        <f>'A) Base RI'!AO50</f>
        <v>486</v>
      </c>
      <c r="D48" s="114">
        <f>'D) Ecrêtage'!E48</f>
        <v>35.549431350542463</v>
      </c>
      <c r="E48" s="34">
        <f t="shared" si="3"/>
        <v>11.575293742096214</v>
      </c>
      <c r="F48" s="268">
        <f t="shared" si="4"/>
        <v>116956.07345251563</v>
      </c>
      <c r="G48" s="33">
        <f>+'A) Base RI'!AN50</f>
        <v>77</v>
      </c>
      <c r="H48" s="269">
        <f t="shared" si="5"/>
        <v>1.129166517963246</v>
      </c>
      <c r="I48" s="57">
        <f t="shared" si="6"/>
        <v>132062.8822150307</v>
      </c>
    </row>
    <row r="49" spans="1:12" x14ac:dyDescent="0.25">
      <c r="A49" s="49">
        <f>'A) Base RI'!A51</f>
        <v>5480</v>
      </c>
      <c r="B49" s="32" t="str">
        <f>'A) Base RI'!B51</f>
        <v>Daillens</v>
      </c>
      <c r="C49" s="98">
        <f>'A) Base RI'!AO51</f>
        <v>1034</v>
      </c>
      <c r="D49" s="114">
        <f>'D) Ecrêtage'!E49</f>
        <v>39.234820448195698</v>
      </c>
      <c r="E49" s="34">
        <f t="shared" si="3"/>
        <v>7.8899046444429786</v>
      </c>
      <c r="F49" s="268">
        <f t="shared" si="4"/>
        <v>145378.43618994899</v>
      </c>
      <c r="G49" s="33">
        <f>+'A) Base RI'!AN51</f>
        <v>66</v>
      </c>
      <c r="H49" s="269">
        <f t="shared" si="5"/>
        <v>0.96785701539706803</v>
      </c>
      <c r="I49" s="57">
        <f t="shared" si="6"/>
        <v>140705.53935389713</v>
      </c>
    </row>
    <row r="50" spans="1:12" x14ac:dyDescent="0.25">
      <c r="A50" s="49">
        <f>'A) Base RI'!A52</f>
        <v>5481</v>
      </c>
      <c r="B50" s="32" t="str">
        <f>'A) Base RI'!B52</f>
        <v>Dizy</v>
      </c>
      <c r="C50" s="98">
        <f>'A) Base RI'!AO52</f>
        <v>234</v>
      </c>
      <c r="D50" s="114">
        <f>'D) Ecrêtage'!E50</f>
        <v>41.27703721735368</v>
      </c>
      <c r="E50" s="34">
        <f t="shared" si="3"/>
        <v>5.847687875284997</v>
      </c>
      <c r="F50" s="268">
        <f t="shared" si="4"/>
        <v>29187.096676879981</v>
      </c>
      <c r="G50" s="33">
        <f>+'A) Base RI'!AN52</f>
        <v>79</v>
      </c>
      <c r="H50" s="269">
        <f t="shared" si="5"/>
        <v>1.1584955184298238</v>
      </c>
      <c r="I50" s="57">
        <f t="shared" si="6"/>
        <v>33813.120696143458</v>
      </c>
    </row>
    <row r="51" spans="1:12" x14ac:dyDescent="0.25">
      <c r="A51" s="49">
        <f>'A) Base RI'!A53</f>
        <v>5482</v>
      </c>
      <c r="B51" s="32" t="str">
        <f>'A) Base RI'!B53</f>
        <v>Eclépens</v>
      </c>
      <c r="C51" s="98">
        <f>'A) Base RI'!AO53</f>
        <v>1222</v>
      </c>
      <c r="D51" s="114">
        <f>'D) Ecrêtage'!E51</f>
        <v>49.195331601793221</v>
      </c>
      <c r="E51" s="34">
        <f t="shared" si="3"/>
        <v>0</v>
      </c>
      <c r="F51" s="268">
        <f t="shared" si="4"/>
        <v>0</v>
      </c>
      <c r="G51" s="33">
        <f>+'A) Base RI'!AN53</f>
        <v>46</v>
      </c>
      <c r="H51" s="269">
        <f t="shared" si="5"/>
        <v>0.67456701073128988</v>
      </c>
      <c r="I51" s="57">
        <f t="shared" si="6"/>
        <v>0</v>
      </c>
    </row>
    <row r="52" spans="1:12" x14ac:dyDescent="0.25">
      <c r="A52" s="49">
        <f>'A) Base RI'!A54</f>
        <v>5483</v>
      </c>
      <c r="B52" s="32" t="str">
        <f>'A) Base RI'!B54</f>
        <v>Ferreyres</v>
      </c>
      <c r="C52" s="98">
        <f>'A) Base RI'!AO54</f>
        <v>320</v>
      </c>
      <c r="D52" s="114">
        <f>'D) Ecrêtage'!E52</f>
        <v>34.899938733552631</v>
      </c>
      <c r="E52" s="34">
        <f t="shared" si="3"/>
        <v>12.224786359086046</v>
      </c>
      <c r="F52" s="268">
        <f t="shared" si="4"/>
        <v>80272.837148302628</v>
      </c>
      <c r="G52" s="33">
        <f>+'A) Base RI'!AN54</f>
        <v>76</v>
      </c>
      <c r="H52" s="269">
        <f t="shared" si="5"/>
        <v>1.1145020177299572</v>
      </c>
      <c r="I52" s="57">
        <f t="shared" si="6"/>
        <v>89464.238970691542</v>
      </c>
    </row>
    <row r="53" spans="1:12" x14ac:dyDescent="0.25">
      <c r="A53" s="49">
        <f>'A) Base RI'!A55</f>
        <v>5484</v>
      </c>
      <c r="B53" s="32" t="str">
        <f>'A) Base RI'!B55</f>
        <v>Gollion</v>
      </c>
      <c r="C53" s="98">
        <f>'A) Base RI'!AO55</f>
        <v>939</v>
      </c>
      <c r="D53" s="114">
        <f>'D) Ecrêtage'!E53</f>
        <v>36.203986990185079</v>
      </c>
      <c r="E53" s="34">
        <f t="shared" si="3"/>
        <v>10.920738102453598</v>
      </c>
      <c r="F53" s="268">
        <f t="shared" si="4"/>
        <v>204886.37010251448</v>
      </c>
      <c r="G53" s="33">
        <f>+'A) Base RI'!AN55</f>
        <v>74</v>
      </c>
      <c r="H53" s="269">
        <f t="shared" si="5"/>
        <v>1.0851730172633793</v>
      </c>
      <c r="I53" s="57">
        <f t="shared" si="6"/>
        <v>222337.16044028709</v>
      </c>
    </row>
    <row r="54" spans="1:12" x14ac:dyDescent="0.25">
      <c r="A54" s="49">
        <f>'A) Base RI'!A56</f>
        <v>5485</v>
      </c>
      <c r="B54" s="32" t="str">
        <f>'A) Base RI'!B56</f>
        <v>Grancy</v>
      </c>
      <c r="C54" s="98">
        <f>'A) Base RI'!AO56</f>
        <v>397</v>
      </c>
      <c r="D54" s="114">
        <f>'D) Ecrêtage'!E54</f>
        <v>42.712969413458083</v>
      </c>
      <c r="E54" s="34">
        <f t="shared" si="3"/>
        <v>4.4117556791805939</v>
      </c>
      <c r="F54" s="268">
        <f t="shared" si="4"/>
        <v>33102.726387595751</v>
      </c>
      <c r="G54" s="33">
        <f>+'A) Base RI'!AN56</f>
        <v>70</v>
      </c>
      <c r="H54" s="269">
        <f t="shared" si="5"/>
        <v>1.0265150163302237</v>
      </c>
      <c r="I54" s="57">
        <f t="shared" si="6"/>
        <v>33980.445718337782</v>
      </c>
    </row>
    <row r="55" spans="1:12" x14ac:dyDescent="0.25">
      <c r="A55" s="49">
        <f>'A) Base RI'!A57</f>
        <v>5486</v>
      </c>
      <c r="B55" s="32" t="str">
        <f>'A) Base RI'!B57</f>
        <v>L'Isle</v>
      </c>
      <c r="C55" s="98">
        <f>'A) Base RI'!AO57</f>
        <v>1011</v>
      </c>
      <c r="D55" s="114">
        <f>'D) Ecrêtage'!E55</f>
        <v>35.279572726326208</v>
      </c>
      <c r="E55" s="34">
        <f t="shared" si="3"/>
        <v>11.845152366312469</v>
      </c>
      <c r="F55" s="268">
        <f t="shared" si="4"/>
        <v>245736.21434885592</v>
      </c>
      <c r="G55" s="33">
        <f>+'A) Base RI'!AN57</f>
        <v>76</v>
      </c>
      <c r="H55" s="269">
        <f t="shared" si="5"/>
        <v>1.1145020177299572</v>
      </c>
      <c r="I55" s="57">
        <f t="shared" si="6"/>
        <v>273873.5067211212</v>
      </c>
    </row>
    <row r="56" spans="1:12" x14ac:dyDescent="0.25">
      <c r="A56" s="49">
        <f>'A) Base RI'!A58</f>
        <v>5487</v>
      </c>
      <c r="B56" s="32" t="str">
        <f>'A) Base RI'!B58</f>
        <v>Lussery-Villars</v>
      </c>
      <c r="C56" s="98">
        <f>'A) Base RI'!AO58</f>
        <v>459</v>
      </c>
      <c r="D56" s="114">
        <f>'D) Ecrêtage'!E56</f>
        <v>33.777984894698619</v>
      </c>
      <c r="E56" s="34">
        <f t="shared" si="3"/>
        <v>13.346740197940058</v>
      </c>
      <c r="F56" s="268">
        <f t="shared" si="4"/>
        <v>124054.61345480336</v>
      </c>
      <c r="G56" s="33">
        <f>+'A) Base RI'!AN58</f>
        <v>75</v>
      </c>
      <c r="H56" s="269">
        <f t="shared" si="5"/>
        <v>1.0998375174966681</v>
      </c>
      <c r="I56" s="57">
        <f t="shared" si="6"/>
        <v>136439.91809613968</v>
      </c>
    </row>
    <row r="57" spans="1:12" x14ac:dyDescent="0.25">
      <c r="A57" s="49">
        <f>'A) Base RI'!A59</f>
        <v>5488</v>
      </c>
      <c r="B57" s="32" t="str">
        <f>'A) Base RI'!B59</f>
        <v>Mauraz</v>
      </c>
      <c r="C57" s="98">
        <f>'A) Base RI'!AO59</f>
        <v>57</v>
      </c>
      <c r="D57" s="114">
        <f>'D) Ecrêtage'!E57</f>
        <v>30.734424201529464</v>
      </c>
      <c r="E57" s="34">
        <f t="shared" si="3"/>
        <v>16.390300891109213</v>
      </c>
      <c r="F57" s="268">
        <f t="shared" si="4"/>
        <v>19675.244995705325</v>
      </c>
      <c r="G57" s="33">
        <f>+'A) Base RI'!AN59</f>
        <v>78</v>
      </c>
      <c r="H57" s="269">
        <f t="shared" si="5"/>
        <v>1.143831018196535</v>
      </c>
      <c r="I57" s="57">
        <f t="shared" si="6"/>
        <v>22505.155516703901</v>
      </c>
    </row>
    <row r="58" spans="1:12" x14ac:dyDescent="0.25">
      <c r="A58" s="49">
        <f>'A) Base RI'!A60</f>
        <v>5489</v>
      </c>
      <c r="B58" s="32" t="str">
        <f>'A) Base RI'!B60</f>
        <v>Mex</v>
      </c>
      <c r="C58" s="98">
        <f>'A) Base RI'!AO60</f>
        <v>718</v>
      </c>
      <c r="D58" s="114">
        <f>'D) Ecrêtage'!E58</f>
        <v>87.678646513539434</v>
      </c>
      <c r="E58" s="34">
        <f t="shared" si="3"/>
        <v>0</v>
      </c>
      <c r="F58" s="268">
        <f t="shared" si="4"/>
        <v>0</v>
      </c>
      <c r="G58" s="33">
        <f>+'A) Base RI'!AN60</f>
        <v>61</v>
      </c>
      <c r="H58" s="269">
        <f t="shared" si="5"/>
        <v>0.89453451423062347</v>
      </c>
      <c r="I58" s="57">
        <f t="shared" si="6"/>
        <v>0</v>
      </c>
    </row>
    <row r="59" spans="1:12" x14ac:dyDescent="0.25">
      <c r="A59" s="49">
        <f>'A) Base RI'!A61</f>
        <v>5490</v>
      </c>
      <c r="B59" s="32" t="str">
        <f>'A) Base RI'!B61</f>
        <v>Moiry</v>
      </c>
      <c r="C59" s="98">
        <f>'A) Base RI'!AO61</f>
        <v>310</v>
      </c>
      <c r="D59" s="114">
        <f>'D) Ecrêtage'!E59</f>
        <v>26.923625642079312</v>
      </c>
      <c r="E59" s="34">
        <f t="shared" si="3"/>
        <v>20.201099450559365</v>
      </c>
      <c r="F59" s="268">
        <f t="shared" si="4"/>
        <v>132730.3138849278</v>
      </c>
      <c r="G59" s="33">
        <f>+'A) Base RI'!AN61</f>
        <v>78.5</v>
      </c>
      <c r="H59" s="269">
        <f t="shared" si="5"/>
        <v>1.1511632683131794</v>
      </c>
      <c r="I59" s="57">
        <f t="shared" si="6"/>
        <v>152794.26193600768</v>
      </c>
    </row>
    <row r="60" spans="1:12" x14ac:dyDescent="0.25">
      <c r="A60" s="49">
        <f>'A) Base RI'!A62</f>
        <v>5491</v>
      </c>
      <c r="B60" s="32" t="str">
        <f>'A) Base RI'!B62</f>
        <v>Mont-la-Ville</v>
      </c>
      <c r="C60" s="98">
        <f>'A) Base RI'!AO62</f>
        <v>478</v>
      </c>
      <c r="D60" s="114">
        <f>'D) Ecrêtage'!E60</f>
        <v>29.509624807311162</v>
      </c>
      <c r="E60" s="34">
        <f t="shared" si="3"/>
        <v>17.615100285327514</v>
      </c>
      <c r="F60" s="268">
        <f t="shared" si="4"/>
        <v>172778.76805465206</v>
      </c>
      <c r="G60" s="33">
        <f>+'A) Base RI'!AN62</f>
        <v>76</v>
      </c>
      <c r="H60" s="269">
        <f t="shared" si="5"/>
        <v>1.1145020177299572</v>
      </c>
      <c r="I60" s="57">
        <f t="shared" si="6"/>
        <v>192562.28561780599</v>
      </c>
    </row>
    <row r="61" spans="1:12" x14ac:dyDescent="0.25">
      <c r="A61" s="49">
        <f>'A) Base RI'!A63</f>
        <v>5492</v>
      </c>
      <c r="B61" s="32" t="str">
        <f>'A) Base RI'!B63</f>
        <v>Montricher</v>
      </c>
      <c r="C61" s="98">
        <f>'A) Base RI'!AO63</f>
        <v>964</v>
      </c>
      <c r="D61" s="114">
        <f>'D) Ecrêtage'!E61</f>
        <v>197.19175997363416</v>
      </c>
      <c r="E61" s="34">
        <f t="shared" si="3"/>
        <v>0</v>
      </c>
      <c r="F61" s="268">
        <f t="shared" si="4"/>
        <v>0</v>
      </c>
      <c r="G61" s="33">
        <f>+'A) Base RI'!AN63</f>
        <v>64</v>
      </c>
      <c r="H61" s="269">
        <f t="shared" si="5"/>
        <v>0.93852801493049021</v>
      </c>
      <c r="I61" s="57">
        <f t="shared" si="6"/>
        <v>0</v>
      </c>
    </row>
    <row r="62" spans="1:12" x14ac:dyDescent="0.25">
      <c r="A62" s="49">
        <f>'A) Base RI'!A64</f>
        <v>5493</v>
      </c>
      <c r="B62" s="32" t="str">
        <f>'A) Base RI'!B64</f>
        <v>Orny</v>
      </c>
      <c r="C62" s="98">
        <f>'A) Base RI'!AO64</f>
        <v>416</v>
      </c>
      <c r="D62" s="114">
        <f>'D) Ecrêtage'!E62</f>
        <v>25.647734710626576</v>
      </c>
      <c r="E62" s="34">
        <f t="shared" si="3"/>
        <v>21.476990382012101</v>
      </c>
      <c r="F62" s="268">
        <f t="shared" si="4"/>
        <v>176097.57585865475</v>
      </c>
      <c r="G62" s="33">
        <f>+'A) Base RI'!AN64</f>
        <v>73</v>
      </c>
      <c r="H62" s="269">
        <f t="shared" si="5"/>
        <v>1.0705085170300903</v>
      </c>
      <c r="I62" s="57">
        <f t="shared" si="6"/>
        <v>188513.95478504233</v>
      </c>
    </row>
    <row r="63" spans="1:12" x14ac:dyDescent="0.25">
      <c r="A63" s="49">
        <f>'A) Base RI'!A65</f>
        <v>5494</v>
      </c>
      <c r="B63" s="32" t="str">
        <f>'A) Base RI'!B65</f>
        <v>Pampigny</v>
      </c>
      <c r="C63" s="98">
        <f>'A) Base RI'!AO65</f>
        <v>1103</v>
      </c>
      <c r="D63" s="114">
        <f>'D) Ecrêtage'!E63</f>
        <v>33.55298573875001</v>
      </c>
      <c r="E63" s="34">
        <f t="shared" si="3"/>
        <v>13.571739353888667</v>
      </c>
      <c r="F63" s="268">
        <f t="shared" si="4"/>
        <v>303134.9772736188</v>
      </c>
      <c r="G63" s="33">
        <f>+'A) Base RI'!AN65</f>
        <v>75</v>
      </c>
      <c r="H63" s="269">
        <f t="shared" si="5"/>
        <v>1.0998375174966681</v>
      </c>
      <c r="I63" s="57">
        <f t="shared" si="6"/>
        <v>333399.22087102581</v>
      </c>
    </row>
    <row r="64" spans="1:12" x14ac:dyDescent="0.25">
      <c r="A64" s="49">
        <f>'A) Base RI'!A66</f>
        <v>5495</v>
      </c>
      <c r="B64" s="32" t="str">
        <f>'A) Base RI'!B66</f>
        <v>Penthalaz</v>
      </c>
      <c r="C64" s="98">
        <f>'A) Base RI'!AO66</f>
        <v>3257</v>
      </c>
      <c r="D64" s="114">
        <f>'D) Ecrêtage'!E64</f>
        <v>29.270584728111594</v>
      </c>
      <c r="E64" s="34">
        <f t="shared" si="3"/>
        <v>17.854140364527083</v>
      </c>
      <c r="F64" s="268">
        <f t="shared" si="4"/>
        <v>1161855.6846419489</v>
      </c>
      <c r="G64" s="33">
        <f>+'A) Base RI'!AN66</f>
        <v>74</v>
      </c>
      <c r="H64" s="269">
        <f t="shared" si="5"/>
        <v>1.0851730172633793</v>
      </c>
      <c r="I64" s="57">
        <f t="shared" si="6"/>
        <v>1260814.4389275131</v>
      </c>
      <c r="L64" s="28"/>
    </row>
    <row r="65" spans="1:9" x14ac:dyDescent="0.25">
      <c r="A65" s="49">
        <f>'A) Base RI'!A67</f>
        <v>5496</v>
      </c>
      <c r="B65" s="32" t="str">
        <f>'A) Base RI'!B67</f>
        <v>Penthaz</v>
      </c>
      <c r="C65" s="98">
        <f>'A) Base RI'!AO67</f>
        <v>1760</v>
      </c>
      <c r="D65" s="114">
        <f>'D) Ecrêtage'!E65</f>
        <v>33.790204465428936</v>
      </c>
      <c r="E65" s="34">
        <f t="shared" si="3"/>
        <v>13.334520627209741</v>
      </c>
      <c r="F65" s="268">
        <f t="shared" si="4"/>
        <v>449896.05834555498</v>
      </c>
      <c r="G65" s="33">
        <f>+'A) Base RI'!AN67</f>
        <v>71</v>
      </c>
      <c r="H65" s="269">
        <f t="shared" si="5"/>
        <v>1.0411795165635125</v>
      </c>
      <c r="I65" s="57">
        <f t="shared" si="6"/>
        <v>468422.56053205475</v>
      </c>
    </row>
    <row r="66" spans="1:9" x14ac:dyDescent="0.25">
      <c r="A66" s="49">
        <f>'A) Base RI'!A68</f>
        <v>5497</v>
      </c>
      <c r="B66" s="32" t="str">
        <f>'A) Base RI'!B68</f>
        <v>Pompaples</v>
      </c>
      <c r="C66" s="98">
        <f>'A) Base RI'!AO68</f>
        <v>851</v>
      </c>
      <c r="D66" s="114">
        <f>'D) Ecrêtage'!E66</f>
        <v>26.205474130256739</v>
      </c>
      <c r="E66" s="34">
        <f t="shared" si="3"/>
        <v>20.919250962381938</v>
      </c>
      <c r="F66" s="268">
        <f t="shared" si="4"/>
        <v>317236.67537934886</v>
      </c>
      <c r="G66" s="33">
        <f>+'A) Base RI'!AN68</f>
        <v>66</v>
      </c>
      <c r="H66" s="269">
        <f t="shared" si="5"/>
        <v>0.96785701539706803</v>
      </c>
      <c r="I66" s="57">
        <f t="shared" si="6"/>
        <v>307039.74180714512</v>
      </c>
    </row>
    <row r="67" spans="1:9" x14ac:dyDescent="0.25">
      <c r="A67" s="49">
        <f>'A) Base RI'!A69</f>
        <v>5498</v>
      </c>
      <c r="B67" s="32" t="str">
        <f>'A) Base RI'!B69</f>
        <v>La Sarraz</v>
      </c>
      <c r="C67" s="98">
        <f>'A) Base RI'!AO69</f>
        <v>2651</v>
      </c>
      <c r="D67" s="114">
        <f>'D) Ecrêtage'!E67</f>
        <v>29.29060668929964</v>
      </c>
      <c r="E67" s="34">
        <f t="shared" si="3"/>
        <v>17.834118403339037</v>
      </c>
      <c r="F67" s="268">
        <f t="shared" si="4"/>
        <v>842498.37735082698</v>
      </c>
      <c r="G67" s="33">
        <f>+'A) Base RI'!AN69</f>
        <v>66</v>
      </c>
      <c r="H67" s="269">
        <f t="shared" si="5"/>
        <v>0.96785701539706803</v>
      </c>
      <c r="I67" s="57">
        <f t="shared" si="6"/>
        <v>815417.96497964417</v>
      </c>
    </row>
    <row r="68" spans="1:9" x14ac:dyDescent="0.25">
      <c r="A68" s="49">
        <f>'A) Base RI'!A70</f>
        <v>5499</v>
      </c>
      <c r="B68" s="32" t="str">
        <f>'A) Base RI'!B70</f>
        <v>Senarclens</v>
      </c>
      <c r="C68" s="98">
        <f>'A) Base RI'!AO70</f>
        <v>477</v>
      </c>
      <c r="D68" s="114">
        <f>'D) Ecrêtage'!E68</f>
        <v>40.916925431146616</v>
      </c>
      <c r="E68" s="34">
        <f t="shared" si="3"/>
        <v>6.2077996614920607</v>
      </c>
      <c r="F68" s="268">
        <f t="shared" si="4"/>
        <v>54765.922510644035</v>
      </c>
      <c r="G68" s="33">
        <f>+'A) Base RI'!AN70</f>
        <v>68.5</v>
      </c>
      <c r="H68" s="269">
        <f t="shared" si="5"/>
        <v>1.0045182659802903</v>
      </c>
      <c r="I68" s="57">
        <f t="shared" si="6"/>
        <v>55013.369515203092</v>
      </c>
    </row>
    <row r="69" spans="1:9" x14ac:dyDescent="0.25">
      <c r="A69" s="49">
        <f>'A) Base RI'!A71</f>
        <v>5500</v>
      </c>
      <c r="B69" s="32" t="str">
        <f>'A) Base RI'!B71</f>
        <v>Sévery</v>
      </c>
      <c r="C69" s="98">
        <f>'A) Base RI'!AO71</f>
        <v>227</v>
      </c>
      <c r="D69" s="114">
        <f>'D) Ecrêtage'!E69</f>
        <v>30.832708761625064</v>
      </c>
      <c r="E69" s="34">
        <f t="shared" si="3"/>
        <v>16.292016331013613</v>
      </c>
      <c r="F69" s="268">
        <f t="shared" si="4"/>
        <v>74890.326069586838</v>
      </c>
      <c r="G69" s="33">
        <f>+'A) Base RI'!AN71</f>
        <v>75</v>
      </c>
      <c r="H69" s="269">
        <f t="shared" si="5"/>
        <v>1.0998375174966681</v>
      </c>
      <c r="I69" s="57">
        <f t="shared" si="6"/>
        <v>82367.190308890393</v>
      </c>
    </row>
    <row r="70" spans="1:9" x14ac:dyDescent="0.25">
      <c r="A70" s="49">
        <f>'A) Base RI'!A72</f>
        <v>5501</v>
      </c>
      <c r="B70" s="32" t="str">
        <f>'A) Base RI'!B72</f>
        <v>Sullens</v>
      </c>
      <c r="C70" s="98">
        <f>'A) Base RI'!AO72</f>
        <v>1035</v>
      </c>
      <c r="D70" s="114">
        <f>'D) Ecrêtage'!E70</f>
        <v>39.105042097998613</v>
      </c>
      <c r="E70" s="34">
        <f t="shared" ref="E70:E133" si="7">IF($D$314-D70&lt;0,0,$D$314-D70)</f>
        <v>8.0196829946400641</v>
      </c>
      <c r="F70" s="268">
        <f t="shared" ref="F70:F133" si="8">(C70*E70*G70)*$E$4</f>
        <v>156877.02889965163</v>
      </c>
      <c r="G70" s="33">
        <f>+'A) Base RI'!AN72</f>
        <v>70</v>
      </c>
      <c r="H70" s="269">
        <f t="shared" ref="H70:H133" si="9">G70/$G$314</f>
        <v>1.0265150163302237</v>
      </c>
      <c r="I70" s="57">
        <f t="shared" ref="I70:I133" si="10">F70*H70</f>
        <v>161036.62588276286</v>
      </c>
    </row>
    <row r="71" spans="1:9" x14ac:dyDescent="0.25">
      <c r="A71" s="49">
        <f>'A) Base RI'!A73</f>
        <v>5503</v>
      </c>
      <c r="B71" s="32" t="str">
        <f>'A) Base RI'!B73</f>
        <v>Vufflens-la-Ville</v>
      </c>
      <c r="C71" s="98">
        <f>'A) Base RI'!AO73</f>
        <v>1295</v>
      </c>
      <c r="D71" s="114">
        <f>'D) Ecrêtage'!E71</f>
        <v>67.896846654757113</v>
      </c>
      <c r="E71" s="34">
        <f t="shared" si="7"/>
        <v>0</v>
      </c>
      <c r="F71" s="268">
        <f t="shared" si="8"/>
        <v>0</v>
      </c>
      <c r="G71" s="33">
        <f>+'A) Base RI'!AN73</f>
        <v>67</v>
      </c>
      <c r="H71" s="269">
        <f t="shared" si="9"/>
        <v>0.98252151563035695</v>
      </c>
      <c r="I71" s="57">
        <f t="shared" si="10"/>
        <v>0</v>
      </c>
    </row>
    <row r="72" spans="1:9" x14ac:dyDescent="0.25">
      <c r="A72" s="49">
        <f>'A) Base RI'!A74</f>
        <v>5511</v>
      </c>
      <c r="B72" s="32" t="str">
        <f>'A) Base RI'!B74</f>
        <v>Assens</v>
      </c>
      <c r="C72" s="98">
        <f>'A) Base RI'!AO74</f>
        <v>1074</v>
      </c>
      <c r="D72" s="114">
        <f>'D) Ecrêtage'!E72</f>
        <v>46.618160548018089</v>
      </c>
      <c r="E72" s="34">
        <f t="shared" si="7"/>
        <v>0.50656454462058775</v>
      </c>
      <c r="F72" s="268">
        <f t="shared" si="8"/>
        <v>10282.551065435462</v>
      </c>
      <c r="G72" s="33">
        <f>+'A) Base RI'!AN74</f>
        <v>70</v>
      </c>
      <c r="H72" s="269">
        <f t="shared" si="9"/>
        <v>1.0265150163302237</v>
      </c>
      <c r="I72" s="57">
        <f t="shared" si="10"/>
        <v>10555.193074851843</v>
      </c>
    </row>
    <row r="73" spans="1:9" x14ac:dyDescent="0.25">
      <c r="A73" s="49">
        <f>'A) Base RI'!A75</f>
        <v>5512</v>
      </c>
      <c r="B73" s="32" t="str">
        <f>'A) Base RI'!B75</f>
        <v>Bercher</v>
      </c>
      <c r="C73" s="98">
        <f>'A) Base RI'!AO75</f>
        <v>1280</v>
      </c>
      <c r="D73" s="114">
        <f>'D) Ecrêtage'!E73</f>
        <v>31.254373912183546</v>
      </c>
      <c r="E73" s="34">
        <f t="shared" si="7"/>
        <v>15.870351180455131</v>
      </c>
      <c r="F73" s="268">
        <f t="shared" si="8"/>
        <v>433298.67606925819</v>
      </c>
      <c r="G73" s="33">
        <f>+'A) Base RI'!AN75</f>
        <v>79</v>
      </c>
      <c r="H73" s="269">
        <f t="shared" si="9"/>
        <v>1.1584955184298238</v>
      </c>
      <c r="I73" s="57">
        <f t="shared" si="10"/>
        <v>501974.57436781155</v>
      </c>
    </row>
    <row r="74" spans="1:9" x14ac:dyDescent="0.25">
      <c r="A74" s="49">
        <f>'A) Base RI'!A76</f>
        <v>5513</v>
      </c>
      <c r="B74" s="32" t="str">
        <f>'A) Base RI'!B76</f>
        <v>Bioley-Orjulaz</v>
      </c>
      <c r="C74" s="98">
        <f>'A) Base RI'!AO76</f>
        <v>521</v>
      </c>
      <c r="D74" s="114">
        <f>'D) Ecrêtage'!E74</f>
        <v>42.297785367505931</v>
      </c>
      <c r="E74" s="34">
        <f t="shared" si="7"/>
        <v>4.8269397251327462</v>
      </c>
      <c r="F74" s="268">
        <f t="shared" si="8"/>
        <v>46172.38155714079</v>
      </c>
      <c r="G74" s="33">
        <f>+'A) Base RI'!AN76</f>
        <v>68</v>
      </c>
      <c r="H74" s="269">
        <f t="shared" si="9"/>
        <v>0.99718601586364586</v>
      </c>
      <c r="I74" s="57">
        <f t="shared" si="10"/>
        <v>46042.453207901308</v>
      </c>
    </row>
    <row r="75" spans="1:9" x14ac:dyDescent="0.25">
      <c r="A75" s="49">
        <f>'A) Base RI'!A77</f>
        <v>5514</v>
      </c>
      <c r="B75" s="32" t="str">
        <f>'A) Base RI'!B77</f>
        <v>Bottens</v>
      </c>
      <c r="C75" s="98">
        <f>'A) Base RI'!AO77</f>
        <v>1299</v>
      </c>
      <c r="D75" s="114">
        <f>'D) Ecrêtage'!E75</f>
        <v>31.396579385390005</v>
      </c>
      <c r="E75" s="34">
        <f t="shared" si="7"/>
        <v>15.728145707248672</v>
      </c>
      <c r="F75" s="268">
        <f t="shared" si="8"/>
        <v>408208.6082488462</v>
      </c>
      <c r="G75" s="33">
        <f>+'A) Base RI'!AN77</f>
        <v>74</v>
      </c>
      <c r="H75" s="269">
        <f t="shared" si="9"/>
        <v>1.0851730172633793</v>
      </c>
      <c r="I75" s="57">
        <f t="shared" si="10"/>
        <v>442976.96708628524</v>
      </c>
    </row>
    <row r="76" spans="1:9" x14ac:dyDescent="0.25">
      <c r="A76" s="49">
        <f>'A) Base RI'!A78</f>
        <v>5515</v>
      </c>
      <c r="B76" s="32" t="str">
        <f>'A) Base RI'!B78</f>
        <v>Bretigny-sur-Morrens</v>
      </c>
      <c r="C76" s="98">
        <f>'A) Base RI'!AO78</f>
        <v>861</v>
      </c>
      <c r="D76" s="114">
        <f>'D) Ecrêtage'!E76</f>
        <v>33.479496852640487</v>
      </c>
      <c r="E76" s="34">
        <f t="shared" si="7"/>
        <v>13.64522823999819</v>
      </c>
      <c r="F76" s="268">
        <f t="shared" si="8"/>
        <v>256940.60292514274</v>
      </c>
      <c r="G76" s="33">
        <f>+'A) Base RI'!AN78</f>
        <v>81</v>
      </c>
      <c r="H76" s="269">
        <f t="shared" si="9"/>
        <v>1.1878245188964016</v>
      </c>
      <c r="I76" s="57">
        <f t="shared" si="10"/>
        <v>305200.34805450903</v>
      </c>
    </row>
    <row r="77" spans="1:9" x14ac:dyDescent="0.25">
      <c r="A77" s="49">
        <f>'A) Base RI'!A79</f>
        <v>5516</v>
      </c>
      <c r="B77" s="32" t="str">
        <f>'A) Base RI'!B79</f>
        <v>Cugy</v>
      </c>
      <c r="C77" s="98">
        <f>'A) Base RI'!AO79</f>
        <v>2768</v>
      </c>
      <c r="D77" s="114">
        <f>'D) Ecrêtage'!E77</f>
        <v>40.160072431883307</v>
      </c>
      <c r="E77" s="34">
        <f t="shared" si="7"/>
        <v>6.9646526607553696</v>
      </c>
      <c r="F77" s="268">
        <f t="shared" si="8"/>
        <v>405998.01937828638</v>
      </c>
      <c r="G77" s="33">
        <f>+'A) Base RI'!AN79</f>
        <v>78</v>
      </c>
      <c r="H77" s="269">
        <f t="shared" si="9"/>
        <v>1.143831018196535</v>
      </c>
      <c r="I77" s="57">
        <f t="shared" si="10"/>
        <v>464393.12789124186</v>
      </c>
    </row>
    <row r="78" spans="1:9" x14ac:dyDescent="0.25">
      <c r="A78" s="49">
        <f>'A) Base RI'!A80</f>
        <v>5518</v>
      </c>
      <c r="B78" s="32" t="str">
        <f>'A) Base RI'!B80</f>
        <v>Echallens</v>
      </c>
      <c r="C78" s="98">
        <f>'A) Base RI'!AO80</f>
        <v>5725</v>
      </c>
      <c r="D78" s="114">
        <f>'D) Ecrêtage'!E78</f>
        <v>32.80636069868995</v>
      </c>
      <c r="E78" s="34">
        <f t="shared" si="7"/>
        <v>14.318364393948727</v>
      </c>
      <c r="F78" s="268">
        <f t="shared" si="8"/>
        <v>1637813.2703840223</v>
      </c>
      <c r="G78" s="33">
        <f>+'A) Base RI'!AN80</f>
        <v>74</v>
      </c>
      <c r="H78" s="269">
        <f t="shared" si="9"/>
        <v>1.0851730172633793</v>
      </c>
      <c r="I78" s="57">
        <f t="shared" si="10"/>
        <v>1777310.7683366323</v>
      </c>
    </row>
    <row r="79" spans="1:9" x14ac:dyDescent="0.25">
      <c r="A79" s="49">
        <f>'A) Base RI'!A81</f>
        <v>5520</v>
      </c>
      <c r="B79" s="32" t="str">
        <f>'A) Base RI'!B81</f>
        <v>Essertines-sur-Yverdon</v>
      </c>
      <c r="C79" s="98">
        <f>'A) Base RI'!AO81</f>
        <v>1030</v>
      </c>
      <c r="D79" s="114">
        <f>'D) Ecrêtage'!E79</f>
        <v>28.988680010639719</v>
      </c>
      <c r="E79" s="34">
        <f t="shared" si="7"/>
        <v>18.136045081998958</v>
      </c>
      <c r="F79" s="268">
        <f t="shared" si="8"/>
        <v>368185.29202318547</v>
      </c>
      <c r="G79" s="33">
        <f>+'A) Base RI'!AN81</f>
        <v>73</v>
      </c>
      <c r="H79" s="269">
        <f t="shared" si="9"/>
        <v>1.0705085170300903</v>
      </c>
      <c r="I79" s="57">
        <f t="shared" si="10"/>
        <v>394145.49095603102</v>
      </c>
    </row>
    <row r="80" spans="1:9" x14ac:dyDescent="0.25">
      <c r="A80" s="49">
        <f>'A) Base RI'!A82</f>
        <v>5521</v>
      </c>
      <c r="B80" s="32" t="str">
        <f>'A) Base RI'!B82</f>
        <v>Etagnières</v>
      </c>
      <c r="C80" s="98">
        <f>'A) Base RI'!AO82</f>
        <v>1143</v>
      </c>
      <c r="D80" s="114">
        <f>'D) Ecrêtage'!E80</f>
        <v>42.23860293148288</v>
      </c>
      <c r="E80" s="34">
        <f t="shared" si="7"/>
        <v>4.8861221611557966</v>
      </c>
      <c r="F80" s="268">
        <f t="shared" si="8"/>
        <v>110077.1496912632</v>
      </c>
      <c r="G80" s="33">
        <f>+'A) Base RI'!AN82</f>
        <v>73</v>
      </c>
      <c r="H80" s="269">
        <f t="shared" si="9"/>
        <v>1.0705085170300903</v>
      </c>
      <c r="I80" s="57">
        <f t="shared" si="10"/>
        <v>117838.52627489343</v>
      </c>
    </row>
    <row r="81" spans="1:9" x14ac:dyDescent="0.25">
      <c r="A81" s="49">
        <f>'A) Base RI'!A83</f>
        <v>5522</v>
      </c>
      <c r="B81" s="32" t="str">
        <f>'A) Base RI'!B83</f>
        <v>Fey</v>
      </c>
      <c r="C81" s="98">
        <f>'A) Base RI'!AO83</f>
        <v>751</v>
      </c>
      <c r="D81" s="114">
        <f>'D) Ecrêtage'!E81</f>
        <v>30.263034709276518</v>
      </c>
      <c r="E81" s="34">
        <f t="shared" si="7"/>
        <v>16.861690383362159</v>
      </c>
      <c r="F81" s="268">
        <f t="shared" si="8"/>
        <v>256428.37192757591</v>
      </c>
      <c r="G81" s="33">
        <f>+'A) Base RI'!AN83</f>
        <v>75</v>
      </c>
      <c r="H81" s="269">
        <f t="shared" si="9"/>
        <v>1.0998375174966681</v>
      </c>
      <c r="I81" s="57">
        <f t="shared" si="10"/>
        <v>282029.5439965374</v>
      </c>
    </row>
    <row r="82" spans="1:9" x14ac:dyDescent="0.25">
      <c r="A82" s="49">
        <f>'A) Base RI'!A84</f>
        <v>5523</v>
      </c>
      <c r="B82" s="32" t="str">
        <f>'A) Base RI'!B84</f>
        <v>Froideville</v>
      </c>
      <c r="C82" s="98">
        <f>'A) Base RI'!AO84</f>
        <v>2638</v>
      </c>
      <c r="D82" s="114">
        <f>'D) Ecrêtage'!E82</f>
        <v>33.82552207613422</v>
      </c>
      <c r="E82" s="34">
        <f t="shared" si="7"/>
        <v>13.299203016504457</v>
      </c>
      <c r="F82" s="268">
        <f t="shared" si="8"/>
        <v>719909.26588069531</v>
      </c>
      <c r="G82" s="33">
        <f>+'A) Base RI'!AN84</f>
        <v>76</v>
      </c>
      <c r="H82" s="269">
        <f t="shared" si="9"/>
        <v>1.1145020177299572</v>
      </c>
      <c r="I82" s="57">
        <f t="shared" si="10"/>
        <v>802340.3294065271</v>
      </c>
    </row>
    <row r="83" spans="1:9" x14ac:dyDescent="0.25">
      <c r="A83" s="49">
        <f>'A) Base RI'!A85</f>
        <v>5527</v>
      </c>
      <c r="B83" s="32" t="str">
        <f>'A) Base RI'!B85</f>
        <v>Morrens</v>
      </c>
      <c r="C83" s="98">
        <f>'A) Base RI'!AO85</f>
        <v>1126</v>
      </c>
      <c r="D83" s="114">
        <f>'D) Ecrêtage'!E83</f>
        <v>35.645791248619858</v>
      </c>
      <c r="E83" s="34">
        <f t="shared" si="7"/>
        <v>11.478933844018819</v>
      </c>
      <c r="F83" s="268">
        <f t="shared" si="8"/>
        <v>258247.08457713653</v>
      </c>
      <c r="G83" s="33">
        <f>+'A) Base RI'!AN85</f>
        <v>74</v>
      </c>
      <c r="H83" s="269">
        <f t="shared" si="9"/>
        <v>1.0851730172633793</v>
      </c>
      <c r="I83" s="57">
        <f t="shared" si="10"/>
        <v>280242.76797004236</v>
      </c>
    </row>
    <row r="84" spans="1:9" x14ac:dyDescent="0.25">
      <c r="A84" s="49">
        <f>'A) Base RI'!A86</f>
        <v>5529</v>
      </c>
      <c r="B84" s="32" t="str">
        <f>'A) Base RI'!B86</f>
        <v>Oulens-sous-Echallens</v>
      </c>
      <c r="C84" s="98">
        <f>'A) Base RI'!AO86</f>
        <v>615</v>
      </c>
      <c r="D84" s="114">
        <f>'D) Ecrêtage'!E84</f>
        <v>35.126194205885724</v>
      </c>
      <c r="E84" s="34">
        <f t="shared" si="7"/>
        <v>11.998530886752953</v>
      </c>
      <c r="F84" s="268">
        <f t="shared" si="8"/>
        <v>141457.27981591827</v>
      </c>
      <c r="G84" s="33">
        <f>+'A) Base RI'!AN86</f>
        <v>71</v>
      </c>
      <c r="H84" s="269">
        <f t="shared" si="9"/>
        <v>1.0411795165635125</v>
      </c>
      <c r="I84" s="57">
        <f t="shared" si="10"/>
        <v>147282.42221312728</v>
      </c>
    </row>
    <row r="85" spans="1:9" x14ac:dyDescent="0.25">
      <c r="A85" s="49">
        <f>'A) Base RI'!A87</f>
        <v>5530</v>
      </c>
      <c r="B85" s="32" t="str">
        <f>'A) Base RI'!B87</f>
        <v>Pailly</v>
      </c>
      <c r="C85" s="98">
        <f>'A) Base RI'!AO87</f>
        <v>563</v>
      </c>
      <c r="D85" s="114">
        <f>'D) Ecrêtage'!E85</f>
        <v>31.305598846425632</v>
      </c>
      <c r="E85" s="34">
        <f t="shared" si="7"/>
        <v>15.819126246213045</v>
      </c>
      <c r="F85" s="268">
        <f t="shared" si="8"/>
        <v>186361.56700323051</v>
      </c>
      <c r="G85" s="33">
        <f>+'A) Base RI'!AN87</f>
        <v>77.5</v>
      </c>
      <c r="H85" s="269">
        <f t="shared" si="9"/>
        <v>1.1364987680798906</v>
      </c>
      <c r="I85" s="57">
        <f t="shared" si="10"/>
        <v>211799.69131660945</v>
      </c>
    </row>
    <row r="86" spans="1:9" x14ac:dyDescent="0.25">
      <c r="A86" s="49">
        <f>'A) Base RI'!A88</f>
        <v>5531</v>
      </c>
      <c r="B86" s="32" t="str">
        <f>'A) Base RI'!B88</f>
        <v>Penthéréaz</v>
      </c>
      <c r="C86" s="98">
        <f>'A) Base RI'!AO88</f>
        <v>421</v>
      </c>
      <c r="D86" s="114">
        <f>'D) Ecrêtage'!E86</f>
        <v>34.807084170777763</v>
      </c>
      <c r="E86" s="34">
        <f t="shared" si="7"/>
        <v>12.317640921860914</v>
      </c>
      <c r="F86" s="268">
        <f t="shared" si="8"/>
        <v>109211.40699985855</v>
      </c>
      <c r="G86" s="33">
        <f>+'A) Base RI'!AN88</f>
        <v>78</v>
      </c>
      <c r="H86" s="269">
        <f t="shared" si="9"/>
        <v>1.143831018196535</v>
      </c>
      <c r="I86" s="57">
        <f t="shared" si="10"/>
        <v>124919.39486732439</v>
      </c>
    </row>
    <row r="87" spans="1:9" x14ac:dyDescent="0.25">
      <c r="A87" s="49">
        <f>'A) Base RI'!A89</f>
        <v>5533</v>
      </c>
      <c r="B87" s="32" t="str">
        <f>'A) Base RI'!B89</f>
        <v>Poliez-Pittet</v>
      </c>
      <c r="C87" s="98">
        <f>'A) Base RI'!AO89</f>
        <v>829</v>
      </c>
      <c r="D87" s="114">
        <f>'D) Ecrêtage'!E87</f>
        <v>27.546597650247037</v>
      </c>
      <c r="E87" s="34">
        <f t="shared" si="7"/>
        <v>19.57812744239164</v>
      </c>
      <c r="F87" s="268">
        <f t="shared" si="8"/>
        <v>319898.57537642802</v>
      </c>
      <c r="G87" s="33">
        <f>+'A) Base RI'!AN89</f>
        <v>73</v>
      </c>
      <c r="H87" s="269">
        <f t="shared" si="9"/>
        <v>1.0705085170300903</v>
      </c>
      <c r="I87" s="57">
        <f t="shared" si="10"/>
        <v>342454.14952625852</v>
      </c>
    </row>
    <row r="88" spans="1:9" x14ac:dyDescent="0.25">
      <c r="A88" s="49">
        <f>'A) Base RI'!A90</f>
        <v>5534</v>
      </c>
      <c r="B88" s="32" t="str">
        <f>'A) Base RI'!B90</f>
        <v>Rueyres</v>
      </c>
      <c r="C88" s="98">
        <f>'A) Base RI'!AO90</f>
        <v>265</v>
      </c>
      <c r="D88" s="114">
        <f>'D) Ecrêtage'!E88</f>
        <v>39.486613078314811</v>
      </c>
      <c r="E88" s="34">
        <f t="shared" si="7"/>
        <v>7.6381120143238661</v>
      </c>
      <c r="F88" s="268">
        <f t="shared" si="8"/>
        <v>39895.004767615712</v>
      </c>
      <c r="G88" s="33">
        <f>+'A) Base RI'!AN90</f>
        <v>73</v>
      </c>
      <c r="H88" s="269">
        <f t="shared" si="9"/>
        <v>1.0705085170300903</v>
      </c>
      <c r="I88" s="57">
        <f t="shared" si="10"/>
        <v>42707.94239068868</v>
      </c>
    </row>
    <row r="89" spans="1:9" x14ac:dyDescent="0.25">
      <c r="A89" s="49">
        <f>'A) Base RI'!A91</f>
        <v>5535</v>
      </c>
      <c r="B89" s="32" t="str">
        <f>'A) Base RI'!B91</f>
        <v>Saint-Barthélemy</v>
      </c>
      <c r="C89" s="98">
        <f>'A) Base RI'!AO91</f>
        <v>791</v>
      </c>
      <c r="D89" s="114">
        <f>'D) Ecrêtage'!E89</f>
        <v>28.41838885513981</v>
      </c>
      <c r="E89" s="34">
        <f t="shared" si="7"/>
        <v>18.706336237498867</v>
      </c>
      <c r="F89" s="268">
        <f t="shared" si="8"/>
        <v>307623.64172868273</v>
      </c>
      <c r="G89" s="33">
        <f>+'A) Base RI'!AN91</f>
        <v>77</v>
      </c>
      <c r="H89" s="269">
        <f t="shared" si="9"/>
        <v>1.129166517963246</v>
      </c>
      <c r="I89" s="57">
        <f t="shared" si="10"/>
        <v>347358.31637394975</v>
      </c>
    </row>
    <row r="90" spans="1:9" x14ac:dyDescent="0.25">
      <c r="A90" s="49">
        <f>'A) Base RI'!A92</f>
        <v>5537</v>
      </c>
      <c r="B90" s="32" t="str">
        <f>'A) Base RI'!B92</f>
        <v>Villars-le-Terroir</v>
      </c>
      <c r="C90" s="98">
        <f>'A) Base RI'!AO92</f>
        <v>1228</v>
      </c>
      <c r="D90" s="114">
        <f>'D) Ecrêtage'!E90</f>
        <v>29.534775138324935</v>
      </c>
      <c r="E90" s="34">
        <f t="shared" si="7"/>
        <v>17.589949954313742</v>
      </c>
      <c r="F90" s="268">
        <f t="shared" si="8"/>
        <v>425745.03790021531</v>
      </c>
      <c r="G90" s="33">
        <f>+'A) Base RI'!AN92</f>
        <v>73</v>
      </c>
      <c r="H90" s="269">
        <f t="shared" si="9"/>
        <v>1.0705085170300903</v>
      </c>
      <c r="I90" s="57">
        <f t="shared" si="10"/>
        <v>455763.68915547908</v>
      </c>
    </row>
    <row r="91" spans="1:9" x14ac:dyDescent="0.25">
      <c r="A91" s="49">
        <f>'A) Base RI'!A93</f>
        <v>5539</v>
      </c>
      <c r="B91" s="32" t="str">
        <f>'A) Base RI'!B93</f>
        <v>Vuarrens</v>
      </c>
      <c r="C91" s="98">
        <f>'A) Base RI'!AO93</f>
        <v>1054</v>
      </c>
      <c r="D91" s="114">
        <f>'D) Ecrêtage'!E91</f>
        <v>28.463574383301705</v>
      </c>
      <c r="E91" s="34">
        <f t="shared" si="7"/>
        <v>18.661150709336972</v>
      </c>
      <c r="F91" s="268">
        <f t="shared" si="8"/>
        <v>398294.27016473369</v>
      </c>
      <c r="G91" s="33">
        <f>+'A) Base RI'!AN93</f>
        <v>75</v>
      </c>
      <c r="H91" s="269">
        <f t="shared" si="9"/>
        <v>1.0998375174966681</v>
      </c>
      <c r="I91" s="57">
        <f t="shared" si="10"/>
        <v>438058.98133112799</v>
      </c>
    </row>
    <row r="92" spans="1:9" x14ac:dyDescent="0.25">
      <c r="A92" s="49">
        <f>'A) Base RI'!A94</f>
        <v>5540</v>
      </c>
      <c r="B92" s="32" t="str">
        <f>'A) Base RI'!B94</f>
        <v>Montilliez</v>
      </c>
      <c r="C92" s="98">
        <f>'A) Base RI'!AO94</f>
        <v>1819</v>
      </c>
      <c r="D92" s="114">
        <f>'D) Ecrêtage'!E92</f>
        <v>35.602959452030369</v>
      </c>
      <c r="E92" s="34">
        <f t="shared" si="7"/>
        <v>11.521765640608308</v>
      </c>
      <c r="F92" s="268">
        <f t="shared" si="8"/>
        <v>418742.67217132496</v>
      </c>
      <c r="G92" s="33">
        <f>+'A) Base RI'!AN94</f>
        <v>74</v>
      </c>
      <c r="H92" s="269">
        <f t="shared" si="9"/>
        <v>1.0851730172633793</v>
      </c>
      <c r="I92" s="57">
        <f t="shared" si="10"/>
        <v>454408.24901708681</v>
      </c>
    </row>
    <row r="93" spans="1:9" x14ac:dyDescent="0.25">
      <c r="A93" s="49">
        <f>'A) Base RI'!A95</f>
        <v>5541</v>
      </c>
      <c r="B93" s="32" t="str">
        <f>'A) Base RI'!B95</f>
        <v>Goumoëns</v>
      </c>
      <c r="C93" s="98">
        <f>'A) Base RI'!AO95</f>
        <v>1140</v>
      </c>
      <c r="D93" s="114">
        <f>'D) Ecrêtage'!E93</f>
        <v>32.797721918432437</v>
      </c>
      <c r="E93" s="34">
        <f t="shared" si="7"/>
        <v>14.32700317420624</v>
      </c>
      <c r="F93" s="268">
        <f t="shared" si="8"/>
        <v>339558.57143059239</v>
      </c>
      <c r="G93" s="33">
        <f>+'A) Base RI'!AN95</f>
        <v>77</v>
      </c>
      <c r="H93" s="269">
        <f t="shared" si="9"/>
        <v>1.129166517963246</v>
      </c>
      <c r="I93" s="57">
        <f t="shared" si="10"/>
        <v>383418.16974685615</v>
      </c>
    </row>
    <row r="94" spans="1:9" x14ac:dyDescent="0.25">
      <c r="A94" s="49">
        <f>'A) Base RI'!A96</f>
        <v>5551</v>
      </c>
      <c r="B94" s="32" t="str">
        <f>'A) Base RI'!B96</f>
        <v>Bonvillars</v>
      </c>
      <c r="C94" s="98">
        <f>'A) Base RI'!AO96</f>
        <v>490</v>
      </c>
      <c r="D94" s="114">
        <f>'D) Ecrêtage'!E94</f>
        <v>37.31062411873841</v>
      </c>
      <c r="E94" s="34">
        <f t="shared" si="7"/>
        <v>9.8141009739002669</v>
      </c>
      <c r="F94" s="268">
        <f t="shared" si="8"/>
        <v>71412.305736585302</v>
      </c>
      <c r="G94" s="33">
        <f>+'A) Base RI'!AN96</f>
        <v>55</v>
      </c>
      <c r="H94" s="269">
        <f t="shared" si="9"/>
        <v>0.80654751283088999</v>
      </c>
      <c r="I94" s="57">
        <f t="shared" si="10"/>
        <v>57597.417577361972</v>
      </c>
    </row>
    <row r="95" spans="1:9" x14ac:dyDescent="0.25">
      <c r="A95" s="49">
        <f>'A) Base RI'!A97</f>
        <v>5552</v>
      </c>
      <c r="B95" s="32" t="str">
        <f>'A) Base RI'!B97</f>
        <v>Bullet</v>
      </c>
      <c r="C95" s="98">
        <f>'A) Base RI'!AO97</f>
        <v>657</v>
      </c>
      <c r="D95" s="114">
        <f>'D) Ecrêtage'!E95</f>
        <v>27.964193198640565</v>
      </c>
      <c r="E95" s="34">
        <f t="shared" si="7"/>
        <v>19.160531893998112</v>
      </c>
      <c r="F95" s="268">
        <f t="shared" si="8"/>
        <v>248118.73294537174</v>
      </c>
      <c r="G95" s="33">
        <f>+'A) Base RI'!AN97</f>
        <v>73</v>
      </c>
      <c r="H95" s="269">
        <f t="shared" si="9"/>
        <v>1.0705085170300903</v>
      </c>
      <c r="I95" s="57">
        <f t="shared" si="10"/>
        <v>265613.21685273491</v>
      </c>
    </row>
    <row r="96" spans="1:9" x14ac:dyDescent="0.25">
      <c r="A96" s="49">
        <f>'A) Base RI'!A98</f>
        <v>5553</v>
      </c>
      <c r="B96" s="32" t="str">
        <f>'A) Base RI'!B98</f>
        <v>Champagne</v>
      </c>
      <c r="C96" s="98">
        <f>'A) Base RI'!AO98</f>
        <v>1059</v>
      </c>
      <c r="D96" s="114">
        <f>'D) Ecrêtage'!E96</f>
        <v>35.594995859664415</v>
      </c>
      <c r="E96" s="34">
        <f t="shared" si="7"/>
        <v>11.529729232974262</v>
      </c>
      <c r="F96" s="268">
        <f t="shared" si="8"/>
        <v>214285.2061729815</v>
      </c>
      <c r="G96" s="33">
        <f>+'A) Base RI'!AN98</f>
        <v>65</v>
      </c>
      <c r="H96" s="269">
        <f t="shared" si="9"/>
        <v>0.95319251516377912</v>
      </c>
      <c r="I96" s="57">
        <f t="shared" si="10"/>
        <v>204255.05463441322</v>
      </c>
    </row>
    <row r="97" spans="1:9" x14ac:dyDescent="0.25">
      <c r="A97" s="49">
        <f>'A) Base RI'!A99</f>
        <v>5554</v>
      </c>
      <c r="B97" s="32" t="str">
        <f>'A) Base RI'!B99</f>
        <v>Concise</v>
      </c>
      <c r="C97" s="98">
        <f>'A) Base RI'!AO99</f>
        <v>1025</v>
      </c>
      <c r="D97" s="114">
        <f>'D) Ecrêtage'!E97</f>
        <v>32.475927804878054</v>
      </c>
      <c r="E97" s="34">
        <f t="shared" si="7"/>
        <v>14.648797287760623</v>
      </c>
      <c r="F97" s="268">
        <f t="shared" si="8"/>
        <v>304054.09870408144</v>
      </c>
      <c r="G97" s="33">
        <f>+'A) Base RI'!AN99</f>
        <v>75</v>
      </c>
      <c r="H97" s="269">
        <f t="shared" si="9"/>
        <v>1.0998375174966681</v>
      </c>
      <c r="I97" s="57">
        <f t="shared" si="10"/>
        <v>334410.10510338383</v>
      </c>
    </row>
    <row r="98" spans="1:9" x14ac:dyDescent="0.25">
      <c r="A98" s="49">
        <f>'A) Base RI'!A100</f>
        <v>5555</v>
      </c>
      <c r="B98" s="32" t="str">
        <f>'A) Base RI'!B100</f>
        <v>Corcelles-près-Concise</v>
      </c>
      <c r="C98" s="98">
        <f>'A) Base RI'!AO100</f>
        <v>401</v>
      </c>
      <c r="D98" s="114">
        <f>'D) Ecrêtage'!E98</f>
        <v>33.763073302658846</v>
      </c>
      <c r="E98" s="34">
        <f t="shared" si="7"/>
        <v>13.361651789979831</v>
      </c>
      <c r="F98" s="268">
        <f t="shared" si="8"/>
        <v>102713.28879037926</v>
      </c>
      <c r="G98" s="33">
        <f>+'A) Base RI'!AN100</f>
        <v>71</v>
      </c>
      <c r="H98" s="269">
        <f t="shared" si="9"/>
        <v>1.0411795165635125</v>
      </c>
      <c r="I98" s="57">
        <f t="shared" si="10"/>
        <v>106942.97236741552</v>
      </c>
    </row>
    <row r="99" spans="1:9" x14ac:dyDescent="0.25">
      <c r="A99" s="49">
        <f>'A) Base RI'!A101</f>
        <v>5556</v>
      </c>
      <c r="B99" s="32" t="str">
        <f>'A) Base RI'!B101</f>
        <v>Fiez</v>
      </c>
      <c r="C99" s="98">
        <f>'A) Base RI'!AO101</f>
        <v>445</v>
      </c>
      <c r="D99" s="114">
        <f>'D) Ecrêtage'!E99</f>
        <v>29.324947185583241</v>
      </c>
      <c r="E99" s="34">
        <f t="shared" si="7"/>
        <v>17.799777907055436</v>
      </c>
      <c r="F99" s="268">
        <f t="shared" si="8"/>
        <v>147566.38877175705</v>
      </c>
      <c r="G99" s="33">
        <f>+'A) Base RI'!AN101</f>
        <v>69</v>
      </c>
      <c r="H99" s="269">
        <f t="shared" si="9"/>
        <v>1.0118505160969347</v>
      </c>
      <c r="I99" s="57">
        <f t="shared" si="10"/>
        <v>149315.12663726328</v>
      </c>
    </row>
    <row r="100" spans="1:9" x14ac:dyDescent="0.25">
      <c r="A100" s="49">
        <f>'A) Base RI'!A102</f>
        <v>5557</v>
      </c>
      <c r="B100" s="32" t="str">
        <f>'A) Base RI'!B102</f>
        <v>Fontaines-sur-Grandson</v>
      </c>
      <c r="C100" s="98">
        <f>'A) Base RI'!AO102</f>
        <v>215</v>
      </c>
      <c r="D100" s="114">
        <f>'D) Ecrêtage'!E100</f>
        <v>30.44753488372093</v>
      </c>
      <c r="E100" s="34">
        <f t="shared" si="7"/>
        <v>16.677190208917747</v>
      </c>
      <c r="F100" s="268">
        <f t="shared" si="8"/>
        <v>66799.651522309592</v>
      </c>
      <c r="G100" s="33">
        <f>+'A) Base RI'!AN102</f>
        <v>69</v>
      </c>
      <c r="H100" s="269">
        <f t="shared" si="9"/>
        <v>1.0118505160969347</v>
      </c>
      <c r="I100" s="57">
        <f t="shared" si="10"/>
        <v>67591.261867944355</v>
      </c>
    </row>
    <row r="101" spans="1:9" x14ac:dyDescent="0.25">
      <c r="A101" s="49">
        <f>'A) Base RI'!A103</f>
        <v>5559</v>
      </c>
      <c r="B101" s="32" t="str">
        <f>'A) Base RI'!B103</f>
        <v>Giez</v>
      </c>
      <c r="C101" s="98">
        <f>'A) Base RI'!AO103</f>
        <v>414</v>
      </c>
      <c r="D101" s="114">
        <f>'D) Ecrêtage'!E101</f>
        <v>50.29584321475626</v>
      </c>
      <c r="E101" s="34">
        <f t="shared" si="7"/>
        <v>0</v>
      </c>
      <c r="F101" s="268">
        <f t="shared" si="8"/>
        <v>0</v>
      </c>
      <c r="G101" s="33">
        <f>+'A) Base RI'!AN103</f>
        <v>66</v>
      </c>
      <c r="H101" s="269">
        <f t="shared" si="9"/>
        <v>0.96785701539706803</v>
      </c>
      <c r="I101" s="57">
        <f t="shared" si="10"/>
        <v>0</v>
      </c>
    </row>
    <row r="102" spans="1:9" x14ac:dyDescent="0.25">
      <c r="A102" s="49">
        <f>'A) Base RI'!A104</f>
        <v>5560</v>
      </c>
      <c r="B102" s="32" t="str">
        <f>'A) Base RI'!B104</f>
        <v>Grandevent</v>
      </c>
      <c r="C102" s="98">
        <f>'A) Base RI'!AO104</f>
        <v>222</v>
      </c>
      <c r="D102" s="114">
        <f>'D) Ecrêtage'!E102</f>
        <v>33.360995627980927</v>
      </c>
      <c r="E102" s="34">
        <f t="shared" si="7"/>
        <v>13.76372946465775</v>
      </c>
      <c r="F102" s="268">
        <f t="shared" si="8"/>
        <v>56099.86019958782</v>
      </c>
      <c r="G102" s="33">
        <f>+'A) Base RI'!AN104</f>
        <v>68</v>
      </c>
      <c r="H102" s="269">
        <f t="shared" si="9"/>
        <v>0.99718601586364586</v>
      </c>
      <c r="I102" s="57">
        <f t="shared" si="10"/>
        <v>55941.996082934493</v>
      </c>
    </row>
    <row r="103" spans="1:9" x14ac:dyDescent="0.25">
      <c r="A103" s="49">
        <f>'A) Base RI'!A105</f>
        <v>5561</v>
      </c>
      <c r="B103" s="32" t="str">
        <f>'A) Base RI'!B105</f>
        <v>Grandson</v>
      </c>
      <c r="C103" s="98">
        <f>'A) Base RI'!AO105</f>
        <v>3340</v>
      </c>
      <c r="D103" s="114">
        <f>'D) Ecrêtage'!E103</f>
        <v>33.994783519916687</v>
      </c>
      <c r="E103" s="34">
        <f t="shared" si="7"/>
        <v>13.129941572721989</v>
      </c>
      <c r="F103" s="268">
        <f t="shared" si="8"/>
        <v>817000.1104093676</v>
      </c>
      <c r="G103" s="33">
        <f>+'A) Base RI'!AN105</f>
        <v>69</v>
      </c>
      <c r="H103" s="269">
        <f t="shared" si="9"/>
        <v>1.0118505160969347</v>
      </c>
      <c r="I103" s="57">
        <f t="shared" si="10"/>
        <v>826681.98336897115</v>
      </c>
    </row>
    <row r="104" spans="1:9" x14ac:dyDescent="0.25">
      <c r="A104" s="49">
        <f>'A) Base RI'!A106</f>
        <v>5562</v>
      </c>
      <c r="B104" s="32" t="str">
        <f>'A) Base RI'!B106</f>
        <v>Mauborget</v>
      </c>
      <c r="C104" s="98">
        <f>'A) Base RI'!AO106</f>
        <v>120</v>
      </c>
      <c r="D104" s="114">
        <f>'D) Ecrêtage'!E104</f>
        <v>45.727379166666665</v>
      </c>
      <c r="E104" s="34">
        <f t="shared" si="7"/>
        <v>1.3973459259720116</v>
      </c>
      <c r="F104" s="268">
        <f t="shared" si="8"/>
        <v>3169.1805601045221</v>
      </c>
      <c r="G104" s="33">
        <f>+'A) Base RI'!AN106</f>
        <v>70</v>
      </c>
      <c r="H104" s="269">
        <f t="shared" si="9"/>
        <v>1.0265150163302237</v>
      </c>
      <c r="I104" s="57">
        <f t="shared" si="10"/>
        <v>3253.211434409121</v>
      </c>
    </row>
    <row r="105" spans="1:9" x14ac:dyDescent="0.25">
      <c r="A105" s="49">
        <f>'A) Base RI'!A107</f>
        <v>5563</v>
      </c>
      <c r="B105" s="32" t="str">
        <f>'A) Base RI'!B107</f>
        <v>Mutrux</v>
      </c>
      <c r="C105" s="98">
        <f>'A) Base RI'!AO107</f>
        <v>153</v>
      </c>
      <c r="D105" s="114">
        <f>'D) Ecrêtage'!E105</f>
        <v>26.293870915032674</v>
      </c>
      <c r="E105" s="34">
        <f t="shared" si="7"/>
        <v>20.830854177606003</v>
      </c>
      <c r="F105" s="268">
        <f t="shared" si="8"/>
        <v>68841.806886152321</v>
      </c>
      <c r="G105" s="33">
        <f>+'A) Base RI'!AN107</f>
        <v>80</v>
      </c>
      <c r="H105" s="269">
        <f t="shared" si="9"/>
        <v>1.1731600186631128</v>
      </c>
      <c r="I105" s="57">
        <f t="shared" si="10"/>
        <v>80762.45545136086</v>
      </c>
    </row>
    <row r="106" spans="1:9" x14ac:dyDescent="0.25">
      <c r="A106" s="49">
        <f>'A) Base RI'!A108</f>
        <v>5564</v>
      </c>
      <c r="B106" s="32" t="str">
        <f>'A) Base RI'!B108</f>
        <v>Novalles</v>
      </c>
      <c r="C106" s="98">
        <f>'A) Base RI'!AO108</f>
        <v>100</v>
      </c>
      <c r="D106" s="114">
        <f>'D) Ecrêtage'!E106</f>
        <v>22.632775657894737</v>
      </c>
      <c r="E106" s="34">
        <f t="shared" si="7"/>
        <v>24.49194943474394</v>
      </c>
      <c r="F106" s="268">
        <f t="shared" si="8"/>
        <v>50257.480240094577</v>
      </c>
      <c r="G106" s="33">
        <f>+'A) Base RI'!AN108</f>
        <v>76</v>
      </c>
      <c r="H106" s="269">
        <f t="shared" si="9"/>
        <v>1.1145020177299572</v>
      </c>
      <c r="I106" s="57">
        <f t="shared" si="10"/>
        <v>56012.063133608855</v>
      </c>
    </row>
    <row r="107" spans="1:9" x14ac:dyDescent="0.25">
      <c r="A107" s="49">
        <f>'A) Base RI'!A109</f>
        <v>5565</v>
      </c>
      <c r="B107" s="32" t="str">
        <f>'A) Base RI'!B109</f>
        <v>Onnens</v>
      </c>
      <c r="C107" s="98">
        <f>'A) Base RI'!AO109</f>
        <v>497</v>
      </c>
      <c r="D107" s="114">
        <f>'D) Ecrêtage'!E107</f>
        <v>37.196781303203835</v>
      </c>
      <c r="E107" s="34">
        <f t="shared" si="7"/>
        <v>9.9279437894348419</v>
      </c>
      <c r="F107" s="268">
        <f t="shared" si="8"/>
        <v>86595.000511776991</v>
      </c>
      <c r="G107" s="33">
        <f>+'A) Base RI'!AN109</f>
        <v>65</v>
      </c>
      <c r="H107" s="269">
        <f t="shared" si="9"/>
        <v>0.95319251516377912</v>
      </c>
      <c r="I107" s="57">
        <f t="shared" si="10"/>
        <v>82541.706338429445</v>
      </c>
    </row>
    <row r="108" spans="1:9" x14ac:dyDescent="0.25">
      <c r="A108" s="49">
        <f>'A) Base RI'!A110</f>
        <v>5566</v>
      </c>
      <c r="B108" s="32" t="str">
        <f>'A) Base RI'!B110</f>
        <v>Provence</v>
      </c>
      <c r="C108" s="98">
        <f>'A) Base RI'!AO110</f>
        <v>379</v>
      </c>
      <c r="D108" s="114">
        <f>'D) Ecrêtage'!E108</f>
        <v>22.396573178279418</v>
      </c>
      <c r="E108" s="34">
        <f t="shared" si="7"/>
        <v>24.728151914359259</v>
      </c>
      <c r="F108" s="268">
        <f t="shared" si="8"/>
        <v>204964.97461710707</v>
      </c>
      <c r="G108" s="33">
        <f>+'A) Base RI'!AN110</f>
        <v>81</v>
      </c>
      <c r="H108" s="269">
        <f t="shared" si="9"/>
        <v>1.1878245188964016</v>
      </c>
      <c r="I108" s="57">
        <f t="shared" si="10"/>
        <v>243462.42236517838</v>
      </c>
    </row>
    <row r="109" spans="1:9" x14ac:dyDescent="0.25">
      <c r="A109" s="49">
        <f>'A) Base RI'!A111</f>
        <v>5568</v>
      </c>
      <c r="B109" s="32" t="str">
        <f>'A) Base RI'!B111</f>
        <v>Sainte-Croix</v>
      </c>
      <c r="C109" s="98">
        <f>'A) Base RI'!AO111</f>
        <v>4888</v>
      </c>
      <c r="D109" s="114">
        <f>'D) Ecrêtage'!E109</f>
        <v>22.360972322889875</v>
      </c>
      <c r="E109" s="34">
        <f t="shared" si="7"/>
        <v>24.763752769748802</v>
      </c>
      <c r="F109" s="268">
        <f t="shared" si="8"/>
        <v>2287754.7248782576</v>
      </c>
      <c r="G109" s="33">
        <f>+'A) Base RI'!AN111</f>
        <v>70</v>
      </c>
      <c r="H109" s="269">
        <f t="shared" si="9"/>
        <v>1.0265150163302237</v>
      </c>
      <c r="I109" s="57">
        <f t="shared" si="10"/>
        <v>2348414.5787679511</v>
      </c>
    </row>
    <row r="110" spans="1:9" x14ac:dyDescent="0.25">
      <c r="A110" s="49">
        <f>'A) Base RI'!A112</f>
        <v>5571</v>
      </c>
      <c r="B110" s="32" t="str">
        <f>'A) Base RI'!B112</f>
        <v>Tévenon</v>
      </c>
      <c r="C110" s="98">
        <f>'A) Base RI'!AO112</f>
        <v>896</v>
      </c>
      <c r="D110" s="114">
        <f>'D) Ecrêtage'!E110</f>
        <v>27.696384208863339</v>
      </c>
      <c r="E110" s="34">
        <f t="shared" si="7"/>
        <v>19.428340883775338</v>
      </c>
      <c r="F110" s="268">
        <f t="shared" si="8"/>
        <v>343107.60854201386</v>
      </c>
      <c r="G110" s="33">
        <f>+'A) Base RI'!AN112</f>
        <v>73</v>
      </c>
      <c r="H110" s="269">
        <f t="shared" si="9"/>
        <v>1.0705085170300903</v>
      </c>
      <c r="I110" s="57">
        <f t="shared" si="10"/>
        <v>367299.61720205197</v>
      </c>
    </row>
    <row r="111" spans="1:9" x14ac:dyDescent="0.25">
      <c r="A111" s="49">
        <f>'A) Base RI'!A113</f>
        <v>5581</v>
      </c>
      <c r="B111" s="32" t="str">
        <f>'A) Base RI'!B113</f>
        <v>Belmont-sur-Lausanne</v>
      </c>
      <c r="C111" s="98">
        <f>'A) Base RI'!AO113</f>
        <v>3773</v>
      </c>
      <c r="D111" s="114">
        <f>'D) Ecrêtage'!E111</f>
        <v>49.768005811271109</v>
      </c>
      <c r="E111" s="34">
        <f t="shared" si="7"/>
        <v>0</v>
      </c>
      <c r="F111" s="268">
        <f t="shared" si="8"/>
        <v>0</v>
      </c>
      <c r="G111" s="33">
        <f>+'A) Base RI'!AN113</f>
        <v>72</v>
      </c>
      <c r="H111" s="269">
        <f t="shared" si="9"/>
        <v>1.0558440167968015</v>
      </c>
      <c r="I111" s="57">
        <f t="shared" si="10"/>
        <v>0</v>
      </c>
    </row>
    <row r="112" spans="1:9" x14ac:dyDescent="0.25">
      <c r="A112" s="49">
        <f>'A) Base RI'!A114</f>
        <v>5582</v>
      </c>
      <c r="B112" s="32" t="str">
        <f>'A) Base RI'!B114</f>
        <v>Cheseaux-sur-Lausanne</v>
      </c>
      <c r="C112" s="98">
        <f>'A) Base RI'!AO114</f>
        <v>4339</v>
      </c>
      <c r="D112" s="114">
        <f>'D) Ecrêtage'!E112</f>
        <v>38.53321440779817</v>
      </c>
      <c r="E112" s="34">
        <f t="shared" si="7"/>
        <v>8.5915106848405074</v>
      </c>
      <c r="F112" s="268">
        <f t="shared" si="8"/>
        <v>749858.33218953433</v>
      </c>
      <c r="G112" s="33">
        <f>+'A) Base RI'!AN114</f>
        <v>74.5</v>
      </c>
      <c r="H112" s="269">
        <f t="shared" si="9"/>
        <v>1.0925052673800237</v>
      </c>
      <c r="I112" s="57">
        <f t="shared" si="10"/>
        <v>819224.17770586582</v>
      </c>
    </row>
    <row r="113" spans="1:9" x14ac:dyDescent="0.25">
      <c r="A113" s="49">
        <f>'A) Base RI'!A115</f>
        <v>5583</v>
      </c>
      <c r="B113" s="32" t="str">
        <f>'A) Base RI'!B115</f>
        <v>Crissier</v>
      </c>
      <c r="C113" s="98">
        <f>'A) Base RI'!AO115</f>
        <v>7944</v>
      </c>
      <c r="D113" s="114">
        <f>'D) Ecrêtage'!E113</f>
        <v>39.444845766519492</v>
      </c>
      <c r="E113" s="34">
        <f t="shared" si="7"/>
        <v>7.6798793261191847</v>
      </c>
      <c r="F113" s="268">
        <f t="shared" si="8"/>
        <v>1070707.2719854238</v>
      </c>
      <c r="G113" s="33">
        <f>+'A) Base RI'!AN115</f>
        <v>65</v>
      </c>
      <c r="H113" s="269">
        <f t="shared" si="9"/>
        <v>0.95319251516377912</v>
      </c>
      <c r="I113" s="57">
        <f t="shared" si="10"/>
        <v>1020590.1575879346</v>
      </c>
    </row>
    <row r="114" spans="1:9" x14ac:dyDescent="0.25">
      <c r="A114" s="49">
        <f>'A) Base RI'!A116</f>
        <v>5584</v>
      </c>
      <c r="B114" s="32" t="str">
        <f>'A) Base RI'!B116</f>
        <v>Epalinges</v>
      </c>
      <c r="C114" s="98">
        <f>'A) Base RI'!AO116</f>
        <v>9701</v>
      </c>
      <c r="D114" s="114">
        <f>'D) Ecrêtage'!E114</f>
        <v>48.973444412166195</v>
      </c>
      <c r="E114" s="34">
        <f t="shared" si="7"/>
        <v>0</v>
      </c>
      <c r="F114" s="268">
        <f t="shared" si="8"/>
        <v>0</v>
      </c>
      <c r="G114" s="33">
        <f>+'A) Base RI'!AN116</f>
        <v>66</v>
      </c>
      <c r="H114" s="269">
        <f t="shared" si="9"/>
        <v>0.96785701539706803</v>
      </c>
      <c r="I114" s="57">
        <f t="shared" si="10"/>
        <v>0</v>
      </c>
    </row>
    <row r="115" spans="1:9" x14ac:dyDescent="0.25">
      <c r="A115" s="49">
        <f>'A) Base RI'!A117</f>
        <v>5585</v>
      </c>
      <c r="B115" s="32" t="str">
        <f>'A) Base RI'!B117</f>
        <v>Jouxtens-Mézery</v>
      </c>
      <c r="C115" s="98">
        <f>'A) Base RI'!AO117</f>
        <v>1423</v>
      </c>
      <c r="D115" s="114">
        <f>'D) Ecrêtage'!E115</f>
        <v>161.41607144133309</v>
      </c>
      <c r="E115" s="34">
        <f t="shared" si="7"/>
        <v>0</v>
      </c>
      <c r="F115" s="268">
        <f t="shared" si="8"/>
        <v>0</v>
      </c>
      <c r="G115" s="33">
        <f>+'A) Base RI'!AN117</f>
        <v>59</v>
      </c>
      <c r="H115" s="269">
        <f t="shared" si="9"/>
        <v>0.86520551376404564</v>
      </c>
      <c r="I115" s="57">
        <f t="shared" si="10"/>
        <v>0</v>
      </c>
    </row>
    <row r="116" spans="1:9" x14ac:dyDescent="0.25">
      <c r="A116" s="49">
        <f>'A) Base RI'!A118</f>
        <v>5586</v>
      </c>
      <c r="B116" s="32" t="str">
        <f>'A) Base RI'!B118</f>
        <v>Lausanne</v>
      </c>
      <c r="C116" s="98">
        <f>'A) Base RI'!AO118</f>
        <v>139726</v>
      </c>
      <c r="D116" s="114">
        <f>'D) Ecrêtage'!E116</f>
        <v>43.215113730422722</v>
      </c>
      <c r="E116" s="34">
        <f t="shared" si="7"/>
        <v>3.909611362215955</v>
      </c>
      <c r="F116" s="268">
        <f t="shared" si="8"/>
        <v>11652032.039011724</v>
      </c>
      <c r="G116" s="33">
        <f>+'A) Base RI'!AN118</f>
        <v>79</v>
      </c>
      <c r="H116" s="269">
        <f t="shared" si="9"/>
        <v>1.1584955184298238</v>
      </c>
      <c r="I116" s="57">
        <f t="shared" si="10"/>
        <v>13498826.897795804</v>
      </c>
    </row>
    <row r="117" spans="1:9" x14ac:dyDescent="0.25">
      <c r="A117" s="49">
        <f>'A) Base RI'!A119</f>
        <v>5587</v>
      </c>
      <c r="B117" s="32" t="str">
        <f>'A) Base RI'!B119</f>
        <v>Le Mont-sur-Lausanne</v>
      </c>
      <c r="C117" s="98">
        <f>'A) Base RI'!AO119</f>
        <v>8991</v>
      </c>
      <c r="D117" s="114">
        <f>'D) Ecrêtage'!E117</f>
        <v>48.651576104499561</v>
      </c>
      <c r="E117" s="34">
        <f t="shared" si="7"/>
        <v>0</v>
      </c>
      <c r="F117" s="268">
        <f t="shared" si="8"/>
        <v>0</v>
      </c>
      <c r="G117" s="33">
        <f>+'A) Base RI'!AN119</f>
        <v>75</v>
      </c>
      <c r="H117" s="269">
        <f t="shared" si="9"/>
        <v>1.0998375174966681</v>
      </c>
      <c r="I117" s="57">
        <f t="shared" si="10"/>
        <v>0</v>
      </c>
    </row>
    <row r="118" spans="1:9" x14ac:dyDescent="0.25">
      <c r="A118" s="49">
        <f>'A) Base RI'!A120</f>
        <v>5588</v>
      </c>
      <c r="B118" s="32" t="str">
        <f>'A) Base RI'!B120</f>
        <v>Paudex</v>
      </c>
      <c r="C118" s="98">
        <f>'A) Base RI'!AO120</f>
        <v>1532</v>
      </c>
      <c r="D118" s="114">
        <f>'D) Ecrêtage'!E118</f>
        <v>87.851235409307336</v>
      </c>
      <c r="E118" s="34">
        <f t="shared" si="7"/>
        <v>0</v>
      </c>
      <c r="F118" s="268">
        <f t="shared" si="8"/>
        <v>0</v>
      </c>
      <c r="G118" s="33">
        <f>+'A) Base RI'!AN120</f>
        <v>68</v>
      </c>
      <c r="H118" s="269">
        <f t="shared" si="9"/>
        <v>0.99718601586364586</v>
      </c>
      <c r="I118" s="57">
        <f t="shared" si="10"/>
        <v>0</v>
      </c>
    </row>
    <row r="119" spans="1:9" x14ac:dyDescent="0.25">
      <c r="A119" s="49">
        <f>'A) Base RI'!A121</f>
        <v>5589</v>
      </c>
      <c r="B119" s="32" t="str">
        <f>'A) Base RI'!B121</f>
        <v>Prilly</v>
      </c>
      <c r="C119" s="98">
        <f>'A) Base RI'!AO121</f>
        <v>12423</v>
      </c>
      <c r="D119" s="114">
        <f>'D) Ecrêtage'!E119</f>
        <v>33.656432713532098</v>
      </c>
      <c r="E119" s="34">
        <f t="shared" si="7"/>
        <v>13.468292379106579</v>
      </c>
      <c r="F119" s="268">
        <f t="shared" si="8"/>
        <v>3320397.8520978466</v>
      </c>
      <c r="G119" s="33">
        <f>+'A) Base RI'!AN121</f>
        <v>73.5</v>
      </c>
      <c r="H119" s="269">
        <f t="shared" si="9"/>
        <v>1.0778407671467349</v>
      </c>
      <c r="I119" s="57">
        <f t="shared" si="10"/>
        <v>3578860.168137514</v>
      </c>
    </row>
    <row r="120" spans="1:9" x14ac:dyDescent="0.25">
      <c r="A120" s="49">
        <f>'A) Base RI'!A122</f>
        <v>5590</v>
      </c>
      <c r="B120" s="32" t="str">
        <f>'A) Base RI'!B122</f>
        <v>Pully</v>
      </c>
      <c r="C120" s="98">
        <f>'A) Base RI'!AO122</f>
        <v>18495</v>
      </c>
      <c r="D120" s="114">
        <f>'D) Ecrêtage'!E120</f>
        <v>82.892390941788832</v>
      </c>
      <c r="E120" s="34">
        <f t="shared" si="7"/>
        <v>0</v>
      </c>
      <c r="F120" s="268">
        <f t="shared" si="8"/>
        <v>0</v>
      </c>
      <c r="G120" s="33">
        <f>+'A) Base RI'!AN122</f>
        <v>61</v>
      </c>
      <c r="H120" s="269">
        <f t="shared" si="9"/>
        <v>0.89453451423062347</v>
      </c>
      <c r="I120" s="57">
        <f t="shared" si="10"/>
        <v>0</v>
      </c>
    </row>
    <row r="121" spans="1:9" x14ac:dyDescent="0.25">
      <c r="A121" s="49">
        <f>'A) Base RI'!A123</f>
        <v>5591</v>
      </c>
      <c r="B121" s="32" t="str">
        <f>'A) Base RI'!B123</f>
        <v>Renens</v>
      </c>
      <c r="C121" s="98">
        <f>'A) Base RI'!AO123</f>
        <v>20928</v>
      </c>
      <c r="D121" s="114">
        <f>'D) Ecrêtage'!E121</f>
        <v>26.90788910390458</v>
      </c>
      <c r="E121" s="34">
        <f t="shared" si="7"/>
        <v>20.216835988734097</v>
      </c>
      <c r="F121" s="268">
        <f t="shared" si="8"/>
        <v>8967560.914013356</v>
      </c>
      <c r="G121" s="33">
        <f>+'A) Base RI'!AN123</f>
        <v>78.5</v>
      </c>
      <c r="H121" s="269">
        <f t="shared" si="9"/>
        <v>1.1511632683131794</v>
      </c>
      <c r="I121" s="57">
        <f t="shared" si="10"/>
        <v>10323126.730573136</v>
      </c>
    </row>
    <row r="122" spans="1:9" x14ac:dyDescent="0.25">
      <c r="A122" s="49">
        <f>'A) Base RI'!A124</f>
        <v>5592</v>
      </c>
      <c r="B122" s="32" t="str">
        <f>'A) Base RI'!B124</f>
        <v>Romanel-sur-Lausanne</v>
      </c>
      <c r="C122" s="98">
        <f>'A) Base RI'!AO124</f>
        <v>3294</v>
      </c>
      <c r="D122" s="114">
        <f>'D) Ecrêtage'!E122</f>
        <v>34.509635406125618</v>
      </c>
      <c r="E122" s="34">
        <f t="shared" si="7"/>
        <v>12.615089686513059</v>
      </c>
      <c r="F122" s="268">
        <f t="shared" si="8"/>
        <v>807811.80950815091</v>
      </c>
      <c r="G122" s="33">
        <f>+'A) Base RI'!AN124</f>
        <v>72</v>
      </c>
      <c r="H122" s="269">
        <f t="shared" si="9"/>
        <v>1.0558440167968015</v>
      </c>
      <c r="I122" s="57">
        <f t="shared" si="10"/>
        <v>852923.26576697873</v>
      </c>
    </row>
    <row r="123" spans="1:9" x14ac:dyDescent="0.25">
      <c r="A123" s="49">
        <f>'A) Base RI'!A125</f>
        <v>5601</v>
      </c>
      <c r="B123" s="32" t="str">
        <f>'A) Base RI'!B125</f>
        <v>Chexbres</v>
      </c>
      <c r="C123" s="98">
        <f>'A) Base RI'!AO125</f>
        <v>2235</v>
      </c>
      <c r="D123" s="114">
        <f>'D) Ecrêtage'!E123</f>
        <v>46.295742891417817</v>
      </c>
      <c r="E123" s="34">
        <f t="shared" si="7"/>
        <v>0.8289822012208603</v>
      </c>
      <c r="F123" s="268">
        <f t="shared" si="8"/>
        <v>34517.202343544246</v>
      </c>
      <c r="G123" s="33">
        <f>+'A) Base RI'!AN125</f>
        <v>69</v>
      </c>
      <c r="H123" s="269">
        <f t="shared" si="9"/>
        <v>1.0118505160969347</v>
      </c>
      <c r="I123" s="57">
        <f t="shared" si="10"/>
        <v>34926.249005537567</v>
      </c>
    </row>
    <row r="124" spans="1:9" x14ac:dyDescent="0.25">
      <c r="A124" s="49">
        <f>'A) Base RI'!A126</f>
        <v>5604</v>
      </c>
      <c r="B124" s="32" t="str">
        <f>'A) Base RI'!B126</f>
        <v>Forel (Lavaux)</v>
      </c>
      <c r="C124" s="98">
        <f>'A) Base RI'!AO126</f>
        <v>2064</v>
      </c>
      <c r="D124" s="114">
        <f>'D) Ecrêtage'!E124</f>
        <v>35.838725636766334</v>
      </c>
      <c r="E124" s="34">
        <f t="shared" si="7"/>
        <v>11.285999455872343</v>
      </c>
      <c r="F124" s="268">
        <f t="shared" si="8"/>
        <v>440262.3243737978</v>
      </c>
      <c r="G124" s="33">
        <f>+'A) Base RI'!AN126</f>
        <v>70</v>
      </c>
      <c r="H124" s="269">
        <f t="shared" si="9"/>
        <v>1.0265150163302237</v>
      </c>
      <c r="I124" s="57">
        <f t="shared" si="10"/>
        <v>451935.88709415129</v>
      </c>
    </row>
    <row r="125" spans="1:9" x14ac:dyDescent="0.25">
      <c r="A125" s="49">
        <f>'A) Base RI'!A127</f>
        <v>5606</v>
      </c>
      <c r="B125" s="32" t="str">
        <f>'A) Base RI'!B127</f>
        <v>Lutry</v>
      </c>
      <c r="C125" s="98">
        <f>'A) Base RI'!AO127</f>
        <v>10357</v>
      </c>
      <c r="D125" s="114">
        <f>'D) Ecrêtage'!E125</f>
        <v>77.918157240814381</v>
      </c>
      <c r="E125" s="34">
        <f t="shared" si="7"/>
        <v>0</v>
      </c>
      <c r="F125" s="268">
        <f t="shared" si="8"/>
        <v>0</v>
      </c>
      <c r="G125" s="33">
        <f>+'A) Base RI'!AN127</f>
        <v>55.5</v>
      </c>
      <c r="H125" s="269">
        <f t="shared" si="9"/>
        <v>0.8138797629475345</v>
      </c>
      <c r="I125" s="57">
        <f t="shared" si="10"/>
        <v>0</v>
      </c>
    </row>
    <row r="126" spans="1:9" x14ac:dyDescent="0.25">
      <c r="A126" s="49">
        <f>'A) Base RI'!A128</f>
        <v>5607</v>
      </c>
      <c r="B126" s="32" t="str">
        <f>'A) Base RI'!B128</f>
        <v>Puidoux</v>
      </c>
      <c r="C126" s="98">
        <f>'A) Base RI'!AO128</f>
        <v>2881</v>
      </c>
      <c r="D126" s="114">
        <f>'D) Ecrêtage'!E126</f>
        <v>35.028858018157088</v>
      </c>
      <c r="E126" s="34">
        <f t="shared" si="7"/>
        <v>12.095867074481589</v>
      </c>
      <c r="F126" s="268">
        <f t="shared" si="8"/>
        <v>658630.8484858895</v>
      </c>
      <c r="G126" s="33">
        <f>+'A) Base RI'!AN128</f>
        <v>70</v>
      </c>
      <c r="H126" s="269">
        <f t="shared" si="9"/>
        <v>1.0265150163302237</v>
      </c>
      <c r="I126" s="57">
        <f t="shared" si="10"/>
        <v>676094.45618908189</v>
      </c>
    </row>
    <row r="127" spans="1:9" x14ac:dyDescent="0.25">
      <c r="A127" s="49">
        <f>'A) Base RI'!A129</f>
        <v>5609</v>
      </c>
      <c r="B127" s="32" t="str">
        <f>'A) Base RI'!B129</f>
        <v>Rivaz</v>
      </c>
      <c r="C127" s="98">
        <f>'A) Base RI'!AO129</f>
        <v>342</v>
      </c>
      <c r="D127" s="114">
        <f>'D) Ecrêtage'!E127</f>
        <v>39.887671869963619</v>
      </c>
      <c r="E127" s="34">
        <f t="shared" si="7"/>
        <v>7.2370532226750584</v>
      </c>
      <c r="F127" s="268">
        <f t="shared" si="8"/>
        <v>42435.112905945251</v>
      </c>
      <c r="G127" s="33">
        <f>+'A) Base RI'!AN129</f>
        <v>63.5</v>
      </c>
      <c r="H127" s="269">
        <f t="shared" si="9"/>
        <v>0.93119576481384581</v>
      </c>
      <c r="I127" s="57">
        <f t="shared" si="10"/>
        <v>39515.397417413587</v>
      </c>
    </row>
    <row r="128" spans="1:9" x14ac:dyDescent="0.25">
      <c r="A128" s="49">
        <f>'A) Base RI'!A130</f>
        <v>5610</v>
      </c>
      <c r="B128" s="32" t="str">
        <f>'A) Base RI'!B130</f>
        <v>St-Saphorin (Lavaux)</v>
      </c>
      <c r="C128" s="98">
        <f>'A) Base RI'!AO130</f>
        <v>384</v>
      </c>
      <c r="D128" s="114">
        <f>'D) Ecrêtage'!E128</f>
        <v>58.017481770833342</v>
      </c>
      <c r="E128" s="34">
        <f t="shared" si="7"/>
        <v>0</v>
      </c>
      <c r="F128" s="268">
        <f t="shared" si="8"/>
        <v>0</v>
      </c>
      <c r="G128" s="33">
        <f>+'A) Base RI'!AN130</f>
        <v>70</v>
      </c>
      <c r="H128" s="269">
        <f t="shared" si="9"/>
        <v>1.0265150163302237</v>
      </c>
      <c r="I128" s="57">
        <f t="shared" si="10"/>
        <v>0</v>
      </c>
    </row>
    <row r="129" spans="1:9" x14ac:dyDescent="0.25">
      <c r="A129" s="49">
        <f>'A) Base RI'!A131</f>
        <v>5611</v>
      </c>
      <c r="B129" s="32" t="str">
        <f>'A) Base RI'!B131</f>
        <v>Savigny</v>
      </c>
      <c r="C129" s="98">
        <f>'A) Base RI'!AO131</f>
        <v>3359</v>
      </c>
      <c r="D129" s="114">
        <f>'D) Ecrêtage'!E129</f>
        <v>40.169617014208001</v>
      </c>
      <c r="E129" s="34">
        <f t="shared" si="7"/>
        <v>6.9551080784306762</v>
      </c>
      <c r="F129" s="268">
        <f t="shared" si="8"/>
        <v>435237.93570040824</v>
      </c>
      <c r="G129" s="33">
        <f>+'A) Base RI'!AN131</f>
        <v>69</v>
      </c>
      <c r="H129" s="269">
        <f t="shared" si="9"/>
        <v>1.0118505160969347</v>
      </c>
      <c r="I129" s="57">
        <f t="shared" si="10"/>
        <v>440395.72986342252</v>
      </c>
    </row>
    <row r="130" spans="1:9" x14ac:dyDescent="0.25">
      <c r="A130" s="49">
        <f>'A) Base RI'!A132</f>
        <v>5613</v>
      </c>
      <c r="B130" s="32" t="str">
        <f>'A) Base RI'!B132</f>
        <v>Bourg-en-Lavaux</v>
      </c>
      <c r="C130" s="98">
        <f>'A) Base RI'!AO132</f>
        <v>5345</v>
      </c>
      <c r="D130" s="114">
        <f>'D) Ecrêtage'!E130</f>
        <v>62.324953051917696</v>
      </c>
      <c r="E130" s="34">
        <f t="shared" si="7"/>
        <v>0</v>
      </c>
      <c r="F130" s="268">
        <f t="shared" si="8"/>
        <v>0</v>
      </c>
      <c r="G130" s="33">
        <f>+'A) Base RI'!AN132</f>
        <v>64</v>
      </c>
      <c r="H130" s="269">
        <f t="shared" si="9"/>
        <v>0.93852801493049021</v>
      </c>
      <c r="I130" s="57">
        <f t="shared" si="10"/>
        <v>0</v>
      </c>
    </row>
    <row r="131" spans="1:9" x14ac:dyDescent="0.25">
      <c r="A131" s="49">
        <f>'A) Base RI'!A133</f>
        <v>5621</v>
      </c>
      <c r="B131" s="32" t="str">
        <f>'A) Base RI'!B133</f>
        <v>Aclens</v>
      </c>
      <c r="C131" s="98">
        <f>'A) Base RI'!AO133</f>
        <v>539</v>
      </c>
      <c r="D131" s="114">
        <f>'D) Ecrêtage'!E131</f>
        <v>51.04806321035479</v>
      </c>
      <c r="E131" s="34">
        <f t="shared" si="7"/>
        <v>0</v>
      </c>
      <c r="F131" s="268">
        <f t="shared" si="8"/>
        <v>0</v>
      </c>
      <c r="G131" s="33">
        <f>+'A) Base RI'!AN133</f>
        <v>62</v>
      </c>
      <c r="H131" s="269">
        <f t="shared" si="9"/>
        <v>0.90919901446391238</v>
      </c>
      <c r="I131" s="57">
        <f t="shared" si="10"/>
        <v>0</v>
      </c>
    </row>
    <row r="132" spans="1:9" x14ac:dyDescent="0.25">
      <c r="A132" s="49">
        <f>'A) Base RI'!A134</f>
        <v>5622</v>
      </c>
      <c r="B132" s="32" t="str">
        <f>'A) Base RI'!B134</f>
        <v>Bremblens</v>
      </c>
      <c r="C132" s="98">
        <f>'A) Base RI'!AO134</f>
        <v>577</v>
      </c>
      <c r="D132" s="114">
        <f>'D) Ecrêtage'!E132</f>
        <v>47.669240323512426</v>
      </c>
      <c r="E132" s="34">
        <f t="shared" si="7"/>
        <v>0</v>
      </c>
      <c r="F132" s="268">
        <f t="shared" si="8"/>
        <v>0</v>
      </c>
      <c r="G132" s="33">
        <f>+'A) Base RI'!AN134</f>
        <v>66</v>
      </c>
      <c r="H132" s="269">
        <f t="shared" si="9"/>
        <v>0.96785701539706803</v>
      </c>
      <c r="I132" s="57">
        <f t="shared" si="10"/>
        <v>0</v>
      </c>
    </row>
    <row r="133" spans="1:9" x14ac:dyDescent="0.25">
      <c r="A133" s="49">
        <f>'A) Base RI'!A135</f>
        <v>5623</v>
      </c>
      <c r="B133" s="32" t="str">
        <f>'A) Base RI'!B135</f>
        <v>Buchillon</v>
      </c>
      <c r="C133" s="98">
        <f>'A) Base RI'!AO135</f>
        <v>686</v>
      </c>
      <c r="D133" s="114">
        <f>'D) Ecrêtage'!E133</f>
        <v>130.87448594532151</v>
      </c>
      <c r="E133" s="34">
        <f t="shared" si="7"/>
        <v>0</v>
      </c>
      <c r="F133" s="268">
        <f t="shared" si="8"/>
        <v>0</v>
      </c>
      <c r="G133" s="33">
        <f>+'A) Base RI'!AN135</f>
        <v>53</v>
      </c>
      <c r="H133" s="269">
        <f t="shared" si="9"/>
        <v>0.77721851236431216</v>
      </c>
      <c r="I133" s="57">
        <f t="shared" si="10"/>
        <v>0</v>
      </c>
    </row>
    <row r="134" spans="1:9" x14ac:dyDescent="0.25">
      <c r="A134" s="49">
        <f>'A) Base RI'!A136</f>
        <v>5624</v>
      </c>
      <c r="B134" s="32" t="str">
        <f>'A) Base RI'!B136</f>
        <v>Bussigny</v>
      </c>
      <c r="C134" s="98">
        <f>'A) Base RI'!AO136</f>
        <v>8962</v>
      </c>
      <c r="D134" s="114">
        <f>'D) Ecrêtage'!E134</f>
        <v>44.404255328051775</v>
      </c>
      <c r="E134" s="34">
        <f t="shared" ref="E134:E197" si="11">IF($D$314-D134&lt;0,0,$D$314-D134)</f>
        <v>2.7204697645869018</v>
      </c>
      <c r="F134" s="268">
        <f t="shared" ref="F134:F197" si="12">(C134*E134*G134)*$E$4</f>
        <v>421301.08852233668</v>
      </c>
      <c r="G134" s="33">
        <f>+'A) Base RI'!AN136</f>
        <v>64</v>
      </c>
      <c r="H134" s="269">
        <f t="shared" ref="H134:H197" si="13">G134/$G$314</f>
        <v>0.93852801493049021</v>
      </c>
      <c r="I134" s="57">
        <f t="shared" ref="I134:I197" si="14">F134*H134</f>
        <v>395402.87429892336</v>
      </c>
    </row>
    <row r="135" spans="1:9" x14ac:dyDescent="0.25">
      <c r="A135" s="49">
        <f>'A) Base RI'!A137</f>
        <v>5625</v>
      </c>
      <c r="B135" s="32" t="str">
        <f>'A) Base RI'!B137</f>
        <v>Bussy-Chardonney</v>
      </c>
      <c r="C135" s="98">
        <f>'A) Base RI'!AO137</f>
        <v>384</v>
      </c>
      <c r="D135" s="114">
        <f>'D) Ecrêtage'!E135</f>
        <v>43.770807066197683</v>
      </c>
      <c r="E135" s="34">
        <f t="shared" si="11"/>
        <v>3.3539180264409936</v>
      </c>
      <c r="F135" s="268">
        <f t="shared" si="12"/>
        <v>26775.535015567973</v>
      </c>
      <c r="G135" s="33">
        <f>+'A) Base RI'!AN137</f>
        <v>77</v>
      </c>
      <c r="H135" s="269">
        <f t="shared" si="13"/>
        <v>1.129166517963246</v>
      </c>
      <c r="I135" s="57">
        <f t="shared" si="14"/>
        <v>30234.037640131857</v>
      </c>
    </row>
    <row r="136" spans="1:9" x14ac:dyDescent="0.25">
      <c r="A136" s="49">
        <f>'A) Base RI'!A138</f>
        <v>5627</v>
      </c>
      <c r="B136" s="32" t="str">
        <f>'A) Base RI'!B138</f>
        <v>Chavannes-près-Renens</v>
      </c>
      <c r="C136" s="98">
        <f>'A) Base RI'!AO138</f>
        <v>7887</v>
      </c>
      <c r="D136" s="114">
        <f>'D) Ecrêtage'!E136</f>
        <v>26.876675552730845</v>
      </c>
      <c r="E136" s="34">
        <f t="shared" si="11"/>
        <v>20.248049539907832</v>
      </c>
      <c r="F136" s="268">
        <f t="shared" si="12"/>
        <v>3406323.5021643285</v>
      </c>
      <c r="G136" s="33">
        <f>+'A) Base RI'!AN138</f>
        <v>79</v>
      </c>
      <c r="H136" s="269">
        <f t="shared" si="13"/>
        <v>1.1584955184298238</v>
      </c>
      <c r="I136" s="57">
        <f t="shared" si="14"/>
        <v>3946210.5115795569</v>
      </c>
    </row>
    <row r="137" spans="1:9" x14ac:dyDescent="0.25">
      <c r="A137" s="49">
        <f>'A) Base RI'!A139</f>
        <v>5628</v>
      </c>
      <c r="B137" s="32" t="str">
        <f>'A) Base RI'!B139</f>
        <v>Chigny</v>
      </c>
      <c r="C137" s="98">
        <f>'A) Base RI'!AO139</f>
        <v>382</v>
      </c>
      <c r="D137" s="114">
        <f>'D) Ecrêtage'!E137</f>
        <v>58.615080645161292</v>
      </c>
      <c r="E137" s="34">
        <f t="shared" si="11"/>
        <v>0</v>
      </c>
      <c r="F137" s="268">
        <f t="shared" si="12"/>
        <v>0</v>
      </c>
      <c r="G137" s="33">
        <f>+'A) Base RI'!AN139</f>
        <v>62</v>
      </c>
      <c r="H137" s="269">
        <f t="shared" si="13"/>
        <v>0.90919901446391238</v>
      </c>
      <c r="I137" s="57">
        <f t="shared" si="14"/>
        <v>0</v>
      </c>
    </row>
    <row r="138" spans="1:9" x14ac:dyDescent="0.25">
      <c r="A138" s="49">
        <f>'A) Base RI'!A140</f>
        <v>5629</v>
      </c>
      <c r="B138" s="32" t="str">
        <f>'A) Base RI'!B140</f>
        <v>Clarmont</v>
      </c>
      <c r="C138" s="98">
        <f>'A) Base RI'!AO140</f>
        <v>191</v>
      </c>
      <c r="D138" s="114">
        <f>'D) Ecrêtage'!E138</f>
        <v>35.429970680628273</v>
      </c>
      <c r="E138" s="34">
        <f t="shared" si="11"/>
        <v>11.694754412010404</v>
      </c>
      <c r="F138" s="268">
        <f t="shared" si="12"/>
        <v>45232.386377053241</v>
      </c>
      <c r="G138" s="33">
        <f>+'A) Base RI'!AN140</f>
        <v>75</v>
      </c>
      <c r="H138" s="269">
        <f t="shared" si="13"/>
        <v>1.0998375174966681</v>
      </c>
      <c r="I138" s="57">
        <f t="shared" si="14"/>
        <v>49748.27554338835</v>
      </c>
    </row>
    <row r="139" spans="1:9" x14ac:dyDescent="0.25">
      <c r="A139" s="49">
        <f>'A) Base RI'!A141</f>
        <v>5631</v>
      </c>
      <c r="B139" s="32" t="str">
        <f>'A) Base RI'!B141</f>
        <v>Denens</v>
      </c>
      <c r="C139" s="98">
        <f>'A) Base RI'!AO141</f>
        <v>742</v>
      </c>
      <c r="D139" s="114">
        <f>'D) Ecrêtage'!E139</f>
        <v>69.374492491336156</v>
      </c>
      <c r="E139" s="34">
        <f t="shared" si="11"/>
        <v>0</v>
      </c>
      <c r="F139" s="268">
        <f t="shared" si="12"/>
        <v>0</v>
      </c>
      <c r="G139" s="33">
        <f>+'A) Base RI'!AN141</f>
        <v>70</v>
      </c>
      <c r="H139" s="269">
        <f t="shared" si="13"/>
        <v>1.0265150163302237</v>
      </c>
      <c r="I139" s="57">
        <f t="shared" si="14"/>
        <v>0</v>
      </c>
    </row>
    <row r="140" spans="1:9" x14ac:dyDescent="0.25">
      <c r="A140" s="49">
        <f>'A) Base RI'!A142</f>
        <v>5632</v>
      </c>
      <c r="B140" s="32" t="str">
        <f>'A) Base RI'!B142</f>
        <v>Denges</v>
      </c>
      <c r="C140" s="98">
        <f>'A) Base RI'!AO142</f>
        <v>1609</v>
      </c>
      <c r="D140" s="114">
        <f>'D) Ecrêtage'!E140</f>
        <v>45.364828585176113</v>
      </c>
      <c r="E140" s="34">
        <f t="shared" si="11"/>
        <v>1.7598965074625639</v>
      </c>
      <c r="F140" s="268">
        <f t="shared" si="12"/>
        <v>47402.214063691623</v>
      </c>
      <c r="G140" s="33">
        <f>+'A) Base RI'!AN142</f>
        <v>62</v>
      </c>
      <c r="H140" s="269">
        <f t="shared" si="13"/>
        <v>0.90919901446391238</v>
      </c>
      <c r="I140" s="57">
        <f t="shared" si="14"/>
        <v>43098.046310115831</v>
      </c>
    </row>
    <row r="141" spans="1:9" x14ac:dyDescent="0.25">
      <c r="A141" s="49">
        <f>'A) Base RI'!A143</f>
        <v>5633</v>
      </c>
      <c r="B141" s="32" t="str">
        <f>'A) Base RI'!B143</f>
        <v>Echandens</v>
      </c>
      <c r="C141" s="98">
        <f>'A) Base RI'!AO143</f>
        <v>2739</v>
      </c>
      <c r="D141" s="114">
        <f>'D) Ecrêtage'!E141</f>
        <v>58.744907076988291</v>
      </c>
      <c r="E141" s="34">
        <f t="shared" si="11"/>
        <v>0</v>
      </c>
      <c r="F141" s="268">
        <f t="shared" si="12"/>
        <v>0</v>
      </c>
      <c r="G141" s="33">
        <f>+'A) Base RI'!AN143</f>
        <v>62</v>
      </c>
      <c r="H141" s="269">
        <f t="shared" si="13"/>
        <v>0.90919901446391238</v>
      </c>
      <c r="I141" s="57">
        <f t="shared" si="14"/>
        <v>0</v>
      </c>
    </row>
    <row r="142" spans="1:9" x14ac:dyDescent="0.25">
      <c r="A142" s="49">
        <f>'A) Base RI'!A144</f>
        <v>5634</v>
      </c>
      <c r="B142" s="32" t="str">
        <f>'A) Base RI'!B144</f>
        <v>Echichens</v>
      </c>
      <c r="C142" s="98">
        <f>'A) Base RI'!AO144</f>
        <v>3077</v>
      </c>
      <c r="D142" s="114">
        <f>'D) Ecrêtage'!E142</f>
        <v>56.305819887591042</v>
      </c>
      <c r="E142" s="34">
        <f t="shared" si="11"/>
        <v>0</v>
      </c>
      <c r="F142" s="268">
        <f t="shared" si="12"/>
        <v>0</v>
      </c>
      <c r="G142" s="33">
        <f>+'A) Base RI'!AN144</f>
        <v>68</v>
      </c>
      <c r="H142" s="269">
        <f t="shared" si="13"/>
        <v>0.99718601586364586</v>
      </c>
      <c r="I142" s="57">
        <f t="shared" si="14"/>
        <v>0</v>
      </c>
    </row>
    <row r="143" spans="1:9" x14ac:dyDescent="0.25">
      <c r="A143" s="49">
        <f>'A) Base RI'!A145</f>
        <v>5635</v>
      </c>
      <c r="B143" s="32" t="str">
        <f>'A) Base RI'!B145</f>
        <v>Ecublens</v>
      </c>
      <c r="C143" s="98">
        <f>'A) Base RI'!AO145</f>
        <v>13089</v>
      </c>
      <c r="D143" s="114">
        <f>'D) Ecrêtage'!E143</f>
        <v>37.392325276711361</v>
      </c>
      <c r="E143" s="34">
        <f t="shared" si="11"/>
        <v>9.732399815927316</v>
      </c>
      <c r="F143" s="268">
        <f t="shared" si="12"/>
        <v>2201253.9469748233</v>
      </c>
      <c r="G143" s="33">
        <f>+'A) Base RI'!AN145</f>
        <v>64</v>
      </c>
      <c r="H143" s="269">
        <f t="shared" si="13"/>
        <v>0.93852801493049021</v>
      </c>
      <c r="I143" s="57">
        <f t="shared" si="14"/>
        <v>2065938.4972121874</v>
      </c>
    </row>
    <row r="144" spans="1:9" x14ac:dyDescent="0.25">
      <c r="A144" s="49">
        <f>'A) Base RI'!A146</f>
        <v>5636</v>
      </c>
      <c r="B144" s="32" t="str">
        <f>'A) Base RI'!B146</f>
        <v>Etoy</v>
      </c>
      <c r="C144" s="98">
        <f>'A) Base RI'!AO146</f>
        <v>2933</v>
      </c>
      <c r="D144" s="114">
        <f>'D) Ecrêtage'!E144</f>
        <v>60.092772520722363</v>
      </c>
      <c r="E144" s="34">
        <f t="shared" si="11"/>
        <v>0</v>
      </c>
      <c r="F144" s="268">
        <f t="shared" si="12"/>
        <v>0</v>
      </c>
      <c r="G144" s="33">
        <f>+'A) Base RI'!AN146</f>
        <v>61</v>
      </c>
      <c r="H144" s="269">
        <f t="shared" si="13"/>
        <v>0.89453451423062347</v>
      </c>
      <c r="I144" s="57">
        <f t="shared" si="14"/>
        <v>0</v>
      </c>
    </row>
    <row r="145" spans="1:9" x14ac:dyDescent="0.25">
      <c r="A145" s="49">
        <f>'A) Base RI'!A147</f>
        <v>5637</v>
      </c>
      <c r="B145" s="32" t="str">
        <f>'A) Base RI'!B147</f>
        <v>Lavigny</v>
      </c>
      <c r="C145" s="98">
        <f>'A) Base RI'!AO147</f>
        <v>992</v>
      </c>
      <c r="D145" s="114">
        <f>'D) Ecrêtage'!E145</f>
        <v>37.492842516417703</v>
      </c>
      <c r="E145" s="34">
        <f t="shared" si="11"/>
        <v>9.6318825762209741</v>
      </c>
      <c r="F145" s="268">
        <f t="shared" si="12"/>
        <v>192195.35547651941</v>
      </c>
      <c r="G145" s="33">
        <f>+'A) Base RI'!AN147</f>
        <v>74.5</v>
      </c>
      <c r="H145" s="269">
        <f t="shared" si="13"/>
        <v>1.0925052673800237</v>
      </c>
      <c r="I145" s="57">
        <f t="shared" si="14"/>
        <v>209974.43822407356</v>
      </c>
    </row>
    <row r="146" spans="1:9" x14ac:dyDescent="0.25">
      <c r="A146" s="49">
        <f>'A) Base RI'!A148</f>
        <v>5638</v>
      </c>
      <c r="B146" s="32" t="str">
        <f>'A) Base RI'!B148</f>
        <v>Lonay</v>
      </c>
      <c r="C146" s="98">
        <f>'A) Base RI'!AO148</f>
        <v>2676</v>
      </c>
      <c r="D146" s="114">
        <f>'D) Ecrêtage'!E146</f>
        <v>58.72121993477375</v>
      </c>
      <c r="E146" s="34">
        <f t="shared" si="11"/>
        <v>0</v>
      </c>
      <c r="F146" s="268">
        <f t="shared" si="12"/>
        <v>0</v>
      </c>
      <c r="G146" s="33">
        <f>+'A) Base RI'!AN148</f>
        <v>55</v>
      </c>
      <c r="H146" s="269">
        <f t="shared" si="13"/>
        <v>0.80654751283088999</v>
      </c>
      <c r="I146" s="57">
        <f t="shared" si="14"/>
        <v>0</v>
      </c>
    </row>
    <row r="147" spans="1:9" x14ac:dyDescent="0.25">
      <c r="A147" s="49">
        <f>'A) Base RI'!A149</f>
        <v>5639</v>
      </c>
      <c r="B147" s="32" t="str">
        <f>'A) Base RI'!B149</f>
        <v>Lully</v>
      </c>
      <c r="C147" s="98">
        <f>'A) Base RI'!AO149</f>
        <v>818</v>
      </c>
      <c r="D147" s="114">
        <f>'D) Ecrêtage'!E147</f>
        <v>57.672899515010627</v>
      </c>
      <c r="E147" s="34">
        <f t="shared" si="11"/>
        <v>0</v>
      </c>
      <c r="F147" s="268">
        <f t="shared" si="12"/>
        <v>0</v>
      </c>
      <c r="G147" s="33">
        <f>+'A) Base RI'!AN149</f>
        <v>61</v>
      </c>
      <c r="H147" s="269">
        <f t="shared" si="13"/>
        <v>0.89453451423062347</v>
      </c>
      <c r="I147" s="57">
        <f t="shared" si="14"/>
        <v>0</v>
      </c>
    </row>
    <row r="148" spans="1:9" x14ac:dyDescent="0.25">
      <c r="A148" s="49">
        <f>'A) Base RI'!A150</f>
        <v>5640</v>
      </c>
      <c r="B148" s="32" t="str">
        <f>'A) Base RI'!B150</f>
        <v>Lussy-sur-Morges</v>
      </c>
      <c r="C148" s="98">
        <f>'A) Base RI'!AO150</f>
        <v>696</v>
      </c>
      <c r="D148" s="114">
        <f>'D) Ecrêtage'!E148</f>
        <v>88.219046934865901</v>
      </c>
      <c r="E148" s="34">
        <f t="shared" si="11"/>
        <v>0</v>
      </c>
      <c r="F148" s="268">
        <f t="shared" si="12"/>
        <v>0</v>
      </c>
      <c r="G148" s="33">
        <f>+'A) Base RI'!AN150</f>
        <v>66</v>
      </c>
      <c r="H148" s="269">
        <f t="shared" si="13"/>
        <v>0.96785701539706803</v>
      </c>
      <c r="I148" s="57">
        <f t="shared" si="14"/>
        <v>0</v>
      </c>
    </row>
    <row r="149" spans="1:9" x14ac:dyDescent="0.25">
      <c r="A149" s="49">
        <f>'A) Base RI'!A151</f>
        <v>5642</v>
      </c>
      <c r="B149" s="32" t="str">
        <f>'A) Base RI'!B151</f>
        <v>Morges</v>
      </c>
      <c r="C149" s="98">
        <f>'A) Base RI'!AO151</f>
        <v>15862</v>
      </c>
      <c r="D149" s="114">
        <f>'D) Ecrêtage'!E149</f>
        <v>53.090076591256512</v>
      </c>
      <c r="E149" s="34">
        <f t="shared" si="11"/>
        <v>0</v>
      </c>
      <c r="F149" s="268">
        <f t="shared" si="12"/>
        <v>0</v>
      </c>
      <c r="G149" s="33">
        <f>+'A) Base RI'!AN151</f>
        <v>68.5</v>
      </c>
      <c r="H149" s="269">
        <f t="shared" si="13"/>
        <v>1.0045182659802903</v>
      </c>
      <c r="I149" s="57">
        <f t="shared" si="14"/>
        <v>0</v>
      </c>
    </row>
    <row r="150" spans="1:9" x14ac:dyDescent="0.25">
      <c r="A150" s="49">
        <f>'A) Base RI'!A152</f>
        <v>5643</v>
      </c>
      <c r="B150" s="32" t="str">
        <f>'A) Base RI'!B152</f>
        <v>Préverenges</v>
      </c>
      <c r="C150" s="98">
        <f>'A) Base RI'!AO152</f>
        <v>5243</v>
      </c>
      <c r="D150" s="114">
        <f>'D) Ecrêtage'!E150</f>
        <v>49.468769907495705</v>
      </c>
      <c r="E150" s="34">
        <f t="shared" si="11"/>
        <v>0</v>
      </c>
      <c r="F150" s="268">
        <f t="shared" si="12"/>
        <v>0</v>
      </c>
      <c r="G150" s="33">
        <f>+'A) Base RI'!AN152</f>
        <v>64</v>
      </c>
      <c r="H150" s="269">
        <f t="shared" si="13"/>
        <v>0.93852801493049021</v>
      </c>
      <c r="I150" s="57">
        <f t="shared" si="14"/>
        <v>0</v>
      </c>
    </row>
    <row r="151" spans="1:9" x14ac:dyDescent="0.25">
      <c r="A151" s="49">
        <f>'A) Base RI'!A153</f>
        <v>5644</v>
      </c>
      <c r="B151" s="32" t="str">
        <f>'A) Base RI'!B153</f>
        <v>Reverolle</v>
      </c>
      <c r="C151" s="98">
        <f>'A) Base RI'!AO153</f>
        <v>413</v>
      </c>
      <c r="D151" s="114">
        <f>'D) Ecrêtage'!E151</f>
        <v>40.822592391996935</v>
      </c>
      <c r="E151" s="34">
        <f t="shared" si="11"/>
        <v>6.3021327006417422</v>
      </c>
      <c r="F151" s="268">
        <f t="shared" si="12"/>
        <v>53409.062126090619</v>
      </c>
      <c r="G151" s="33">
        <f>+'A) Base RI'!AN153</f>
        <v>76</v>
      </c>
      <c r="H151" s="269">
        <f t="shared" si="13"/>
        <v>1.1145020177299572</v>
      </c>
      <c r="I151" s="57">
        <f t="shared" si="14"/>
        <v>59524.507504592628</v>
      </c>
    </row>
    <row r="152" spans="1:9" x14ac:dyDescent="0.25">
      <c r="A152" s="49">
        <f>'A) Base RI'!A154</f>
        <v>5645</v>
      </c>
      <c r="B152" s="32" t="str">
        <f>'A) Base RI'!B154</f>
        <v>Romanel-sur-Morges</v>
      </c>
      <c r="C152" s="98">
        <f>'A) Base RI'!AO154</f>
        <v>470</v>
      </c>
      <c r="D152" s="114">
        <f>'D) Ecrêtage'!E152</f>
        <v>63.284153495440734</v>
      </c>
      <c r="E152" s="34">
        <f t="shared" si="11"/>
        <v>0</v>
      </c>
      <c r="F152" s="268">
        <f t="shared" si="12"/>
        <v>0</v>
      </c>
      <c r="G152" s="33">
        <f>+'A) Base RI'!AN154</f>
        <v>56</v>
      </c>
      <c r="H152" s="269">
        <f t="shared" si="13"/>
        <v>0.8212120130641789</v>
      </c>
      <c r="I152" s="57">
        <f t="shared" si="14"/>
        <v>0</v>
      </c>
    </row>
    <row r="153" spans="1:9" x14ac:dyDescent="0.25">
      <c r="A153" s="49">
        <f>'A) Base RI'!A155</f>
        <v>5646</v>
      </c>
      <c r="B153" s="32" t="str">
        <f>'A) Base RI'!B155</f>
        <v>Saint-Prex</v>
      </c>
      <c r="C153" s="98">
        <f>'A) Base RI'!AO155</f>
        <v>5774</v>
      </c>
      <c r="D153" s="114">
        <f>'D) Ecrêtage'!E153</f>
        <v>72.581128696035506</v>
      </c>
      <c r="E153" s="34">
        <f t="shared" si="11"/>
        <v>0</v>
      </c>
      <c r="F153" s="268">
        <f t="shared" si="12"/>
        <v>0</v>
      </c>
      <c r="G153" s="33">
        <f>+'A) Base RI'!AN155</f>
        <v>55</v>
      </c>
      <c r="H153" s="269">
        <f t="shared" si="13"/>
        <v>0.80654751283088999</v>
      </c>
      <c r="I153" s="57">
        <f t="shared" si="14"/>
        <v>0</v>
      </c>
    </row>
    <row r="154" spans="1:9" x14ac:dyDescent="0.25">
      <c r="A154" s="49">
        <f>'A) Base RI'!A156</f>
        <v>5648</v>
      </c>
      <c r="B154" s="32" t="str">
        <f>'A) Base RI'!B156</f>
        <v>Saint-Sulpice</v>
      </c>
      <c r="C154" s="98">
        <f>'A) Base RI'!AO156</f>
        <v>4717</v>
      </c>
      <c r="D154" s="114">
        <f>'D) Ecrêtage'!E154</f>
        <v>81.295669782411792</v>
      </c>
      <c r="E154" s="34">
        <f t="shared" si="11"/>
        <v>0</v>
      </c>
      <c r="F154" s="268">
        <f t="shared" si="12"/>
        <v>0</v>
      </c>
      <c r="G154" s="33">
        <f>+'A) Base RI'!AN156</f>
        <v>55</v>
      </c>
      <c r="H154" s="269">
        <f t="shared" si="13"/>
        <v>0.80654751283088999</v>
      </c>
      <c r="I154" s="57">
        <f t="shared" si="14"/>
        <v>0</v>
      </c>
    </row>
    <row r="155" spans="1:9" x14ac:dyDescent="0.25">
      <c r="A155" s="49">
        <f>'A) Base RI'!A157</f>
        <v>5649</v>
      </c>
      <c r="B155" s="32" t="str">
        <f>'A) Base RI'!B157</f>
        <v>Tolochenaz</v>
      </c>
      <c r="C155" s="98">
        <f>'A) Base RI'!AO157</f>
        <v>1907</v>
      </c>
      <c r="D155" s="114">
        <f>'D) Ecrêtage'!E155</f>
        <v>57.574321326287766</v>
      </c>
      <c r="E155" s="34">
        <f t="shared" si="11"/>
        <v>0</v>
      </c>
      <c r="F155" s="268">
        <f t="shared" si="12"/>
        <v>0</v>
      </c>
      <c r="G155" s="33">
        <f>+'A) Base RI'!AN157</f>
        <v>65</v>
      </c>
      <c r="H155" s="269">
        <f t="shared" si="13"/>
        <v>0.95319251516377912</v>
      </c>
      <c r="I155" s="57">
        <f t="shared" si="14"/>
        <v>0</v>
      </c>
    </row>
    <row r="156" spans="1:9" x14ac:dyDescent="0.25">
      <c r="A156" s="49">
        <f>'A) Base RI'!A158</f>
        <v>5650</v>
      </c>
      <c r="B156" s="32" t="str">
        <f>'A) Base RI'!B158</f>
        <v>Vaux-sur-Morges</v>
      </c>
      <c r="C156" s="98">
        <f>'A) Base RI'!AO158</f>
        <v>196</v>
      </c>
      <c r="D156" s="114">
        <f>'D) Ecrêtage'!E156</f>
        <v>830.78925473760933</v>
      </c>
      <c r="E156" s="34">
        <f t="shared" si="11"/>
        <v>0</v>
      </c>
      <c r="F156" s="268">
        <f t="shared" si="12"/>
        <v>0</v>
      </c>
      <c r="G156" s="33">
        <f>+'A) Base RI'!AN158</f>
        <v>56</v>
      </c>
      <c r="H156" s="269">
        <f t="shared" si="13"/>
        <v>0.8212120130641789</v>
      </c>
      <c r="I156" s="57">
        <f t="shared" si="14"/>
        <v>0</v>
      </c>
    </row>
    <row r="157" spans="1:9" x14ac:dyDescent="0.25">
      <c r="A157" s="49">
        <f>'A) Base RI'!A159</f>
        <v>5651</v>
      </c>
      <c r="B157" s="32" t="str">
        <f>'A) Base RI'!B159</f>
        <v>Villars-Sainte-Croix</v>
      </c>
      <c r="C157" s="98">
        <f>'A) Base RI'!AO159</f>
        <v>973</v>
      </c>
      <c r="D157" s="114">
        <f>'D) Ecrêtage'!E157</f>
        <v>60.311210091834361</v>
      </c>
      <c r="E157" s="34">
        <f t="shared" si="11"/>
        <v>0</v>
      </c>
      <c r="F157" s="268">
        <f t="shared" si="12"/>
        <v>0</v>
      </c>
      <c r="G157" s="33">
        <f>+'A) Base RI'!AN159</f>
        <v>62</v>
      </c>
      <c r="H157" s="269">
        <f t="shared" si="13"/>
        <v>0.90919901446391238</v>
      </c>
      <c r="I157" s="57">
        <f t="shared" si="14"/>
        <v>0</v>
      </c>
    </row>
    <row r="158" spans="1:9" x14ac:dyDescent="0.25">
      <c r="A158" s="49">
        <f>'A) Base RI'!A160</f>
        <v>5652</v>
      </c>
      <c r="B158" s="32" t="str">
        <f>'A) Base RI'!B160</f>
        <v>Villars-sous-Yens</v>
      </c>
      <c r="C158" s="98">
        <f>'A) Base RI'!AO160</f>
        <v>603</v>
      </c>
      <c r="D158" s="114">
        <f>'D) Ecrêtage'!E158</f>
        <v>54.618905945419087</v>
      </c>
      <c r="E158" s="34">
        <f t="shared" si="11"/>
        <v>0</v>
      </c>
      <c r="F158" s="268">
        <f t="shared" si="12"/>
        <v>0</v>
      </c>
      <c r="G158" s="33">
        <f>+'A) Base RI'!AN160</f>
        <v>76</v>
      </c>
      <c r="H158" s="269">
        <f t="shared" si="13"/>
        <v>1.1145020177299572</v>
      </c>
      <c r="I158" s="57">
        <f t="shared" si="14"/>
        <v>0</v>
      </c>
    </row>
    <row r="159" spans="1:9" x14ac:dyDescent="0.25">
      <c r="A159" s="49">
        <f>'A) Base RI'!A161</f>
        <v>5653</v>
      </c>
      <c r="B159" s="32" t="str">
        <f>'A) Base RI'!B161</f>
        <v>Vufflens-le-Château</v>
      </c>
      <c r="C159" s="98">
        <f>'A) Base RI'!AO161</f>
        <v>883</v>
      </c>
      <c r="D159" s="114">
        <f>'D) Ecrêtage'!E159</f>
        <v>81.389386183465447</v>
      </c>
      <c r="E159" s="34">
        <f t="shared" si="11"/>
        <v>0</v>
      </c>
      <c r="F159" s="268">
        <f t="shared" si="12"/>
        <v>0</v>
      </c>
      <c r="G159" s="33">
        <f>+'A) Base RI'!AN161</f>
        <v>60</v>
      </c>
      <c r="H159" s="269">
        <f t="shared" si="13"/>
        <v>0.87987001399733455</v>
      </c>
      <c r="I159" s="57">
        <f t="shared" si="14"/>
        <v>0</v>
      </c>
    </row>
    <row r="160" spans="1:9" x14ac:dyDescent="0.25">
      <c r="A160" s="49">
        <f>'A) Base RI'!A162</f>
        <v>5654</v>
      </c>
      <c r="B160" s="32" t="str">
        <f>'A) Base RI'!B162</f>
        <v>Vullierens</v>
      </c>
      <c r="C160" s="98">
        <f>'A) Base RI'!AO162</f>
        <v>513</v>
      </c>
      <c r="D160" s="114">
        <f>'D) Ecrêtage'!E160</f>
        <v>35.219108187134495</v>
      </c>
      <c r="E160" s="34">
        <f t="shared" si="11"/>
        <v>11.905616905504182</v>
      </c>
      <c r="F160" s="268">
        <f t="shared" si="12"/>
        <v>125327.57181618521</v>
      </c>
      <c r="G160" s="33">
        <f>+'A) Base RI'!AN162</f>
        <v>76</v>
      </c>
      <c r="H160" s="269">
        <f t="shared" si="13"/>
        <v>1.1145020177299572</v>
      </c>
      <c r="I160" s="57">
        <f t="shared" si="14"/>
        <v>139677.83166633453</v>
      </c>
    </row>
    <row r="161" spans="1:9" x14ac:dyDescent="0.25">
      <c r="A161" s="49">
        <f>'A) Base RI'!A163</f>
        <v>5655</v>
      </c>
      <c r="B161" s="32" t="str">
        <f>'A) Base RI'!B163</f>
        <v>Yens</v>
      </c>
      <c r="C161" s="98">
        <f>'A) Base RI'!AO163</f>
        <v>1477</v>
      </c>
      <c r="D161" s="114">
        <f>'D) Ecrêtage'!E161</f>
        <v>52.289491379230398</v>
      </c>
      <c r="E161" s="34">
        <f t="shared" si="11"/>
        <v>0</v>
      </c>
      <c r="F161" s="268">
        <f t="shared" si="12"/>
        <v>0</v>
      </c>
      <c r="G161" s="33">
        <f>+'A) Base RI'!AN163</f>
        <v>73</v>
      </c>
      <c r="H161" s="269">
        <f t="shared" si="13"/>
        <v>1.0705085170300903</v>
      </c>
      <c r="I161" s="57">
        <f t="shared" si="14"/>
        <v>0</v>
      </c>
    </row>
    <row r="162" spans="1:9" x14ac:dyDescent="0.25">
      <c r="A162" s="49">
        <f>'A) Base RI'!A164</f>
        <v>5661</v>
      </c>
      <c r="B162" s="32" t="str">
        <f>'A) Base RI'!B164</f>
        <v>Boulens</v>
      </c>
      <c r="C162" s="98">
        <f>'A) Base RI'!AO164</f>
        <v>361</v>
      </c>
      <c r="D162" s="114">
        <f>'D) Ecrêtage'!E162</f>
        <v>27.8874416574963</v>
      </c>
      <c r="E162" s="34">
        <f t="shared" si="11"/>
        <v>19.237283435142377</v>
      </c>
      <c r="F162" s="268">
        <f t="shared" si="12"/>
        <v>136879.2351989029</v>
      </c>
      <c r="G162" s="33">
        <f>+'A) Base RI'!AN164</f>
        <v>73</v>
      </c>
      <c r="H162" s="269">
        <f t="shared" si="13"/>
        <v>1.0705085170300903</v>
      </c>
      <c r="I162" s="57">
        <f t="shared" si="14"/>
        <v>146530.38708499048</v>
      </c>
    </row>
    <row r="163" spans="1:9" x14ac:dyDescent="0.25">
      <c r="A163" s="49">
        <f>'A) Base RI'!A165</f>
        <v>5663</v>
      </c>
      <c r="B163" s="32" t="str">
        <f>'A) Base RI'!B165</f>
        <v>Bussy-sur-Moudon</v>
      </c>
      <c r="C163" s="98">
        <f>'A) Base RI'!AO165</f>
        <v>218</v>
      </c>
      <c r="D163" s="114">
        <f>'D) Ecrêtage'!E163</f>
        <v>29.162969610091746</v>
      </c>
      <c r="E163" s="34">
        <f t="shared" si="11"/>
        <v>17.961755482546931</v>
      </c>
      <c r="F163" s="268">
        <f t="shared" si="12"/>
        <v>84578.314216216982</v>
      </c>
      <c r="G163" s="33">
        <f>+'A) Base RI'!AN165</f>
        <v>80</v>
      </c>
      <c r="H163" s="269">
        <f t="shared" si="13"/>
        <v>1.1731600186631128</v>
      </c>
      <c r="I163" s="57">
        <f t="shared" si="14"/>
        <v>99223.89668439173</v>
      </c>
    </row>
    <row r="164" spans="1:9" x14ac:dyDescent="0.25">
      <c r="A164" s="49">
        <f>'A) Base RI'!A166</f>
        <v>5665</v>
      </c>
      <c r="B164" s="32" t="str">
        <f>'A) Base RI'!B166</f>
        <v>Chavannes-sur-Moudon</v>
      </c>
      <c r="C164" s="98">
        <f>'A) Base RI'!AO166</f>
        <v>210</v>
      </c>
      <c r="D164" s="114">
        <f>'D) Ecrêtage'!E164</f>
        <v>22.547136333985652</v>
      </c>
      <c r="E164" s="34">
        <f t="shared" si="11"/>
        <v>24.577588758653025</v>
      </c>
      <c r="F164" s="268">
        <f t="shared" si="12"/>
        <v>101729.09763094074</v>
      </c>
      <c r="G164" s="33">
        <f>+'A) Base RI'!AN166</f>
        <v>73</v>
      </c>
      <c r="H164" s="269">
        <f t="shared" si="13"/>
        <v>1.0705085170300903</v>
      </c>
      <c r="I164" s="57">
        <f t="shared" si="14"/>
        <v>108901.86544370765</v>
      </c>
    </row>
    <row r="165" spans="1:9" x14ac:dyDescent="0.25">
      <c r="A165" s="49">
        <f>'A) Base RI'!A167</f>
        <v>5669</v>
      </c>
      <c r="B165" s="32" t="str">
        <f>'A) Base RI'!B167</f>
        <v>Curtilles</v>
      </c>
      <c r="C165" s="98">
        <f>'A) Base RI'!AO167</f>
        <v>310</v>
      </c>
      <c r="D165" s="114">
        <f>'D) Ecrêtage'!E165</f>
        <v>32.265158279569889</v>
      </c>
      <c r="E165" s="34">
        <f t="shared" si="11"/>
        <v>14.859566813068788</v>
      </c>
      <c r="F165" s="268">
        <f t="shared" si="12"/>
        <v>93280.930669039328</v>
      </c>
      <c r="G165" s="33">
        <f>+'A) Base RI'!AN167</f>
        <v>75</v>
      </c>
      <c r="H165" s="269">
        <f t="shared" si="13"/>
        <v>1.0998375174966681</v>
      </c>
      <c r="I165" s="57">
        <f t="shared" si="14"/>
        <v>102593.86721681502</v>
      </c>
    </row>
    <row r="166" spans="1:9" x14ac:dyDescent="0.25">
      <c r="A166" s="49">
        <f>'A) Base RI'!A168</f>
        <v>5671</v>
      </c>
      <c r="B166" s="32" t="str">
        <f>'A) Base RI'!B168</f>
        <v>Dompierre</v>
      </c>
      <c r="C166" s="98">
        <f>'A) Base RI'!AO168</f>
        <v>232</v>
      </c>
      <c r="D166" s="114">
        <f>'D) Ecrêtage'!E166</f>
        <v>28.324933189655166</v>
      </c>
      <c r="E166" s="34">
        <f t="shared" si="11"/>
        <v>18.799791902983511</v>
      </c>
      <c r="F166" s="268">
        <f t="shared" si="12"/>
        <v>94209.517184230979</v>
      </c>
      <c r="G166" s="33">
        <f>+'A) Base RI'!AN168</f>
        <v>80</v>
      </c>
      <c r="H166" s="269">
        <f t="shared" si="13"/>
        <v>1.1731600186631128</v>
      </c>
      <c r="I166" s="57">
        <f t="shared" si="14"/>
        <v>110522.83893809526</v>
      </c>
    </row>
    <row r="167" spans="1:9" x14ac:dyDescent="0.25">
      <c r="A167" s="49">
        <f>'A) Base RI'!A169</f>
        <v>5673</v>
      </c>
      <c r="B167" s="32" t="str">
        <f>'A) Base RI'!B169</f>
        <v>Hermenches</v>
      </c>
      <c r="C167" s="98">
        <f>'A) Base RI'!AO169</f>
        <v>367</v>
      </c>
      <c r="D167" s="114">
        <f>'D) Ecrêtage'!E167</f>
        <v>27.001904450499545</v>
      </c>
      <c r="E167" s="34">
        <f t="shared" si="11"/>
        <v>20.122820642139132</v>
      </c>
      <c r="F167" s="268">
        <f t="shared" si="12"/>
        <v>149547.7723072175</v>
      </c>
      <c r="G167" s="33">
        <f>+'A) Base RI'!AN169</f>
        <v>75</v>
      </c>
      <c r="H167" s="269">
        <f t="shared" si="13"/>
        <v>1.0998375174966681</v>
      </c>
      <c r="I167" s="57">
        <f t="shared" si="14"/>
        <v>164478.25064152706</v>
      </c>
    </row>
    <row r="168" spans="1:9" x14ac:dyDescent="0.25">
      <c r="A168" s="49">
        <f>'A) Base RI'!A170</f>
        <v>5674</v>
      </c>
      <c r="B168" s="32" t="str">
        <f>'A) Base RI'!B170</f>
        <v>Lovatens</v>
      </c>
      <c r="C168" s="98">
        <f>'A) Base RI'!AO170</f>
        <v>136</v>
      </c>
      <c r="D168" s="114">
        <f>'D) Ecrêtage'!E168</f>
        <v>23.640079411764702</v>
      </c>
      <c r="E168" s="34">
        <f t="shared" si="11"/>
        <v>23.484645680873975</v>
      </c>
      <c r="F168" s="268">
        <f t="shared" si="12"/>
        <v>64676.714205126933</v>
      </c>
      <c r="G168" s="33">
        <f>+'A) Base RI'!AN170</f>
        <v>75</v>
      </c>
      <c r="H168" s="269">
        <f t="shared" si="13"/>
        <v>1.0998375174966681</v>
      </c>
      <c r="I168" s="57">
        <f t="shared" si="14"/>
        <v>71133.876791208299</v>
      </c>
    </row>
    <row r="169" spans="1:9" x14ac:dyDescent="0.25">
      <c r="A169" s="49">
        <f>'A) Base RI'!A171</f>
        <v>5675</v>
      </c>
      <c r="B169" s="32" t="str">
        <f>'A) Base RI'!B171</f>
        <v>Lucens</v>
      </c>
      <c r="C169" s="98">
        <f>'A) Base RI'!AO171</f>
        <v>4220</v>
      </c>
      <c r="D169" s="114">
        <f>'D) Ecrêtage'!E169</f>
        <v>23.165497845756136</v>
      </c>
      <c r="E169" s="34">
        <f t="shared" si="11"/>
        <v>23.959227246882541</v>
      </c>
      <c r="F169" s="268">
        <f t="shared" si="12"/>
        <v>1883640.90323176</v>
      </c>
      <c r="G169" s="33">
        <f>+'A) Base RI'!AN171</f>
        <v>69</v>
      </c>
      <c r="H169" s="269">
        <f t="shared" si="13"/>
        <v>1.0118505160969347</v>
      </c>
      <c r="I169" s="57">
        <f t="shared" si="14"/>
        <v>1905963.0200763526</v>
      </c>
    </row>
    <row r="170" spans="1:9" x14ac:dyDescent="0.25">
      <c r="A170" s="49">
        <f>'A) Base RI'!A172</f>
        <v>5678</v>
      </c>
      <c r="B170" s="32" t="str">
        <f>'A) Base RI'!B172</f>
        <v>Moudon</v>
      </c>
      <c r="C170" s="98">
        <f>'A) Base RI'!AO172</f>
        <v>6080</v>
      </c>
      <c r="D170" s="114">
        <f>'D) Ecrêtage'!E170</f>
        <v>20.736886995614032</v>
      </c>
      <c r="E170" s="34">
        <f t="shared" si="11"/>
        <v>26.387838097024645</v>
      </c>
      <c r="F170" s="268">
        <f t="shared" si="12"/>
        <v>3248870.6265056748</v>
      </c>
      <c r="G170" s="33">
        <f>+'A) Base RI'!AN172</f>
        <v>75</v>
      </c>
      <c r="H170" s="269">
        <f t="shared" si="13"/>
        <v>1.0998375174966681</v>
      </c>
      <c r="I170" s="57">
        <f t="shared" si="14"/>
        <v>3573229.8045238461</v>
      </c>
    </row>
    <row r="171" spans="1:9" x14ac:dyDescent="0.25">
      <c r="A171" s="49">
        <f>'A) Base RI'!A173</f>
        <v>5680</v>
      </c>
      <c r="B171" s="32" t="str">
        <f>'A) Base RI'!B173</f>
        <v>Ogens</v>
      </c>
      <c r="C171" s="98">
        <f>'A) Base RI'!AO173</f>
        <v>296</v>
      </c>
      <c r="D171" s="114">
        <f>'D) Ecrêtage'!E171</f>
        <v>21.329404596904592</v>
      </c>
      <c r="E171" s="34">
        <f t="shared" si="11"/>
        <v>25.795320495734085</v>
      </c>
      <c r="F171" s="268">
        <f t="shared" si="12"/>
        <v>160801.83709348729</v>
      </c>
      <c r="G171" s="33">
        <f>+'A) Base RI'!AN173</f>
        <v>78</v>
      </c>
      <c r="H171" s="269">
        <f t="shared" si="13"/>
        <v>1.143831018196535</v>
      </c>
      <c r="I171" s="57">
        <f t="shared" si="14"/>
        <v>183930.12905051693</v>
      </c>
    </row>
    <row r="172" spans="1:9" x14ac:dyDescent="0.25">
      <c r="A172" s="49">
        <f>'A) Base RI'!A174</f>
        <v>5683</v>
      </c>
      <c r="B172" s="32" t="str">
        <f>'A) Base RI'!B174</f>
        <v>Prévonloup</v>
      </c>
      <c r="C172" s="98">
        <f>'A) Base RI'!AO174</f>
        <v>194</v>
      </c>
      <c r="D172" s="114">
        <f>'D) Ecrêtage'!E172</f>
        <v>23.656635553078843</v>
      </c>
      <c r="E172" s="34">
        <f t="shared" si="11"/>
        <v>23.468089539559834</v>
      </c>
      <c r="F172" s="268">
        <f t="shared" si="12"/>
        <v>90965.131226078665</v>
      </c>
      <c r="G172" s="33">
        <f>+'A) Base RI'!AN174</f>
        <v>74</v>
      </c>
      <c r="H172" s="269">
        <f t="shared" si="13"/>
        <v>1.0851730172633793</v>
      </c>
      <c r="I172" s="57">
        <f t="shared" si="14"/>
        <v>98712.905918363031</v>
      </c>
    </row>
    <row r="173" spans="1:9" x14ac:dyDescent="0.25">
      <c r="A173" s="49">
        <f>'A) Base RI'!A175</f>
        <v>5684</v>
      </c>
      <c r="B173" s="32" t="str">
        <f>'A) Base RI'!B175</f>
        <v>Rossenges</v>
      </c>
      <c r="C173" s="98">
        <f>'A) Base RI'!AO175</f>
        <v>84</v>
      </c>
      <c r="D173" s="114">
        <f>'D) Ecrêtage'!E173</f>
        <v>36.889535714285714</v>
      </c>
      <c r="E173" s="34">
        <f t="shared" si="11"/>
        <v>10.235189378352963</v>
      </c>
      <c r="F173" s="268">
        <f t="shared" si="12"/>
        <v>17410.057132578393</v>
      </c>
      <c r="G173" s="33">
        <f>+'A) Base RI'!AN175</f>
        <v>75</v>
      </c>
      <c r="H173" s="269">
        <f t="shared" si="13"/>
        <v>1.0998375174966681</v>
      </c>
      <c r="I173" s="57">
        <f t="shared" si="14"/>
        <v>19148.23401617018</v>
      </c>
    </row>
    <row r="174" spans="1:9" x14ac:dyDescent="0.25">
      <c r="A174" s="49">
        <f>'A) Base RI'!A176</f>
        <v>5688</v>
      </c>
      <c r="B174" s="32" t="str">
        <f>'A) Base RI'!B176</f>
        <v>Syens</v>
      </c>
      <c r="C174" s="98">
        <f>'A) Base RI'!AO176</f>
        <v>155</v>
      </c>
      <c r="D174" s="114">
        <f>'D) Ecrêtage'!E174</f>
        <v>17.692441542925419</v>
      </c>
      <c r="E174" s="34">
        <f t="shared" si="11"/>
        <v>29.432283549713258</v>
      </c>
      <c r="F174" s="268">
        <f t="shared" si="12"/>
        <v>93119.624631595798</v>
      </c>
      <c r="G174" s="33">
        <f>+'A) Base RI'!AN176</f>
        <v>75.599999999999994</v>
      </c>
      <c r="H174" s="269">
        <f t="shared" si="13"/>
        <v>1.1086362176366416</v>
      </c>
      <c r="I174" s="57">
        <f t="shared" si="14"/>
        <v>103235.78843931621</v>
      </c>
    </row>
    <row r="175" spans="1:9" x14ac:dyDescent="0.25">
      <c r="A175" s="49">
        <f>'A) Base RI'!A177</f>
        <v>5690</v>
      </c>
      <c r="B175" s="32" t="str">
        <f>'A) Base RI'!B177</f>
        <v>Villars-le-Comte</v>
      </c>
      <c r="C175" s="98">
        <f>'A) Base RI'!AO177</f>
        <v>122</v>
      </c>
      <c r="D175" s="114">
        <f>'D) Ecrêtage'!E175</f>
        <v>24.739053278688527</v>
      </c>
      <c r="E175" s="34">
        <f t="shared" si="11"/>
        <v>22.38567181395015</v>
      </c>
      <c r="F175" s="268">
        <f t="shared" si="12"/>
        <v>51616.882068606261</v>
      </c>
      <c r="G175" s="33">
        <f>+'A) Base RI'!AN177</f>
        <v>70</v>
      </c>
      <c r="H175" s="269">
        <f t="shared" si="13"/>
        <v>1.0265150163302237</v>
      </c>
      <c r="I175" s="57">
        <f t="shared" si="14"/>
        <v>52985.504539570589</v>
      </c>
    </row>
    <row r="176" spans="1:9" x14ac:dyDescent="0.25">
      <c r="A176" s="49">
        <f>'A) Base RI'!A178</f>
        <v>5692</v>
      </c>
      <c r="B176" s="32" t="str">
        <f>'A) Base RI'!B178</f>
        <v>Vucherens</v>
      </c>
      <c r="C176" s="98">
        <f>'A) Base RI'!AO178</f>
        <v>580</v>
      </c>
      <c r="D176" s="114">
        <f>'D) Ecrêtage'!E176</f>
        <v>27.589983631601921</v>
      </c>
      <c r="E176" s="34">
        <f t="shared" si="11"/>
        <v>19.534741461036756</v>
      </c>
      <c r="F176" s="268">
        <f t="shared" si="12"/>
        <v>241672.10051107014</v>
      </c>
      <c r="G176" s="33">
        <f>+'A) Base RI'!AN178</f>
        <v>79</v>
      </c>
      <c r="H176" s="269">
        <f t="shared" si="13"/>
        <v>1.1584955184298238</v>
      </c>
      <c r="I176" s="57">
        <f t="shared" si="14"/>
        <v>279976.0453715967</v>
      </c>
    </row>
    <row r="177" spans="1:9" x14ac:dyDescent="0.25">
      <c r="A177" s="49">
        <f>'A) Base RI'!A179</f>
        <v>5693</v>
      </c>
      <c r="B177" s="32" t="str">
        <f>'A) Base RI'!B179</f>
        <v>Montanaire</v>
      </c>
      <c r="C177" s="98">
        <f>'A) Base RI'!AO179</f>
        <v>2717</v>
      </c>
      <c r="D177" s="114">
        <f>'D) Ecrêtage'!E177</f>
        <v>26.060806956201681</v>
      </c>
      <c r="E177" s="34">
        <f t="shared" si="11"/>
        <v>21.063918136436996</v>
      </c>
      <c r="F177" s="268">
        <f t="shared" si="12"/>
        <v>1112564.1388110348</v>
      </c>
      <c r="G177" s="33">
        <f>+'A) Base RI'!AN179</f>
        <v>72</v>
      </c>
      <c r="H177" s="269">
        <f t="shared" si="13"/>
        <v>1.0558440167968015</v>
      </c>
      <c r="I177" s="57">
        <f t="shared" si="14"/>
        <v>1174694.1892663173</v>
      </c>
    </row>
    <row r="178" spans="1:9" x14ac:dyDescent="0.25">
      <c r="A178" s="49">
        <f>'A) Base RI'!A180</f>
        <v>5701</v>
      </c>
      <c r="B178" s="32" t="str">
        <f>'A) Base RI'!B180</f>
        <v>Arnex-sur-Nyon</v>
      </c>
      <c r="C178" s="98">
        <f>'A) Base RI'!AO180</f>
        <v>229</v>
      </c>
      <c r="D178" s="114">
        <f>'D) Ecrêtage'!E178</f>
        <v>52.699276356830943</v>
      </c>
      <c r="E178" s="34">
        <f t="shared" si="11"/>
        <v>0</v>
      </c>
      <c r="F178" s="268">
        <f t="shared" si="12"/>
        <v>0</v>
      </c>
      <c r="G178" s="33">
        <f>+'A) Base RI'!AN180</f>
        <v>70</v>
      </c>
      <c r="H178" s="269">
        <f t="shared" si="13"/>
        <v>1.0265150163302237</v>
      </c>
      <c r="I178" s="57">
        <f t="shared" si="14"/>
        <v>0</v>
      </c>
    </row>
    <row r="179" spans="1:9" x14ac:dyDescent="0.25">
      <c r="A179" s="49">
        <f>'A) Base RI'!A181</f>
        <v>5702</v>
      </c>
      <c r="B179" s="32" t="str">
        <f>'A) Base RI'!B181</f>
        <v>Arzier-Le Muids</v>
      </c>
      <c r="C179" s="98">
        <f>'A) Base RI'!AO181</f>
        <v>2801</v>
      </c>
      <c r="D179" s="114">
        <f>'D) Ecrêtage'!E179</f>
        <v>62.10380900050577</v>
      </c>
      <c r="E179" s="34">
        <f t="shared" si="11"/>
        <v>0</v>
      </c>
      <c r="F179" s="268">
        <f t="shared" si="12"/>
        <v>0</v>
      </c>
      <c r="G179" s="33">
        <f>+'A) Base RI'!AN181</f>
        <v>64</v>
      </c>
      <c r="H179" s="269">
        <f t="shared" si="13"/>
        <v>0.93852801493049021</v>
      </c>
      <c r="I179" s="57">
        <f t="shared" si="14"/>
        <v>0</v>
      </c>
    </row>
    <row r="180" spans="1:9" x14ac:dyDescent="0.25">
      <c r="A180" s="49">
        <f>'A) Base RI'!A182</f>
        <v>5703</v>
      </c>
      <c r="B180" s="32" t="str">
        <f>'A) Base RI'!B182</f>
        <v>Bassins</v>
      </c>
      <c r="C180" s="98">
        <f>'A) Base RI'!AO182</f>
        <v>1395</v>
      </c>
      <c r="D180" s="114">
        <f>'D) Ecrêtage'!E180</f>
        <v>42.28837389463196</v>
      </c>
      <c r="E180" s="34">
        <f t="shared" si="11"/>
        <v>4.8363511980067173</v>
      </c>
      <c r="F180" s="268">
        <f t="shared" si="12"/>
        <v>134799.26422596304</v>
      </c>
      <c r="G180" s="33">
        <f>+'A) Base RI'!AN182</f>
        <v>74</v>
      </c>
      <c r="H180" s="269">
        <f t="shared" si="13"/>
        <v>1.0851730172633793</v>
      </c>
      <c r="I180" s="57">
        <f t="shared" si="14"/>
        <v>146280.52428497182</v>
      </c>
    </row>
    <row r="181" spans="1:9" x14ac:dyDescent="0.25">
      <c r="A181" s="49">
        <f>'A) Base RI'!A183</f>
        <v>5704</v>
      </c>
      <c r="B181" s="32" t="str">
        <f>'A) Base RI'!B183</f>
        <v>Begnins</v>
      </c>
      <c r="C181" s="98">
        <f>'A) Base RI'!AO183</f>
        <v>1931</v>
      </c>
      <c r="D181" s="114">
        <f>'D) Ecrêtage'!E181</f>
        <v>67.097282604004832</v>
      </c>
      <c r="E181" s="34">
        <f t="shared" si="11"/>
        <v>0</v>
      </c>
      <c r="F181" s="268">
        <f t="shared" si="12"/>
        <v>0</v>
      </c>
      <c r="G181" s="33">
        <f>+'A) Base RI'!AN183</f>
        <v>64</v>
      </c>
      <c r="H181" s="269">
        <f t="shared" si="13"/>
        <v>0.93852801493049021</v>
      </c>
      <c r="I181" s="57">
        <f t="shared" si="14"/>
        <v>0</v>
      </c>
    </row>
    <row r="182" spans="1:9" x14ac:dyDescent="0.25">
      <c r="A182" s="49">
        <f>'A) Base RI'!A184</f>
        <v>5705</v>
      </c>
      <c r="B182" s="32" t="str">
        <f>'A) Base RI'!B184</f>
        <v>Bogis-Bossey</v>
      </c>
      <c r="C182" s="98">
        <f>'A) Base RI'!AO184</f>
        <v>825</v>
      </c>
      <c r="D182" s="114">
        <f>'D) Ecrêtage'!E182</f>
        <v>57.498928548644336</v>
      </c>
      <c r="E182" s="34">
        <f t="shared" si="11"/>
        <v>0</v>
      </c>
      <c r="F182" s="268">
        <f t="shared" si="12"/>
        <v>0</v>
      </c>
      <c r="G182" s="33">
        <f>+'A) Base RI'!AN184</f>
        <v>76</v>
      </c>
      <c r="H182" s="269">
        <f t="shared" si="13"/>
        <v>1.1145020177299572</v>
      </c>
      <c r="I182" s="57">
        <f t="shared" si="14"/>
        <v>0</v>
      </c>
    </row>
    <row r="183" spans="1:9" x14ac:dyDescent="0.25">
      <c r="A183" s="49">
        <f>'A) Base RI'!A185</f>
        <v>5706</v>
      </c>
      <c r="B183" s="32" t="str">
        <f>'A) Base RI'!B185</f>
        <v>Borex</v>
      </c>
      <c r="C183" s="98">
        <f>'A) Base RI'!AO185</f>
        <v>1132</v>
      </c>
      <c r="D183" s="114">
        <f>'D) Ecrêtage'!E183</f>
        <v>67.741500700621415</v>
      </c>
      <c r="E183" s="34">
        <f t="shared" si="11"/>
        <v>0</v>
      </c>
      <c r="F183" s="268">
        <f t="shared" si="12"/>
        <v>0</v>
      </c>
      <c r="G183" s="33">
        <f>+'A) Base RI'!AN185</f>
        <v>58</v>
      </c>
      <c r="H183" s="269">
        <f t="shared" si="13"/>
        <v>0.85054101353075673</v>
      </c>
      <c r="I183" s="57">
        <f t="shared" si="14"/>
        <v>0</v>
      </c>
    </row>
    <row r="184" spans="1:9" x14ac:dyDescent="0.25">
      <c r="A184" s="49">
        <f>'A) Base RI'!A186</f>
        <v>5707</v>
      </c>
      <c r="B184" s="32" t="str">
        <f>'A) Base RI'!B186</f>
        <v>Chavannes-de-Bogis</v>
      </c>
      <c r="C184" s="98">
        <f>'A) Base RI'!AO186</f>
        <v>1357</v>
      </c>
      <c r="D184" s="114">
        <f>'D) Ecrêtage'!E184</f>
        <v>59.917198955822286</v>
      </c>
      <c r="E184" s="34">
        <f t="shared" si="11"/>
        <v>0</v>
      </c>
      <c r="F184" s="268">
        <f t="shared" si="12"/>
        <v>0</v>
      </c>
      <c r="G184" s="33">
        <f>+'A) Base RI'!AN186</f>
        <v>59</v>
      </c>
      <c r="H184" s="269">
        <f t="shared" si="13"/>
        <v>0.86520551376404564</v>
      </c>
      <c r="I184" s="57">
        <f t="shared" si="14"/>
        <v>0</v>
      </c>
    </row>
    <row r="185" spans="1:9" x14ac:dyDescent="0.25">
      <c r="A185" s="49">
        <f>'A) Base RI'!A187</f>
        <v>5708</v>
      </c>
      <c r="B185" s="32" t="str">
        <f>'A) Base RI'!B187</f>
        <v>Chavannes-des-Bois</v>
      </c>
      <c r="C185" s="98">
        <f>'A) Base RI'!AO187</f>
        <v>960</v>
      </c>
      <c r="D185" s="114">
        <f>'D) Ecrêtage'!E185</f>
        <v>67.400509497549038</v>
      </c>
      <c r="E185" s="34">
        <f t="shared" si="11"/>
        <v>0</v>
      </c>
      <c r="F185" s="268">
        <f t="shared" si="12"/>
        <v>0</v>
      </c>
      <c r="G185" s="33">
        <f>+'A) Base RI'!AN187</f>
        <v>68</v>
      </c>
      <c r="H185" s="269">
        <f t="shared" si="13"/>
        <v>0.99718601586364586</v>
      </c>
      <c r="I185" s="57">
        <f t="shared" si="14"/>
        <v>0</v>
      </c>
    </row>
    <row r="186" spans="1:9" x14ac:dyDescent="0.25">
      <c r="A186" s="49">
        <f>'A) Base RI'!A188</f>
        <v>5709</v>
      </c>
      <c r="B186" s="32" t="str">
        <f>'A) Base RI'!B188</f>
        <v>Chéserex</v>
      </c>
      <c r="C186" s="98">
        <f>'A) Base RI'!AO188</f>
        <v>1238</v>
      </c>
      <c r="D186" s="114">
        <f>'D) Ecrêtage'!E186</f>
        <v>80.31235850126123</v>
      </c>
      <c r="E186" s="34">
        <f t="shared" si="11"/>
        <v>0</v>
      </c>
      <c r="F186" s="268">
        <f t="shared" si="12"/>
        <v>0</v>
      </c>
      <c r="G186" s="33">
        <f>+'A) Base RI'!AN188</f>
        <v>57</v>
      </c>
      <c r="H186" s="269">
        <f t="shared" si="13"/>
        <v>0.83587651329746782</v>
      </c>
      <c r="I186" s="57">
        <f t="shared" si="14"/>
        <v>0</v>
      </c>
    </row>
    <row r="187" spans="1:9" x14ac:dyDescent="0.25">
      <c r="A187" s="49">
        <f>'A) Base RI'!A189</f>
        <v>5710</v>
      </c>
      <c r="B187" s="32" t="str">
        <f>'A) Base RI'!B189</f>
        <v>Coinsins</v>
      </c>
      <c r="C187" s="98">
        <f>'A) Base RI'!AO189</f>
        <v>494</v>
      </c>
      <c r="D187" s="114">
        <f>'D) Ecrêtage'!E187</f>
        <v>226.94519845995083</v>
      </c>
      <c r="E187" s="34">
        <f t="shared" si="11"/>
        <v>0</v>
      </c>
      <c r="F187" s="268">
        <f t="shared" si="12"/>
        <v>0</v>
      </c>
      <c r="G187" s="33">
        <f>+'A) Base RI'!AN189</f>
        <v>51</v>
      </c>
      <c r="H187" s="269">
        <f t="shared" si="13"/>
        <v>0.74788951189773434</v>
      </c>
      <c r="I187" s="57">
        <f t="shared" si="14"/>
        <v>0</v>
      </c>
    </row>
    <row r="188" spans="1:9" x14ac:dyDescent="0.25">
      <c r="A188" s="49">
        <f>'A) Base RI'!A190</f>
        <v>5711</v>
      </c>
      <c r="B188" s="32" t="str">
        <f>'A) Base RI'!B190</f>
        <v>Commugny</v>
      </c>
      <c r="C188" s="98">
        <f>'A) Base RI'!AO190</f>
        <v>2935</v>
      </c>
      <c r="D188" s="114">
        <f>'D) Ecrêtage'!E188</f>
        <v>87.729906723958379</v>
      </c>
      <c r="E188" s="34">
        <f t="shared" si="11"/>
        <v>0</v>
      </c>
      <c r="F188" s="268">
        <f t="shared" si="12"/>
        <v>0</v>
      </c>
      <c r="G188" s="33">
        <f>+'A) Base RI'!AN190</f>
        <v>57</v>
      </c>
      <c r="H188" s="269">
        <f t="shared" si="13"/>
        <v>0.83587651329746782</v>
      </c>
      <c r="I188" s="57">
        <f t="shared" si="14"/>
        <v>0</v>
      </c>
    </row>
    <row r="189" spans="1:9" x14ac:dyDescent="0.25">
      <c r="A189" s="49">
        <f>'A) Base RI'!A191</f>
        <v>5712</v>
      </c>
      <c r="B189" s="32" t="str">
        <f>'A) Base RI'!B191</f>
        <v>Coppet</v>
      </c>
      <c r="C189" s="98">
        <f>'A) Base RI'!AO191</f>
        <v>3211</v>
      </c>
      <c r="D189" s="114">
        <f>'D) Ecrêtage'!E189</f>
        <v>121.15971354365595</v>
      </c>
      <c r="E189" s="34">
        <f t="shared" si="11"/>
        <v>0</v>
      </c>
      <c r="F189" s="268">
        <f t="shared" si="12"/>
        <v>0</v>
      </c>
      <c r="G189" s="33">
        <f>+'A) Base RI'!AN191</f>
        <v>53</v>
      </c>
      <c r="H189" s="269">
        <f t="shared" si="13"/>
        <v>0.77721851236431216</v>
      </c>
      <c r="I189" s="57">
        <f t="shared" si="14"/>
        <v>0</v>
      </c>
    </row>
    <row r="190" spans="1:9" x14ac:dyDescent="0.25">
      <c r="A190" s="49">
        <f>'A) Base RI'!A192</f>
        <v>5713</v>
      </c>
      <c r="B190" s="32" t="str">
        <f>'A) Base RI'!B192</f>
        <v>Crans-près-Céligny</v>
      </c>
      <c r="C190" s="98">
        <f>'A) Base RI'!AO192</f>
        <v>2286</v>
      </c>
      <c r="D190" s="114">
        <f>'D) Ecrêtage'!E190</f>
        <v>124.97334661292338</v>
      </c>
      <c r="E190" s="34">
        <f t="shared" si="11"/>
        <v>0</v>
      </c>
      <c r="F190" s="268">
        <f t="shared" si="12"/>
        <v>0</v>
      </c>
      <c r="G190" s="33">
        <f>+'A) Base RI'!AN192</f>
        <v>56</v>
      </c>
      <c r="H190" s="269">
        <f t="shared" si="13"/>
        <v>0.8212120130641789</v>
      </c>
      <c r="I190" s="57">
        <f t="shared" si="14"/>
        <v>0</v>
      </c>
    </row>
    <row r="191" spans="1:9" x14ac:dyDescent="0.25">
      <c r="A191" s="49">
        <f>'A) Base RI'!A193</f>
        <v>5714</v>
      </c>
      <c r="B191" s="32" t="str">
        <f>'A) Base RI'!B193</f>
        <v>Crassier</v>
      </c>
      <c r="C191" s="98">
        <f>'A) Base RI'!AO193</f>
        <v>1169</v>
      </c>
      <c r="D191" s="114">
        <f>'D) Ecrêtage'!E191</f>
        <v>59.67267511196097</v>
      </c>
      <c r="E191" s="34">
        <f t="shared" si="11"/>
        <v>0</v>
      </c>
      <c r="F191" s="268">
        <f t="shared" si="12"/>
        <v>0</v>
      </c>
      <c r="G191" s="33">
        <f>+'A) Base RI'!AN193</f>
        <v>68</v>
      </c>
      <c r="H191" s="269">
        <f t="shared" si="13"/>
        <v>0.99718601586364586</v>
      </c>
      <c r="I191" s="57">
        <f t="shared" si="14"/>
        <v>0</v>
      </c>
    </row>
    <row r="192" spans="1:9" x14ac:dyDescent="0.25">
      <c r="A192" s="49">
        <f>'A) Base RI'!A194</f>
        <v>5715</v>
      </c>
      <c r="B192" s="32" t="str">
        <f>'A) Base RI'!B194</f>
        <v>Duillier</v>
      </c>
      <c r="C192" s="98">
        <f>'A) Base RI'!AO194</f>
        <v>1090</v>
      </c>
      <c r="D192" s="114">
        <f>'D) Ecrêtage'!E192</f>
        <v>64.339384765082016</v>
      </c>
      <c r="E192" s="34">
        <f t="shared" si="11"/>
        <v>0</v>
      </c>
      <c r="F192" s="268">
        <f t="shared" si="12"/>
        <v>0</v>
      </c>
      <c r="G192" s="33">
        <f>+'A) Base RI'!AN194</f>
        <v>66</v>
      </c>
      <c r="H192" s="269">
        <f t="shared" si="13"/>
        <v>0.96785701539706803</v>
      </c>
      <c r="I192" s="57">
        <f t="shared" si="14"/>
        <v>0</v>
      </c>
    </row>
    <row r="193" spans="1:9" x14ac:dyDescent="0.25">
      <c r="A193" s="49">
        <f>'A) Base RI'!A195</f>
        <v>5716</v>
      </c>
      <c r="B193" s="32" t="str">
        <f>'A) Base RI'!B195</f>
        <v>Eysins</v>
      </c>
      <c r="C193" s="98">
        <f>'A) Base RI'!AO195</f>
        <v>1737</v>
      </c>
      <c r="D193" s="114">
        <f>'D) Ecrêtage'!E193</f>
        <v>118.67968789225819</v>
      </c>
      <c r="E193" s="34">
        <f t="shared" si="11"/>
        <v>0</v>
      </c>
      <c r="F193" s="268">
        <f t="shared" si="12"/>
        <v>0</v>
      </c>
      <c r="G193" s="33">
        <f>+'A) Base RI'!AN195</f>
        <v>61</v>
      </c>
      <c r="H193" s="269">
        <f t="shared" si="13"/>
        <v>0.89453451423062347</v>
      </c>
      <c r="I193" s="57">
        <f t="shared" si="14"/>
        <v>0</v>
      </c>
    </row>
    <row r="194" spans="1:9" x14ac:dyDescent="0.25">
      <c r="A194" s="49">
        <f>'A) Base RI'!A196</f>
        <v>5717</v>
      </c>
      <c r="B194" s="32" t="str">
        <f>'A) Base RI'!B196</f>
        <v>Founex</v>
      </c>
      <c r="C194" s="98">
        <f>'A) Base RI'!AO196</f>
        <v>3772</v>
      </c>
      <c r="D194" s="114">
        <f>'D) Ecrêtage'!E194</f>
        <v>91.40381569645217</v>
      </c>
      <c r="E194" s="34">
        <f t="shared" si="11"/>
        <v>0</v>
      </c>
      <c r="F194" s="268">
        <f t="shared" si="12"/>
        <v>0</v>
      </c>
      <c r="G194" s="33">
        <f>+'A) Base RI'!AN196</f>
        <v>57</v>
      </c>
      <c r="H194" s="269">
        <f t="shared" si="13"/>
        <v>0.83587651329746782</v>
      </c>
      <c r="I194" s="57">
        <f t="shared" si="14"/>
        <v>0</v>
      </c>
    </row>
    <row r="195" spans="1:9" x14ac:dyDescent="0.25">
      <c r="A195" s="49">
        <f>'A) Base RI'!A197</f>
        <v>5718</v>
      </c>
      <c r="B195" s="32" t="str">
        <f>'A) Base RI'!B197</f>
        <v>Genolier</v>
      </c>
      <c r="C195" s="98">
        <f>'A) Base RI'!AO197</f>
        <v>2000</v>
      </c>
      <c r="D195" s="114">
        <f>'D) Ecrêtage'!E195</f>
        <v>85.736889454545448</v>
      </c>
      <c r="E195" s="34">
        <f t="shared" si="11"/>
        <v>0</v>
      </c>
      <c r="F195" s="268">
        <f t="shared" si="12"/>
        <v>0</v>
      </c>
      <c r="G195" s="33">
        <f>+'A) Base RI'!AN197</f>
        <v>55</v>
      </c>
      <c r="H195" s="269">
        <f t="shared" si="13"/>
        <v>0.80654751283088999</v>
      </c>
      <c r="I195" s="57">
        <f t="shared" si="14"/>
        <v>0</v>
      </c>
    </row>
    <row r="196" spans="1:9" x14ac:dyDescent="0.25">
      <c r="A196" s="49">
        <f>'A) Base RI'!A198</f>
        <v>5719</v>
      </c>
      <c r="B196" s="32" t="str">
        <f>'A) Base RI'!B198</f>
        <v>Gingins</v>
      </c>
      <c r="C196" s="98">
        <f>'A) Base RI'!AO198</f>
        <v>1239</v>
      </c>
      <c r="D196" s="114">
        <f>'D) Ecrêtage'!E196</f>
        <v>114.86495400459717</v>
      </c>
      <c r="E196" s="34">
        <f t="shared" si="11"/>
        <v>0</v>
      </c>
      <c r="F196" s="268">
        <f t="shared" si="12"/>
        <v>0</v>
      </c>
      <c r="G196" s="33">
        <f>+'A) Base RI'!AN198</f>
        <v>57</v>
      </c>
      <c r="H196" s="269">
        <f t="shared" si="13"/>
        <v>0.83587651329746782</v>
      </c>
      <c r="I196" s="57">
        <f t="shared" si="14"/>
        <v>0</v>
      </c>
    </row>
    <row r="197" spans="1:9" x14ac:dyDescent="0.25">
      <c r="A197" s="49">
        <f>'A) Base RI'!A199</f>
        <v>5720</v>
      </c>
      <c r="B197" s="32" t="str">
        <f>'A) Base RI'!B199</f>
        <v>Givrins</v>
      </c>
      <c r="C197" s="98">
        <f>'A) Base RI'!AO199</f>
        <v>1032</v>
      </c>
      <c r="D197" s="114">
        <f>'D) Ecrêtage'!E197</f>
        <v>80.00423200534793</v>
      </c>
      <c r="E197" s="34">
        <f t="shared" si="11"/>
        <v>0</v>
      </c>
      <c r="F197" s="268">
        <f t="shared" si="12"/>
        <v>0</v>
      </c>
      <c r="G197" s="33">
        <f>+'A) Base RI'!AN199</f>
        <v>67</v>
      </c>
      <c r="H197" s="269">
        <f t="shared" si="13"/>
        <v>0.98252151563035695</v>
      </c>
      <c r="I197" s="57">
        <f t="shared" si="14"/>
        <v>0</v>
      </c>
    </row>
    <row r="198" spans="1:9" x14ac:dyDescent="0.25">
      <c r="A198" s="49">
        <f>'A) Base RI'!A200</f>
        <v>5721</v>
      </c>
      <c r="B198" s="32" t="str">
        <f>'A) Base RI'!B200</f>
        <v>Gland</v>
      </c>
      <c r="C198" s="98">
        <f>'A) Base RI'!AO200</f>
        <v>13194</v>
      </c>
      <c r="D198" s="114">
        <f>'D) Ecrêtage'!E198</f>
        <v>49.646654091253616</v>
      </c>
      <c r="E198" s="34">
        <f t="shared" ref="E198:E261" si="15">IF($D$314-D198&lt;0,0,$D$314-D198)</f>
        <v>0</v>
      </c>
      <c r="F198" s="268">
        <f t="shared" ref="F198:F261" si="16">(C198*E198*G198)*$E$4</f>
        <v>0</v>
      </c>
      <c r="G198" s="33">
        <f>+'A) Base RI'!AN200</f>
        <v>62.5</v>
      </c>
      <c r="H198" s="269">
        <f t="shared" ref="H198:H261" si="17">G198/$G$314</f>
        <v>0.91653126458055689</v>
      </c>
      <c r="I198" s="57">
        <f t="shared" ref="I198:I261" si="18">F198*H198</f>
        <v>0</v>
      </c>
    </row>
    <row r="199" spans="1:9" x14ac:dyDescent="0.25">
      <c r="A199" s="49">
        <f>'A) Base RI'!A201</f>
        <v>5722</v>
      </c>
      <c r="B199" s="32" t="str">
        <f>'A) Base RI'!B201</f>
        <v>Grens</v>
      </c>
      <c r="C199" s="98">
        <f>'A) Base RI'!AO201</f>
        <v>383</v>
      </c>
      <c r="D199" s="114">
        <f>'D) Ecrêtage'!E199</f>
        <v>53.02070327634128</v>
      </c>
      <c r="E199" s="34">
        <f t="shared" si="15"/>
        <v>0</v>
      </c>
      <c r="F199" s="268">
        <f t="shared" si="16"/>
        <v>0</v>
      </c>
      <c r="G199" s="33">
        <f>+'A) Base RI'!AN201</f>
        <v>62</v>
      </c>
      <c r="H199" s="269">
        <f t="shared" si="17"/>
        <v>0.90919901446391238</v>
      </c>
      <c r="I199" s="57">
        <f t="shared" si="18"/>
        <v>0</v>
      </c>
    </row>
    <row r="200" spans="1:9" x14ac:dyDescent="0.25">
      <c r="A200" s="49">
        <f>'A) Base RI'!A202</f>
        <v>5723</v>
      </c>
      <c r="B200" s="32" t="str">
        <f>'A) Base RI'!B202</f>
        <v>Mies</v>
      </c>
      <c r="C200" s="98">
        <f>'A) Base RI'!AO202</f>
        <v>2116</v>
      </c>
      <c r="D200" s="114">
        <f>'D) Ecrêtage'!E200</f>
        <v>270.2053764668118</v>
      </c>
      <c r="E200" s="34">
        <f t="shared" si="15"/>
        <v>0</v>
      </c>
      <c r="F200" s="268">
        <f t="shared" si="16"/>
        <v>0</v>
      </c>
      <c r="G200" s="33">
        <f>+'A) Base RI'!AN202</f>
        <v>53</v>
      </c>
      <c r="H200" s="269">
        <f t="shared" si="17"/>
        <v>0.77721851236431216</v>
      </c>
      <c r="I200" s="57">
        <f t="shared" si="18"/>
        <v>0</v>
      </c>
    </row>
    <row r="201" spans="1:9" x14ac:dyDescent="0.25">
      <c r="A201" s="49">
        <f>'A) Base RI'!A203</f>
        <v>5724</v>
      </c>
      <c r="B201" s="32" t="str">
        <f>'A) Base RI'!B203</f>
        <v>Nyon</v>
      </c>
      <c r="C201" s="98">
        <f>'A) Base RI'!AO203</f>
        <v>21416</v>
      </c>
      <c r="D201" s="114">
        <f>'D) Ecrêtage'!E201</f>
        <v>65.513935507317711</v>
      </c>
      <c r="E201" s="34">
        <f t="shared" si="15"/>
        <v>0</v>
      </c>
      <c r="F201" s="268">
        <f t="shared" si="16"/>
        <v>0</v>
      </c>
      <c r="G201" s="33">
        <f>+'A) Base RI'!AN203</f>
        <v>61</v>
      </c>
      <c r="H201" s="269">
        <f t="shared" si="17"/>
        <v>0.89453451423062347</v>
      </c>
      <c r="I201" s="57">
        <f t="shared" si="18"/>
        <v>0</v>
      </c>
    </row>
    <row r="202" spans="1:9" x14ac:dyDescent="0.25">
      <c r="A202" s="49">
        <f>'A) Base RI'!A204</f>
        <v>5725</v>
      </c>
      <c r="B202" s="32" t="str">
        <f>'A) Base RI'!B204</f>
        <v>Prangins</v>
      </c>
      <c r="C202" s="98">
        <f>'A) Base RI'!AO204</f>
        <v>4088</v>
      </c>
      <c r="D202" s="114">
        <f>'D) Ecrêtage'!E202</f>
        <v>82.954060808888116</v>
      </c>
      <c r="E202" s="34">
        <f t="shared" si="15"/>
        <v>0</v>
      </c>
      <c r="F202" s="268">
        <f t="shared" si="16"/>
        <v>0</v>
      </c>
      <c r="G202" s="33">
        <f>+'A) Base RI'!AN204</f>
        <v>56</v>
      </c>
      <c r="H202" s="269">
        <f t="shared" si="17"/>
        <v>0.8212120130641789</v>
      </c>
      <c r="I202" s="57">
        <f t="shared" si="18"/>
        <v>0</v>
      </c>
    </row>
    <row r="203" spans="1:9" x14ac:dyDescent="0.25">
      <c r="A203" s="49">
        <f>'A) Base RI'!A205</f>
        <v>5726</v>
      </c>
      <c r="B203" s="32" t="str">
        <f>'A) Base RI'!B205</f>
        <v>La Rippe</v>
      </c>
      <c r="C203" s="98">
        <f>'A) Base RI'!AO205</f>
        <v>1136</v>
      </c>
      <c r="D203" s="114">
        <f>'D) Ecrêtage'!E203</f>
        <v>53.98462648970748</v>
      </c>
      <c r="E203" s="34">
        <f t="shared" si="15"/>
        <v>0</v>
      </c>
      <c r="F203" s="268">
        <f t="shared" si="16"/>
        <v>0</v>
      </c>
      <c r="G203" s="33">
        <f>+'A) Base RI'!AN205</f>
        <v>65</v>
      </c>
      <c r="H203" s="269">
        <f t="shared" si="17"/>
        <v>0.95319251516377912</v>
      </c>
      <c r="I203" s="57">
        <f t="shared" si="18"/>
        <v>0</v>
      </c>
    </row>
    <row r="204" spans="1:9" x14ac:dyDescent="0.25">
      <c r="A204" s="49">
        <f>'A) Base RI'!A206</f>
        <v>5727</v>
      </c>
      <c r="B204" s="32" t="str">
        <f>'A) Base RI'!B206</f>
        <v>Saint-Cergue</v>
      </c>
      <c r="C204" s="98">
        <f>'A) Base RI'!AO206</f>
        <v>2603</v>
      </c>
      <c r="D204" s="114">
        <f>'D) Ecrêtage'!E204</f>
        <v>36.928617310251965</v>
      </c>
      <c r="E204" s="34">
        <f t="shared" si="15"/>
        <v>10.196107782386711</v>
      </c>
      <c r="F204" s="268">
        <f t="shared" si="16"/>
        <v>472951.14969558758</v>
      </c>
      <c r="G204" s="33">
        <f>+'A) Base RI'!AN206</f>
        <v>66</v>
      </c>
      <c r="H204" s="269">
        <f t="shared" si="17"/>
        <v>0.96785701539706803</v>
      </c>
      <c r="I204" s="57">
        <f t="shared" si="18"/>
        <v>457749.08817298332</v>
      </c>
    </row>
    <row r="205" spans="1:9" x14ac:dyDescent="0.25">
      <c r="A205" s="49">
        <f>'A) Base RI'!A207</f>
        <v>5728</v>
      </c>
      <c r="B205" s="32" t="str">
        <f>'A) Base RI'!B207</f>
        <v>Signy-Avenex</v>
      </c>
      <c r="C205" s="98">
        <f>'A) Base RI'!AO207</f>
        <v>586</v>
      </c>
      <c r="D205" s="114">
        <f>'D) Ecrêtage'!E205</f>
        <v>73.592798634812283</v>
      </c>
      <c r="E205" s="34">
        <f t="shared" si="15"/>
        <v>0</v>
      </c>
      <c r="F205" s="268">
        <f t="shared" si="16"/>
        <v>0</v>
      </c>
      <c r="G205" s="33">
        <f>+'A) Base RI'!AN207</f>
        <v>58</v>
      </c>
      <c r="H205" s="269">
        <f t="shared" si="17"/>
        <v>0.85054101353075673</v>
      </c>
      <c r="I205" s="57">
        <f t="shared" si="18"/>
        <v>0</v>
      </c>
    </row>
    <row r="206" spans="1:9" x14ac:dyDescent="0.25">
      <c r="A206" s="49">
        <f>'A) Base RI'!A208</f>
        <v>5729</v>
      </c>
      <c r="B206" s="32" t="str">
        <f>'A) Base RI'!B208</f>
        <v>Tannay</v>
      </c>
      <c r="C206" s="98">
        <f>'A) Base RI'!AO208</f>
        <v>1600</v>
      </c>
      <c r="D206" s="114">
        <f>'D) Ecrêtage'!E206</f>
        <v>110.55762619535518</v>
      </c>
      <c r="E206" s="34">
        <f t="shared" si="15"/>
        <v>0</v>
      </c>
      <c r="F206" s="268">
        <f t="shared" si="16"/>
        <v>0</v>
      </c>
      <c r="G206" s="33">
        <f>+'A) Base RI'!AN208</f>
        <v>61</v>
      </c>
      <c r="H206" s="269">
        <f t="shared" si="17"/>
        <v>0.89453451423062347</v>
      </c>
      <c r="I206" s="57">
        <f t="shared" si="18"/>
        <v>0</v>
      </c>
    </row>
    <row r="207" spans="1:9" x14ac:dyDescent="0.25">
      <c r="A207" s="49">
        <f>'A) Base RI'!A209</f>
        <v>5730</v>
      </c>
      <c r="B207" s="32" t="str">
        <f>'A) Base RI'!B209</f>
        <v>Trélex</v>
      </c>
      <c r="C207" s="98">
        <f>'A) Base RI'!AO209</f>
        <v>1434</v>
      </c>
      <c r="D207" s="114">
        <f>'D) Ecrêtage'!E207</f>
        <v>93.781213076469271</v>
      </c>
      <c r="E207" s="34">
        <f t="shared" si="15"/>
        <v>0</v>
      </c>
      <c r="F207" s="268">
        <f t="shared" si="16"/>
        <v>0</v>
      </c>
      <c r="G207" s="33">
        <f>+'A) Base RI'!AN209</f>
        <v>57</v>
      </c>
      <c r="H207" s="269">
        <f t="shared" si="17"/>
        <v>0.83587651329746782</v>
      </c>
      <c r="I207" s="57">
        <f t="shared" si="18"/>
        <v>0</v>
      </c>
    </row>
    <row r="208" spans="1:9" x14ac:dyDescent="0.25">
      <c r="A208" s="49">
        <f>'A) Base RI'!A210</f>
        <v>5731</v>
      </c>
      <c r="B208" s="32" t="str">
        <f>'A) Base RI'!B210</f>
        <v>Le Vaud</v>
      </c>
      <c r="C208" s="98">
        <f>'A) Base RI'!AO210</f>
        <v>1362</v>
      </c>
      <c r="D208" s="114">
        <f>'D) Ecrêtage'!E208</f>
        <v>45.480241801272633</v>
      </c>
      <c r="E208" s="34">
        <f t="shared" si="15"/>
        <v>1.6444832913660434</v>
      </c>
      <c r="F208" s="268">
        <f t="shared" si="16"/>
        <v>45355.671417521167</v>
      </c>
      <c r="G208" s="33">
        <f>+'A) Base RI'!AN210</f>
        <v>75</v>
      </c>
      <c r="H208" s="269">
        <f t="shared" si="17"/>
        <v>1.0998375174966681</v>
      </c>
      <c r="I208" s="57">
        <f t="shared" si="18"/>
        <v>49883.86905624107</v>
      </c>
    </row>
    <row r="209" spans="1:9" x14ac:dyDescent="0.25">
      <c r="A209" s="49">
        <f>'A) Base RI'!A211</f>
        <v>5732</v>
      </c>
      <c r="B209" s="32" t="str">
        <f>'A) Base RI'!B211</f>
        <v>Vich</v>
      </c>
      <c r="C209" s="98">
        <f>'A) Base RI'!AO211</f>
        <v>1083</v>
      </c>
      <c r="D209" s="114">
        <f>'D) Ecrêtage'!E209</f>
        <v>59.088096337334562</v>
      </c>
      <c r="E209" s="34">
        <f t="shared" si="15"/>
        <v>0</v>
      </c>
      <c r="F209" s="268">
        <f t="shared" si="16"/>
        <v>0</v>
      </c>
      <c r="G209" s="33">
        <f>+'A) Base RI'!AN211</f>
        <v>66</v>
      </c>
      <c r="H209" s="269">
        <f t="shared" si="17"/>
        <v>0.96785701539706803</v>
      </c>
      <c r="I209" s="57">
        <f t="shared" si="18"/>
        <v>0</v>
      </c>
    </row>
    <row r="210" spans="1:9" x14ac:dyDescent="0.25">
      <c r="A210" s="49">
        <f>'A) Base RI'!A212</f>
        <v>5741</v>
      </c>
      <c r="B210" s="32" t="str">
        <f>'A) Base RI'!B212</f>
        <v>L'Abergement</v>
      </c>
      <c r="C210" s="98">
        <f>'A) Base RI'!AO212</f>
        <v>244</v>
      </c>
      <c r="D210" s="114">
        <f>'D) Ecrêtage'!E210</f>
        <v>29.280148755312688</v>
      </c>
      <c r="E210" s="34">
        <f t="shared" si="15"/>
        <v>17.844576337325989</v>
      </c>
      <c r="F210" s="268">
        <f t="shared" si="16"/>
        <v>95223.65581734592</v>
      </c>
      <c r="G210" s="33">
        <f>+'A) Base RI'!AN212</f>
        <v>81</v>
      </c>
      <c r="H210" s="269">
        <f t="shared" si="17"/>
        <v>1.1878245188964016</v>
      </c>
      <c r="I210" s="57">
        <f t="shared" si="18"/>
        <v>113108.99315879545</v>
      </c>
    </row>
    <row r="211" spans="1:9" x14ac:dyDescent="0.25">
      <c r="A211" s="49">
        <f>'A) Base RI'!A213</f>
        <v>5742</v>
      </c>
      <c r="B211" s="32" t="str">
        <f>'A) Base RI'!B213</f>
        <v>Agiez</v>
      </c>
      <c r="C211" s="98">
        <f>'A) Base RI'!AO213</f>
        <v>354</v>
      </c>
      <c r="D211" s="114">
        <f>'D) Ecrêtage'!E211</f>
        <v>25.4902940083259</v>
      </c>
      <c r="E211" s="34">
        <f t="shared" si="15"/>
        <v>21.634431084312777</v>
      </c>
      <c r="F211" s="268">
        <f t="shared" si="16"/>
        <v>157154.23815093475</v>
      </c>
      <c r="G211" s="33">
        <f>+'A) Base RI'!AN213</f>
        <v>76</v>
      </c>
      <c r="H211" s="269">
        <f t="shared" si="17"/>
        <v>1.1145020177299572</v>
      </c>
      <c r="I211" s="57">
        <f t="shared" si="18"/>
        <v>175148.71551403098</v>
      </c>
    </row>
    <row r="212" spans="1:9" x14ac:dyDescent="0.25">
      <c r="A212" s="49">
        <f>'A) Base RI'!A214</f>
        <v>5743</v>
      </c>
      <c r="B212" s="32" t="str">
        <f>'A) Base RI'!B214</f>
        <v>Arnex-sur-Orbe</v>
      </c>
      <c r="C212" s="98">
        <f>'A) Base RI'!AO214</f>
        <v>633</v>
      </c>
      <c r="D212" s="114">
        <f>'D) Ecrêtage'!E212</f>
        <v>30.031033835400031</v>
      </c>
      <c r="E212" s="34">
        <f t="shared" si="15"/>
        <v>17.093691257238646</v>
      </c>
      <c r="F212" s="268">
        <f t="shared" si="16"/>
        <v>213268.24241254997</v>
      </c>
      <c r="G212" s="33">
        <f>+'A) Base RI'!AN214</f>
        <v>73</v>
      </c>
      <c r="H212" s="269">
        <f t="shared" si="17"/>
        <v>1.0705085170300903</v>
      </c>
      <c r="I212" s="57">
        <f t="shared" si="18"/>
        <v>228305.46991467266</v>
      </c>
    </row>
    <row r="213" spans="1:9" x14ac:dyDescent="0.25">
      <c r="A213" s="49">
        <f>'A) Base RI'!A215</f>
        <v>5744</v>
      </c>
      <c r="B213" s="32" t="str">
        <f>'A) Base RI'!B215</f>
        <v>Ballaigues</v>
      </c>
      <c r="C213" s="98">
        <f>'A) Base RI'!AO215</f>
        <v>1108</v>
      </c>
      <c r="D213" s="114">
        <f>'D) Ecrêtage'!E213</f>
        <v>57.271783584946945</v>
      </c>
      <c r="E213" s="34">
        <f t="shared" si="15"/>
        <v>0</v>
      </c>
      <c r="F213" s="268">
        <f t="shared" si="16"/>
        <v>0</v>
      </c>
      <c r="G213" s="33">
        <f>+'A) Base RI'!AN215</f>
        <v>66</v>
      </c>
      <c r="H213" s="269">
        <f t="shared" si="17"/>
        <v>0.96785701539706803</v>
      </c>
      <c r="I213" s="57">
        <f t="shared" si="18"/>
        <v>0</v>
      </c>
    </row>
    <row r="214" spans="1:9" x14ac:dyDescent="0.25">
      <c r="A214" s="49">
        <f>'A) Base RI'!A216</f>
        <v>5745</v>
      </c>
      <c r="B214" s="32" t="str">
        <f>'A) Base RI'!B216</f>
        <v>Baulmes</v>
      </c>
      <c r="C214" s="98">
        <f>'A) Base RI'!AO216</f>
        <v>1042</v>
      </c>
      <c r="D214" s="114">
        <f>'D) Ecrêtage'!E214</f>
        <v>26.640285939268669</v>
      </c>
      <c r="E214" s="34">
        <f t="shared" si="15"/>
        <v>20.484439153370008</v>
      </c>
      <c r="F214" s="268">
        <f t="shared" si="16"/>
        <v>449521.18468991126</v>
      </c>
      <c r="G214" s="33">
        <f>+'A) Base RI'!AN216</f>
        <v>78</v>
      </c>
      <c r="H214" s="269">
        <f t="shared" si="17"/>
        <v>1.143831018196535</v>
      </c>
      <c r="I214" s="57">
        <f t="shared" si="18"/>
        <v>514176.27438477386</v>
      </c>
    </row>
    <row r="215" spans="1:9" x14ac:dyDescent="0.25">
      <c r="A215" s="49">
        <f>'A) Base RI'!A217</f>
        <v>5746</v>
      </c>
      <c r="B215" s="32" t="str">
        <f>'A) Base RI'!B217</f>
        <v>Bavois</v>
      </c>
      <c r="C215" s="98">
        <f>'A) Base RI'!AO217</f>
        <v>952</v>
      </c>
      <c r="D215" s="114">
        <f>'D) Ecrêtage'!E215</f>
        <v>27.629182494915774</v>
      </c>
      <c r="E215" s="34">
        <f t="shared" si="15"/>
        <v>19.495542597722903</v>
      </c>
      <c r="F215" s="268">
        <f t="shared" si="16"/>
        <v>365812.80166026473</v>
      </c>
      <c r="G215" s="33">
        <f>+'A) Base RI'!AN217</f>
        <v>73</v>
      </c>
      <c r="H215" s="269">
        <f t="shared" si="17"/>
        <v>1.0705085170300903</v>
      </c>
      <c r="I215" s="57">
        <f t="shared" si="18"/>
        <v>391605.71981595253</v>
      </c>
    </row>
    <row r="216" spans="1:9" x14ac:dyDescent="0.25">
      <c r="A216" s="49">
        <f>'A) Base RI'!A218</f>
        <v>5747</v>
      </c>
      <c r="B216" s="32" t="str">
        <f>'A) Base RI'!B218</f>
        <v>Bofflens</v>
      </c>
      <c r="C216" s="98">
        <f>'A) Base RI'!AO218</f>
        <v>194</v>
      </c>
      <c r="D216" s="114">
        <f>'D) Ecrêtage'!E216</f>
        <v>30.611860152398023</v>
      </c>
      <c r="E216" s="34">
        <f t="shared" si="15"/>
        <v>16.512864940240654</v>
      </c>
      <c r="F216" s="268">
        <f t="shared" si="16"/>
        <v>59681.126724316578</v>
      </c>
      <c r="G216" s="33">
        <f>+'A) Base RI'!AN218</f>
        <v>69</v>
      </c>
      <c r="H216" s="269">
        <f t="shared" si="17"/>
        <v>1.0118505160969347</v>
      </c>
      <c r="I216" s="57">
        <f t="shared" si="18"/>
        <v>60388.378877246287</v>
      </c>
    </row>
    <row r="217" spans="1:9" x14ac:dyDescent="0.25">
      <c r="A217" s="49">
        <f>'A) Base RI'!A219</f>
        <v>5748</v>
      </c>
      <c r="B217" s="32" t="str">
        <f>'A) Base RI'!B219</f>
        <v>Bretonnières</v>
      </c>
      <c r="C217" s="98">
        <f>'A) Base RI'!AO219</f>
        <v>269</v>
      </c>
      <c r="D217" s="114">
        <f>'D) Ecrêtage'!E217</f>
        <v>27.207296399559407</v>
      </c>
      <c r="E217" s="34">
        <f t="shared" si="15"/>
        <v>19.91742869307927</v>
      </c>
      <c r="F217" s="268">
        <f t="shared" si="16"/>
        <v>104155.40491044102</v>
      </c>
      <c r="G217" s="33">
        <f>+'A) Base RI'!AN219</f>
        <v>72</v>
      </c>
      <c r="H217" s="269">
        <f t="shared" si="17"/>
        <v>1.0558440167968015</v>
      </c>
      <c r="I217" s="57">
        <f t="shared" si="18"/>
        <v>109971.86109173736</v>
      </c>
    </row>
    <row r="218" spans="1:9" x14ac:dyDescent="0.25">
      <c r="A218" s="49">
        <f>'A) Base RI'!A220</f>
        <v>5749</v>
      </c>
      <c r="B218" s="32" t="str">
        <f>'A) Base RI'!B220</f>
        <v>Chavornay</v>
      </c>
      <c r="C218" s="98">
        <f>'A) Base RI'!AO220</f>
        <v>5135</v>
      </c>
      <c r="D218" s="114">
        <f>'D) Ecrêtage'!E218</f>
        <v>25.946671318835875</v>
      </c>
      <c r="E218" s="34">
        <f t="shared" si="15"/>
        <v>21.178053773802802</v>
      </c>
      <c r="F218" s="268">
        <f t="shared" si="16"/>
        <v>2114086.5111376005</v>
      </c>
      <c r="G218" s="33">
        <f>+'A) Base RI'!AN220</f>
        <v>72</v>
      </c>
      <c r="H218" s="269">
        <f t="shared" si="17"/>
        <v>1.0558440167968015</v>
      </c>
      <c r="I218" s="57">
        <f t="shared" si="18"/>
        <v>2232145.59377546</v>
      </c>
    </row>
    <row r="219" spans="1:9" x14ac:dyDescent="0.25">
      <c r="A219" s="49">
        <f>'A) Base RI'!A221</f>
        <v>5750</v>
      </c>
      <c r="B219" s="32" t="str">
        <f>'A) Base RI'!B221</f>
        <v>Les Clées</v>
      </c>
      <c r="C219" s="98">
        <f>'A) Base RI'!AO221</f>
        <v>185</v>
      </c>
      <c r="D219" s="114">
        <f>'D) Ecrêtage'!E219</f>
        <v>27.312825450450454</v>
      </c>
      <c r="E219" s="34">
        <f t="shared" si="15"/>
        <v>19.811899642188223</v>
      </c>
      <c r="F219" s="268">
        <f t="shared" si="16"/>
        <v>79168.350970184139</v>
      </c>
      <c r="G219" s="33">
        <f>+'A) Base RI'!AN221</f>
        <v>80</v>
      </c>
      <c r="H219" s="269">
        <f t="shared" si="17"/>
        <v>1.1731600186631128</v>
      </c>
      <c r="I219" s="57">
        <f t="shared" si="18"/>
        <v>92877.144101709084</v>
      </c>
    </row>
    <row r="220" spans="1:9" x14ac:dyDescent="0.25">
      <c r="A220" s="49">
        <f>'A) Base RI'!A222</f>
        <v>5752</v>
      </c>
      <c r="B220" s="32" t="str">
        <f>'A) Base RI'!B222</f>
        <v>Croy</v>
      </c>
      <c r="C220" s="98">
        <f>'A) Base RI'!AO222</f>
        <v>403</v>
      </c>
      <c r="D220" s="114">
        <f>'D) Ecrêtage'!E220</f>
        <v>24.131404907211365</v>
      </c>
      <c r="E220" s="34">
        <f t="shared" si="15"/>
        <v>22.993320185427311</v>
      </c>
      <c r="F220" s="268">
        <f t="shared" si="16"/>
        <v>185140.83453384961</v>
      </c>
      <c r="G220" s="33">
        <f>+'A) Base RI'!AN222</f>
        <v>74</v>
      </c>
      <c r="H220" s="269">
        <f t="shared" si="17"/>
        <v>1.0851730172633793</v>
      </c>
      <c r="I220" s="57">
        <f t="shared" si="18"/>
        <v>200909.83802975764</v>
      </c>
    </row>
    <row r="221" spans="1:9" x14ac:dyDescent="0.25">
      <c r="A221" s="49">
        <f>'A) Base RI'!A223</f>
        <v>5754</v>
      </c>
      <c r="B221" s="32" t="str">
        <f>'A) Base RI'!B223</f>
        <v>Juriens</v>
      </c>
      <c r="C221" s="98">
        <f>'A) Base RI'!AO223</f>
        <v>328</v>
      </c>
      <c r="D221" s="114">
        <f>'D) Ecrêtage'!E221</f>
        <v>28.162383451682615</v>
      </c>
      <c r="E221" s="34">
        <f t="shared" si="15"/>
        <v>18.962341640956062</v>
      </c>
      <c r="F221" s="268">
        <f t="shared" si="16"/>
        <v>132665.09308212245</v>
      </c>
      <c r="G221" s="33">
        <f>+'A) Base RI'!AN223</f>
        <v>79</v>
      </c>
      <c r="H221" s="269">
        <f t="shared" si="17"/>
        <v>1.1584955184298238</v>
      </c>
      <c r="I221" s="57">
        <f t="shared" si="18"/>
        <v>153691.91578771427</v>
      </c>
    </row>
    <row r="222" spans="1:9" x14ac:dyDescent="0.25">
      <c r="A222" s="49">
        <f>'A) Base RI'!A224</f>
        <v>5755</v>
      </c>
      <c r="B222" s="32" t="str">
        <f>'A) Base RI'!B224</f>
        <v>Lignerolle</v>
      </c>
      <c r="C222" s="98">
        <f>'A) Base RI'!AO224</f>
        <v>437</v>
      </c>
      <c r="D222" s="114">
        <f>'D) Ecrêtage'!E222</f>
        <v>22.53212528604119</v>
      </c>
      <c r="E222" s="34">
        <f t="shared" si="15"/>
        <v>24.592599806597487</v>
      </c>
      <c r="F222" s="268">
        <f t="shared" si="16"/>
        <v>232134.46809443505</v>
      </c>
      <c r="G222" s="33">
        <f>+'A) Base RI'!AN224</f>
        <v>80</v>
      </c>
      <c r="H222" s="269">
        <f t="shared" si="17"/>
        <v>1.1731600186631128</v>
      </c>
      <c r="I222" s="57">
        <f t="shared" si="18"/>
        <v>272330.87692201918</v>
      </c>
    </row>
    <row r="223" spans="1:9" x14ac:dyDescent="0.25">
      <c r="A223" s="49">
        <f>'A) Base RI'!A225</f>
        <v>5756</v>
      </c>
      <c r="B223" s="32" t="str">
        <f>'A) Base RI'!B225</f>
        <v>Montcherand</v>
      </c>
      <c r="C223" s="98">
        <f>'A) Base RI'!AO225</f>
        <v>505</v>
      </c>
      <c r="D223" s="114">
        <f>'D) Ecrêtage'!E223</f>
        <v>32.532800330032998</v>
      </c>
      <c r="E223" s="34">
        <f t="shared" si="15"/>
        <v>14.591924762605679</v>
      </c>
      <c r="F223" s="268">
        <f t="shared" si="16"/>
        <v>143251.84377945247</v>
      </c>
      <c r="G223" s="33">
        <f>+'A) Base RI'!AN225</f>
        <v>72</v>
      </c>
      <c r="H223" s="269">
        <f t="shared" si="17"/>
        <v>1.0558440167968015</v>
      </c>
      <c r="I223" s="57">
        <f t="shared" si="18"/>
        <v>151251.60214964498</v>
      </c>
    </row>
    <row r="224" spans="1:9" x14ac:dyDescent="0.25">
      <c r="A224" s="49">
        <f>'A) Base RI'!A226</f>
        <v>5757</v>
      </c>
      <c r="B224" s="32" t="str">
        <f>'A) Base RI'!B226</f>
        <v>Orbe</v>
      </c>
      <c r="C224" s="98">
        <f>'A) Base RI'!AO226</f>
        <v>7030</v>
      </c>
      <c r="D224" s="114">
        <f>'D) Ecrêtage'!E224</f>
        <v>28.964850880271936</v>
      </c>
      <c r="E224" s="34">
        <f t="shared" si="15"/>
        <v>18.159874212366741</v>
      </c>
      <c r="F224" s="268">
        <f t="shared" si="16"/>
        <v>2654132.8076719851</v>
      </c>
      <c r="G224" s="33">
        <f>+'A) Base RI'!AN226</f>
        <v>77</v>
      </c>
      <c r="H224" s="269">
        <f t="shared" si="17"/>
        <v>1.129166517963246</v>
      </c>
      <c r="I224" s="57">
        <f t="shared" si="18"/>
        <v>2996957.9006509893</v>
      </c>
    </row>
    <row r="225" spans="1:9" x14ac:dyDescent="0.25">
      <c r="A225" s="49">
        <f>'A) Base RI'!A227</f>
        <v>5758</v>
      </c>
      <c r="B225" s="32" t="str">
        <f>'A) Base RI'!B227</f>
        <v>La Praz</v>
      </c>
      <c r="C225" s="98">
        <f>'A) Base RI'!AO227</f>
        <v>165</v>
      </c>
      <c r="D225" s="114">
        <f>'D) Ecrêtage'!E225</f>
        <v>27.356327370086404</v>
      </c>
      <c r="E225" s="34">
        <f t="shared" si="15"/>
        <v>19.768397722552272</v>
      </c>
      <c r="F225" s="268">
        <f t="shared" si="16"/>
        <v>73096.61583879542</v>
      </c>
      <c r="G225" s="33">
        <f>+'A) Base RI'!AN227</f>
        <v>83</v>
      </c>
      <c r="H225" s="269">
        <f t="shared" si="17"/>
        <v>1.2171535193629794</v>
      </c>
      <c r="I225" s="57">
        <f t="shared" si="18"/>
        <v>88969.803221713548</v>
      </c>
    </row>
    <row r="226" spans="1:9" x14ac:dyDescent="0.25">
      <c r="A226" s="49">
        <f>'A) Base RI'!A228</f>
        <v>5759</v>
      </c>
      <c r="B226" s="32" t="str">
        <f>'A) Base RI'!B228</f>
        <v>Premier</v>
      </c>
      <c r="C226" s="98">
        <f>'A) Base RI'!AO228</f>
        <v>215</v>
      </c>
      <c r="D226" s="114">
        <f>'D) Ecrêtage'!E226</f>
        <v>24.494288257249497</v>
      </c>
      <c r="E226" s="34">
        <f t="shared" si="15"/>
        <v>22.63043683538918</v>
      </c>
      <c r="F226" s="268">
        <f t="shared" si="16"/>
        <v>106409.4455218417</v>
      </c>
      <c r="G226" s="33">
        <f>+'A) Base RI'!AN228</f>
        <v>81</v>
      </c>
      <c r="H226" s="269">
        <f t="shared" si="17"/>
        <v>1.1878245188964016</v>
      </c>
      <c r="I226" s="57">
        <f t="shared" si="18"/>
        <v>126395.74843301448</v>
      </c>
    </row>
    <row r="227" spans="1:9" x14ac:dyDescent="0.25">
      <c r="A227" s="49">
        <f>'A) Base RI'!A229</f>
        <v>5760</v>
      </c>
      <c r="B227" s="32" t="str">
        <f>'A) Base RI'!B229</f>
        <v>Rances</v>
      </c>
      <c r="C227" s="98">
        <f>'A) Base RI'!AO229</f>
        <v>505</v>
      </c>
      <c r="D227" s="114">
        <f>'D) Ecrêtage'!E227</f>
        <v>24.540900313108235</v>
      </c>
      <c r="E227" s="34">
        <f t="shared" si="15"/>
        <v>22.583824779530442</v>
      </c>
      <c r="F227" s="268">
        <f t="shared" si="16"/>
        <v>240185.75167774013</v>
      </c>
      <c r="G227" s="33">
        <f>+'A) Base RI'!AN229</f>
        <v>78</v>
      </c>
      <c r="H227" s="269">
        <f t="shared" si="17"/>
        <v>1.143831018196535</v>
      </c>
      <c r="I227" s="57">
        <f t="shared" si="18"/>
        <v>274731.91289784963</v>
      </c>
    </row>
    <row r="228" spans="1:9" x14ac:dyDescent="0.25">
      <c r="A228" s="49">
        <f>'A) Base RI'!A230</f>
        <v>5761</v>
      </c>
      <c r="B228" s="32" t="str">
        <f>'A) Base RI'!B230</f>
        <v>Romainmôtier-Envy</v>
      </c>
      <c r="C228" s="98">
        <f>'A) Base RI'!AO230</f>
        <v>535</v>
      </c>
      <c r="D228" s="114">
        <f>'D) Ecrêtage'!E228</f>
        <v>22.991301614273574</v>
      </c>
      <c r="E228" s="34">
        <f t="shared" si="15"/>
        <v>24.133423478365103</v>
      </c>
      <c r="F228" s="268">
        <f t="shared" si="16"/>
        <v>282371.91473743704</v>
      </c>
      <c r="G228" s="33">
        <f>+'A) Base RI'!AN230</f>
        <v>81</v>
      </c>
      <c r="H228" s="269">
        <f t="shared" si="17"/>
        <v>1.1878245188964016</v>
      </c>
      <c r="I228" s="57">
        <f t="shared" si="18"/>
        <v>335408.28377285186</v>
      </c>
    </row>
    <row r="229" spans="1:9" x14ac:dyDescent="0.25">
      <c r="A229" s="49">
        <f>'A) Base RI'!A231</f>
        <v>5762</v>
      </c>
      <c r="B229" s="32" t="str">
        <f>'A) Base RI'!B231</f>
        <v>Sergey</v>
      </c>
      <c r="C229" s="98">
        <f>'A) Base RI'!AO231</f>
        <v>145</v>
      </c>
      <c r="D229" s="114">
        <f>'D) Ecrêtage'!E229</f>
        <v>27.646359858532268</v>
      </c>
      <c r="E229" s="34">
        <f t="shared" si="15"/>
        <v>19.478365234106409</v>
      </c>
      <c r="F229" s="268">
        <f t="shared" si="16"/>
        <v>59481.083915390751</v>
      </c>
      <c r="G229" s="33">
        <f>+'A) Base RI'!AN231</f>
        <v>78</v>
      </c>
      <c r="H229" s="269">
        <f t="shared" si="17"/>
        <v>1.143831018196535</v>
      </c>
      <c r="I229" s="57">
        <f t="shared" si="18"/>
        <v>68036.308778374936</v>
      </c>
    </row>
    <row r="230" spans="1:9" x14ac:dyDescent="0.25">
      <c r="A230" s="49">
        <f>'A) Base RI'!A232</f>
        <v>5763</v>
      </c>
      <c r="B230" s="32" t="str">
        <f>'A) Base RI'!B232</f>
        <v>Valeyres-sous-Rances</v>
      </c>
      <c r="C230" s="98">
        <f>'A) Base RI'!AO232</f>
        <v>620</v>
      </c>
      <c r="D230" s="114">
        <f>'D) Ecrêtage'!E230</f>
        <v>35.348414136622395</v>
      </c>
      <c r="E230" s="34">
        <f t="shared" si="15"/>
        <v>11.776310956016282</v>
      </c>
      <c r="F230" s="268">
        <f t="shared" si="16"/>
        <v>134052.10287452454</v>
      </c>
      <c r="G230" s="33">
        <f>+'A) Base RI'!AN232</f>
        <v>68</v>
      </c>
      <c r="H230" s="269">
        <f t="shared" si="17"/>
        <v>0.99718601586364586</v>
      </c>
      <c r="I230" s="57">
        <f t="shared" si="18"/>
        <v>133674.88238359071</v>
      </c>
    </row>
    <row r="231" spans="1:9" x14ac:dyDescent="0.25">
      <c r="A231" s="49">
        <f>'A) Base RI'!A233</f>
        <v>5764</v>
      </c>
      <c r="B231" s="32" t="str">
        <f>'A) Base RI'!B233</f>
        <v>Vallorbe</v>
      </c>
      <c r="C231" s="98">
        <f>'A) Base RI'!AO233</f>
        <v>3857</v>
      </c>
      <c r="D231" s="114">
        <f>'D) Ecrêtage'!E231</f>
        <v>22.826296291034623</v>
      </c>
      <c r="E231" s="34">
        <f t="shared" si="15"/>
        <v>24.298428801604054</v>
      </c>
      <c r="F231" s="268">
        <f t="shared" si="16"/>
        <v>1847202.2761882786</v>
      </c>
      <c r="G231" s="33">
        <f>+'A) Base RI'!AN233</f>
        <v>73</v>
      </c>
      <c r="H231" s="269">
        <f t="shared" si="17"/>
        <v>1.0705085170300903</v>
      </c>
      <c r="I231" s="57">
        <f t="shared" si="18"/>
        <v>1977445.7693369214</v>
      </c>
    </row>
    <row r="232" spans="1:9" x14ac:dyDescent="0.25">
      <c r="A232" s="49">
        <f>'A) Base RI'!A234</f>
        <v>5765</v>
      </c>
      <c r="B232" s="32" t="str">
        <f>'A) Base RI'!B234</f>
        <v>Vaulion</v>
      </c>
      <c r="C232" s="98">
        <f>'A) Base RI'!AO234</f>
        <v>496</v>
      </c>
      <c r="D232" s="114">
        <f>'D) Ecrêtage'!E232</f>
        <v>24.131922540820387</v>
      </c>
      <c r="E232" s="34">
        <f t="shared" si="15"/>
        <v>22.99280255181829</v>
      </c>
      <c r="F232" s="268">
        <f t="shared" si="16"/>
        <v>249414.88553689996</v>
      </c>
      <c r="G232" s="33">
        <f>+'A) Base RI'!AN234</f>
        <v>81</v>
      </c>
      <c r="H232" s="269">
        <f t="shared" si="17"/>
        <v>1.1878245188964016</v>
      </c>
      <c r="I232" s="57">
        <f t="shared" si="18"/>
        <v>296261.11641846929</v>
      </c>
    </row>
    <row r="233" spans="1:9" x14ac:dyDescent="0.25">
      <c r="A233" s="49">
        <f>'A) Base RI'!A235</f>
        <v>5766</v>
      </c>
      <c r="B233" s="32" t="str">
        <f>'A) Base RI'!B235</f>
        <v>Vuiteboeuf</v>
      </c>
      <c r="C233" s="98">
        <f>'A) Base RI'!AO235</f>
        <v>576</v>
      </c>
      <c r="D233" s="114">
        <f>'D) Ecrêtage'!E233</f>
        <v>24.241657422438674</v>
      </c>
      <c r="E233" s="34">
        <f t="shared" si="15"/>
        <v>22.883067670200003</v>
      </c>
      <c r="F233" s="268">
        <f t="shared" si="16"/>
        <v>274025.65067335189</v>
      </c>
      <c r="G233" s="33">
        <f>+'A) Base RI'!AN235</f>
        <v>77</v>
      </c>
      <c r="H233" s="269">
        <f t="shared" si="17"/>
        <v>1.129166517963246</v>
      </c>
      <c r="I233" s="57">
        <f t="shared" si="18"/>
        <v>309420.58980344154</v>
      </c>
    </row>
    <row r="234" spans="1:9" x14ac:dyDescent="0.25">
      <c r="A234" s="49">
        <f>'A) Base RI'!A236</f>
        <v>5785</v>
      </c>
      <c r="B234" s="32" t="str">
        <f>'A) Base RI'!B236</f>
        <v>Corcelles-le-Jorat</v>
      </c>
      <c r="C234" s="98">
        <f>'A) Base RI'!AO236</f>
        <v>458</v>
      </c>
      <c r="D234" s="114">
        <f>'D) Ecrêtage'!E234</f>
        <v>37.078822662054108</v>
      </c>
      <c r="E234" s="34">
        <f t="shared" si="15"/>
        <v>10.045902430584569</v>
      </c>
      <c r="F234" s="268">
        <f t="shared" si="16"/>
        <v>95655.274681588766</v>
      </c>
      <c r="G234" s="33">
        <f>+'A) Base RI'!AN236</f>
        <v>77</v>
      </c>
      <c r="H234" s="269">
        <f t="shared" si="17"/>
        <v>1.129166517963246</v>
      </c>
      <c r="I234" s="57">
        <f t="shared" si="18"/>
        <v>108010.73343702743</v>
      </c>
    </row>
    <row r="235" spans="1:9" x14ac:dyDescent="0.25">
      <c r="A235" s="49">
        <f>'A) Base RI'!A237</f>
        <v>5788</v>
      </c>
      <c r="B235" s="32" t="str">
        <f>'A) Base RI'!B237</f>
        <v>Essertes</v>
      </c>
      <c r="C235" s="98">
        <f>'A) Base RI'!AO237</f>
        <v>380</v>
      </c>
      <c r="D235" s="114">
        <f>'D) Ecrêtage'!E235</f>
        <v>32.561306652046781</v>
      </c>
      <c r="E235" s="34">
        <f t="shared" si="15"/>
        <v>14.563418440591896</v>
      </c>
      <c r="F235" s="268">
        <f t="shared" si="16"/>
        <v>107582.88470434045</v>
      </c>
      <c r="G235" s="33">
        <f>+'A) Base RI'!AN237</f>
        <v>72</v>
      </c>
      <c r="H235" s="269">
        <f t="shared" si="17"/>
        <v>1.0558440167968015</v>
      </c>
      <c r="I235" s="57">
        <f t="shared" si="18"/>
        <v>113590.745124818</v>
      </c>
    </row>
    <row r="236" spans="1:9" x14ac:dyDescent="0.25">
      <c r="A236" s="49">
        <f>'A) Base RI'!A238</f>
        <v>5790</v>
      </c>
      <c r="B236" s="32" t="str">
        <f>'A) Base RI'!B238</f>
        <v>Maracon</v>
      </c>
      <c r="C236" s="98">
        <f>'A) Base RI'!AO238</f>
        <v>538</v>
      </c>
      <c r="D236" s="114">
        <f>'D) Ecrêtage'!E236</f>
        <v>26.82693015065545</v>
      </c>
      <c r="E236" s="34">
        <f t="shared" si="15"/>
        <v>20.297794941983227</v>
      </c>
      <c r="F236" s="268">
        <f t="shared" si="16"/>
        <v>224082.78468870878</v>
      </c>
      <c r="G236" s="33">
        <f>+'A) Base RI'!AN238</f>
        <v>76</v>
      </c>
      <c r="H236" s="269">
        <f t="shared" si="17"/>
        <v>1.1145020177299572</v>
      </c>
      <c r="I236" s="57">
        <f t="shared" si="18"/>
        <v>249740.71567411348</v>
      </c>
    </row>
    <row r="237" spans="1:9" x14ac:dyDescent="0.25">
      <c r="A237" s="49">
        <f>'A) Base RI'!A239</f>
        <v>5792</v>
      </c>
      <c r="B237" s="32" t="str">
        <f>'A) Base RI'!B239</f>
        <v>Montpreveyres</v>
      </c>
      <c r="C237" s="98">
        <f>'A) Base RI'!AO239</f>
        <v>657</v>
      </c>
      <c r="D237" s="114">
        <f>'D) Ecrêtage'!E237</f>
        <v>30.661641265887845</v>
      </c>
      <c r="E237" s="34">
        <f t="shared" si="15"/>
        <v>16.463083826750832</v>
      </c>
      <c r="F237" s="268">
        <f t="shared" si="16"/>
        <v>224869.75588210445</v>
      </c>
      <c r="G237" s="33">
        <f>+'A) Base RI'!AN239</f>
        <v>77</v>
      </c>
      <c r="H237" s="269">
        <f t="shared" si="17"/>
        <v>1.129166517963246</v>
      </c>
      <c r="I237" s="57">
        <f t="shared" si="18"/>
        <v>253915.39924464104</v>
      </c>
    </row>
    <row r="238" spans="1:9" x14ac:dyDescent="0.25">
      <c r="A238" s="49">
        <f>'A) Base RI'!A240</f>
        <v>5798</v>
      </c>
      <c r="B238" s="32" t="str">
        <f>'A) Base RI'!B240</f>
        <v>Ropraz</v>
      </c>
      <c r="C238" s="98">
        <f>'A) Base RI'!AO240</f>
        <v>488</v>
      </c>
      <c r="D238" s="114">
        <f>'D) Ecrêtage'!E238</f>
        <v>29.452065044949759</v>
      </c>
      <c r="E238" s="34">
        <f t="shared" si="15"/>
        <v>17.672660047688918</v>
      </c>
      <c r="F238" s="268">
        <f t="shared" si="16"/>
        <v>180462.60081097062</v>
      </c>
      <c r="G238" s="33">
        <f>+'A) Base RI'!AN240</f>
        <v>77.5</v>
      </c>
      <c r="H238" s="269">
        <f t="shared" si="17"/>
        <v>1.1364987680798906</v>
      </c>
      <c r="I238" s="57">
        <f t="shared" si="18"/>
        <v>205095.52350616117</v>
      </c>
    </row>
    <row r="239" spans="1:9" x14ac:dyDescent="0.25">
      <c r="A239" s="49">
        <f>'A) Base RI'!A241</f>
        <v>5799</v>
      </c>
      <c r="B239" s="32" t="str">
        <f>'A) Base RI'!B241</f>
        <v>Servion</v>
      </c>
      <c r="C239" s="98">
        <f>'A) Base RI'!AO241</f>
        <v>1997</v>
      </c>
      <c r="D239" s="114">
        <f>'D) Ecrêtage'!E239</f>
        <v>35.618537080983799</v>
      </c>
      <c r="E239" s="34">
        <f t="shared" si="15"/>
        <v>11.506188011654878</v>
      </c>
      <c r="F239" s="268">
        <f t="shared" si="16"/>
        <v>428077.48446628934</v>
      </c>
      <c r="G239" s="33">
        <f>+'A) Base RI'!AN241</f>
        <v>69</v>
      </c>
      <c r="H239" s="269">
        <f t="shared" si="17"/>
        <v>1.0118505160969347</v>
      </c>
      <c r="I239" s="57">
        <f t="shared" si="18"/>
        <v>433150.42358669243</v>
      </c>
    </row>
    <row r="240" spans="1:9" x14ac:dyDescent="0.25">
      <c r="A240" s="49">
        <f>'A) Base RI'!A242</f>
        <v>5803</v>
      </c>
      <c r="B240" s="32" t="str">
        <f>'A) Base RI'!B242</f>
        <v>Vulliens</v>
      </c>
      <c r="C240" s="98">
        <f>'A) Base RI'!AO242</f>
        <v>614</v>
      </c>
      <c r="D240" s="114">
        <f>'D) Ecrêtage'!E240</f>
        <v>28.455952142320228</v>
      </c>
      <c r="E240" s="34">
        <f t="shared" si="15"/>
        <v>18.668772950318449</v>
      </c>
      <c r="F240" s="268">
        <f t="shared" si="16"/>
        <v>241402.91601689582</v>
      </c>
      <c r="G240" s="33">
        <f>+'A) Base RI'!AN242</f>
        <v>78</v>
      </c>
      <c r="H240" s="269">
        <f t="shared" si="17"/>
        <v>1.143831018196535</v>
      </c>
      <c r="I240" s="57">
        <f t="shared" si="18"/>
        <v>276124.14322321856</v>
      </c>
    </row>
    <row r="241" spans="1:9" x14ac:dyDescent="0.25">
      <c r="A241" s="49">
        <f>'A) Base RI'!A243</f>
        <v>5804</v>
      </c>
      <c r="B241" s="32" t="str">
        <f>'A) Base RI'!B243</f>
        <v>Jorat-Menthue</v>
      </c>
      <c r="C241" s="98">
        <f>'A) Base RI'!AO243</f>
        <v>1591</v>
      </c>
      <c r="D241" s="114">
        <f>'D) Ecrêtage'!E241</f>
        <v>27.814337506110764</v>
      </c>
      <c r="E241" s="34">
        <f t="shared" si="15"/>
        <v>19.310387586527913</v>
      </c>
      <c r="F241" s="268">
        <f t="shared" si="16"/>
        <v>597251.75007922528</v>
      </c>
      <c r="G241" s="33">
        <f>+'A) Base RI'!AN243</f>
        <v>72</v>
      </c>
      <c r="H241" s="269">
        <f t="shared" si="17"/>
        <v>1.0558440167968015</v>
      </c>
      <c r="I241" s="57">
        <f t="shared" si="18"/>
        <v>630604.68684256868</v>
      </c>
    </row>
    <row r="242" spans="1:9" x14ac:dyDescent="0.25">
      <c r="A242" s="49">
        <f>'A) Base RI'!A244</f>
        <v>5805</v>
      </c>
      <c r="B242" s="32" t="str">
        <f>'A) Base RI'!B244</f>
        <v>Oron</v>
      </c>
      <c r="C242" s="98">
        <f>'A) Base RI'!AO244</f>
        <v>5669</v>
      </c>
      <c r="D242" s="114">
        <f>'D) Ecrêtage'!E242</f>
        <v>28.001034261409682</v>
      </c>
      <c r="E242" s="34">
        <f t="shared" si="15"/>
        <v>19.123690831228995</v>
      </c>
      <c r="F242" s="268">
        <f t="shared" si="16"/>
        <v>2019719.3478932786</v>
      </c>
      <c r="G242" s="33">
        <f>+'A) Base RI'!AN244</f>
        <v>69</v>
      </c>
      <c r="H242" s="269">
        <f t="shared" si="17"/>
        <v>1.0118505160969347</v>
      </c>
      <c r="I242" s="57">
        <f t="shared" si="18"/>
        <v>2043654.0645367783</v>
      </c>
    </row>
    <row r="243" spans="1:9" x14ac:dyDescent="0.25">
      <c r="A243" s="49">
        <f>'A) Base RI'!A245</f>
        <v>5806</v>
      </c>
      <c r="B243" s="32" t="str">
        <f>'A) Base RI'!B245</f>
        <v>Jorat-Mézières</v>
      </c>
      <c r="C243" s="98">
        <f>'A) Base RI'!AO245</f>
        <v>2949</v>
      </c>
      <c r="D243" s="114">
        <f>'D) Ecrêtage'!E243</f>
        <v>31.23111978190645</v>
      </c>
      <c r="E243" s="34">
        <f t="shared" si="15"/>
        <v>15.893605310732227</v>
      </c>
      <c r="F243" s="268">
        <f t="shared" si="16"/>
        <v>961777.3670988885</v>
      </c>
      <c r="G243" s="33">
        <f>+'A) Base RI'!AN245</f>
        <v>76</v>
      </c>
      <c r="H243" s="269">
        <f t="shared" si="17"/>
        <v>1.1145020177299572</v>
      </c>
      <c r="I243" s="57">
        <f t="shared" si="18"/>
        <v>1071902.8162387169</v>
      </c>
    </row>
    <row r="244" spans="1:9" x14ac:dyDescent="0.25">
      <c r="A244" s="49">
        <f>'A) Base RI'!A246</f>
        <v>5812</v>
      </c>
      <c r="B244" s="32" t="str">
        <f>'A) Base RI'!B246</f>
        <v>Champtauroz</v>
      </c>
      <c r="C244" s="98">
        <f>'A) Base RI'!AO246</f>
        <v>130</v>
      </c>
      <c r="D244" s="114">
        <f>'D) Ecrêtage'!E244</f>
        <v>28.445234515484518</v>
      </c>
      <c r="E244" s="34">
        <f t="shared" si="15"/>
        <v>18.679490577154159</v>
      </c>
      <c r="F244" s="268">
        <f t="shared" si="16"/>
        <v>50485.059182874553</v>
      </c>
      <c r="G244" s="33">
        <f>+'A) Base RI'!AN246</f>
        <v>77</v>
      </c>
      <c r="H244" s="269">
        <f t="shared" si="17"/>
        <v>1.129166517963246</v>
      </c>
      <c r="I244" s="57">
        <f t="shared" si="18"/>
        <v>57006.038486694852</v>
      </c>
    </row>
    <row r="245" spans="1:9" x14ac:dyDescent="0.25">
      <c r="A245" s="49">
        <f>'A) Base RI'!A247</f>
        <v>5813</v>
      </c>
      <c r="B245" s="32" t="str">
        <f>'A) Base RI'!B247</f>
        <v>Chevroux</v>
      </c>
      <c r="C245" s="98">
        <f>'A) Base RI'!AO247</f>
        <v>492</v>
      </c>
      <c r="D245" s="114">
        <f>'D) Ecrêtage'!E245</f>
        <v>29.914268002322878</v>
      </c>
      <c r="E245" s="34">
        <f t="shared" si="15"/>
        <v>17.210457090315799</v>
      </c>
      <c r="F245" s="268">
        <f t="shared" si="16"/>
        <v>160036.59839142859</v>
      </c>
      <c r="G245" s="33">
        <f>+'A) Base RI'!AN247</f>
        <v>70</v>
      </c>
      <c r="H245" s="269">
        <f t="shared" si="17"/>
        <v>1.0265150163302237</v>
      </c>
      <c r="I245" s="57">
        <f t="shared" si="18"/>
        <v>164279.97141121078</v>
      </c>
    </row>
    <row r="246" spans="1:9" x14ac:dyDescent="0.25">
      <c r="A246" s="49">
        <f>'A) Base RI'!A248</f>
        <v>5816</v>
      </c>
      <c r="B246" s="32" t="str">
        <f>'A) Base RI'!B248</f>
        <v>Corcelles-près-Payerne</v>
      </c>
      <c r="C246" s="98">
        <f>'A) Base RI'!AO248</f>
        <v>2571</v>
      </c>
      <c r="D246" s="114">
        <f>'D) Ecrêtage'!E246</f>
        <v>23.630270005318351</v>
      </c>
      <c r="E246" s="34">
        <f t="shared" si="15"/>
        <v>23.494455087320326</v>
      </c>
      <c r="F246" s="268">
        <f t="shared" si="16"/>
        <v>1141640.2121575607</v>
      </c>
      <c r="G246" s="33">
        <f>+'A) Base RI'!AN248</f>
        <v>70</v>
      </c>
      <c r="H246" s="269">
        <f t="shared" si="17"/>
        <v>1.0265150163302237</v>
      </c>
      <c r="I246" s="57">
        <f t="shared" si="18"/>
        <v>1171910.8210261585</v>
      </c>
    </row>
    <row r="247" spans="1:9" x14ac:dyDescent="0.25">
      <c r="A247" s="49">
        <f>'A) Base RI'!A249</f>
        <v>5817</v>
      </c>
      <c r="B247" s="32" t="str">
        <f>'A) Base RI'!B249</f>
        <v>Grandcour</v>
      </c>
      <c r="C247" s="98">
        <f>'A) Base RI'!AO249</f>
        <v>953</v>
      </c>
      <c r="D247" s="114">
        <f>'D) Ecrêtage'!E247</f>
        <v>22.921629440863438</v>
      </c>
      <c r="E247" s="34">
        <f t="shared" si="15"/>
        <v>24.203095651775239</v>
      </c>
      <c r="F247" s="268">
        <f t="shared" si="16"/>
        <v>479532.78774618811</v>
      </c>
      <c r="G247" s="33">
        <f>+'A) Base RI'!AN249</f>
        <v>77</v>
      </c>
      <c r="H247" s="269">
        <f t="shared" si="17"/>
        <v>1.129166517963246</v>
      </c>
      <c r="I247" s="57">
        <f t="shared" si="18"/>
        <v>541472.36818857153</v>
      </c>
    </row>
    <row r="248" spans="1:9" x14ac:dyDescent="0.25">
      <c r="A248" s="49">
        <f>'A) Base RI'!A250</f>
        <v>5819</v>
      </c>
      <c r="B248" s="32" t="str">
        <f>'A) Base RI'!B250</f>
        <v>Henniez</v>
      </c>
      <c r="C248" s="98">
        <f>'A) Base RI'!AO250</f>
        <v>376</v>
      </c>
      <c r="D248" s="114">
        <f>'D) Ecrêtage'!E248</f>
        <v>33.310553114400257</v>
      </c>
      <c r="E248" s="34">
        <f t="shared" si="15"/>
        <v>13.81417197823842</v>
      </c>
      <c r="F248" s="268">
        <f t="shared" si="16"/>
        <v>96766.617006922752</v>
      </c>
      <c r="G248" s="33">
        <f>+'A) Base RI'!AN250</f>
        <v>69</v>
      </c>
      <c r="H248" s="269">
        <f t="shared" si="17"/>
        <v>1.0118505160969347</v>
      </c>
      <c r="I248" s="57">
        <f t="shared" si="18"/>
        <v>97913.351359409207</v>
      </c>
    </row>
    <row r="249" spans="1:9" x14ac:dyDescent="0.25">
      <c r="A249" s="49">
        <f>'A) Base RI'!A251</f>
        <v>5821</v>
      </c>
      <c r="B249" s="32" t="str">
        <f>'A) Base RI'!B251</f>
        <v>Missy</v>
      </c>
      <c r="C249" s="98">
        <f>'A) Base RI'!AO251</f>
        <v>362</v>
      </c>
      <c r="D249" s="114">
        <f>'D) Ecrêtage'!E249</f>
        <v>23.09178867403315</v>
      </c>
      <c r="E249" s="34">
        <f t="shared" si="15"/>
        <v>24.032936418605527</v>
      </c>
      <c r="F249" s="268">
        <f t="shared" si="16"/>
        <v>169126.50279992429</v>
      </c>
      <c r="G249" s="33">
        <f>+'A) Base RI'!AN251</f>
        <v>72</v>
      </c>
      <c r="H249" s="269">
        <f t="shared" si="17"/>
        <v>1.0558440167968015</v>
      </c>
      <c r="I249" s="57">
        <f t="shared" si="18"/>
        <v>178571.20606306757</v>
      </c>
    </row>
    <row r="250" spans="1:9" x14ac:dyDescent="0.25">
      <c r="A250" s="49">
        <f>'A) Base RI'!A252</f>
        <v>5822</v>
      </c>
      <c r="B250" s="32" t="str">
        <f>'A) Base RI'!B252</f>
        <v>Payerne</v>
      </c>
      <c r="C250" s="98">
        <f>'A) Base RI'!AO252</f>
        <v>10072</v>
      </c>
      <c r="D250" s="114">
        <f>'D) Ecrêtage'!E250</f>
        <v>24.489878236695787</v>
      </c>
      <c r="E250" s="34">
        <f t="shared" si="15"/>
        <v>22.634846855942889</v>
      </c>
      <c r="F250" s="268">
        <f t="shared" si="16"/>
        <v>4616558.0950444005</v>
      </c>
      <c r="G250" s="33">
        <f>+'A) Base RI'!AN252</f>
        <v>75</v>
      </c>
      <c r="H250" s="269">
        <f t="shared" si="17"/>
        <v>1.0998375174966681</v>
      </c>
      <c r="I250" s="57">
        <f t="shared" si="18"/>
        <v>5077463.7946327804</v>
      </c>
    </row>
    <row r="251" spans="1:9" x14ac:dyDescent="0.25">
      <c r="A251" s="49">
        <f>'A) Base RI'!A253</f>
        <v>5827</v>
      </c>
      <c r="B251" s="32" t="str">
        <f>'A) Base RI'!B253</f>
        <v>Trey</v>
      </c>
      <c r="C251" s="98">
        <f>'A) Base RI'!AO253</f>
        <v>285</v>
      </c>
      <c r="D251" s="114">
        <f>'D) Ecrêtage'!E251</f>
        <v>23.75052324561403</v>
      </c>
      <c r="E251" s="34">
        <f t="shared" si="15"/>
        <v>23.374201847024647</v>
      </c>
      <c r="F251" s="268">
        <f t="shared" si="16"/>
        <v>143891.58657028375</v>
      </c>
      <c r="G251" s="33">
        <f>+'A) Base RI'!AN253</f>
        <v>80</v>
      </c>
      <c r="H251" s="269">
        <f t="shared" si="17"/>
        <v>1.1731600186631128</v>
      </c>
      <c r="I251" s="57">
        <f t="shared" si="18"/>
        <v>168807.85638625899</v>
      </c>
    </row>
    <row r="252" spans="1:9" x14ac:dyDescent="0.25">
      <c r="A252" s="49">
        <f>'A) Base RI'!A254</f>
        <v>5828</v>
      </c>
      <c r="B252" s="32" t="str">
        <f>'A) Base RI'!B254</f>
        <v>Treytorrens (Payerne)</v>
      </c>
      <c r="C252" s="98">
        <f>'A) Base RI'!AO254</f>
        <v>111</v>
      </c>
      <c r="D252" s="114">
        <f>'D) Ecrêtage'!E252</f>
        <v>21.84225904475905</v>
      </c>
      <c r="E252" s="34">
        <f t="shared" si="15"/>
        <v>25.282466047879627</v>
      </c>
      <c r="F252" s="268">
        <f t="shared" si="16"/>
        <v>63648.102626216009</v>
      </c>
      <c r="G252" s="33">
        <f>+'A) Base RI'!AN254</f>
        <v>84</v>
      </c>
      <c r="H252" s="269">
        <f t="shared" si="17"/>
        <v>1.2318180195962685</v>
      </c>
      <c r="I252" s="57">
        <f t="shared" si="18"/>
        <v>78402.879728085463</v>
      </c>
    </row>
    <row r="253" spans="1:9" x14ac:dyDescent="0.25">
      <c r="A253" s="49">
        <f>'A) Base RI'!A255</f>
        <v>5830</v>
      </c>
      <c r="B253" s="32" t="str">
        <f>'A) Base RI'!B255</f>
        <v>Villarzel</v>
      </c>
      <c r="C253" s="98">
        <f>'A) Base RI'!AO255</f>
        <v>451</v>
      </c>
      <c r="D253" s="114">
        <f>'D) Ecrêtage'!E253</f>
        <v>30.272288421113256</v>
      </c>
      <c r="E253" s="34">
        <f t="shared" si="15"/>
        <v>16.852436671525421</v>
      </c>
      <c r="F253" s="268">
        <f t="shared" si="16"/>
        <v>158013.33343885711</v>
      </c>
      <c r="G253" s="33">
        <f>+'A) Base RI'!AN255</f>
        <v>77</v>
      </c>
      <c r="H253" s="269">
        <f t="shared" si="17"/>
        <v>1.129166517963246</v>
      </c>
      <c r="I253" s="57">
        <f t="shared" si="18"/>
        <v>178423.36551091963</v>
      </c>
    </row>
    <row r="254" spans="1:9" x14ac:dyDescent="0.25">
      <c r="A254" s="49">
        <f>'A) Base RI'!A256</f>
        <v>5831</v>
      </c>
      <c r="B254" s="32" t="str">
        <f>'A) Base RI'!B256</f>
        <v>Valbroye</v>
      </c>
      <c r="C254" s="98">
        <f>'A) Base RI'!AO256</f>
        <v>3296</v>
      </c>
      <c r="D254" s="114">
        <f>'D) Ecrêtage'!E254</f>
        <v>27.479816672762333</v>
      </c>
      <c r="E254" s="34">
        <f t="shared" si="15"/>
        <v>19.644908419876344</v>
      </c>
      <c r="F254" s="268">
        <f t="shared" si="16"/>
        <v>1276214.973774194</v>
      </c>
      <c r="G254" s="33">
        <f>+'A) Base RI'!AN256</f>
        <v>73</v>
      </c>
      <c r="H254" s="269">
        <f t="shared" si="17"/>
        <v>1.0705085170300903</v>
      </c>
      <c r="I254" s="57">
        <f t="shared" si="18"/>
        <v>1366198.9989866081</v>
      </c>
    </row>
    <row r="255" spans="1:9" x14ac:dyDescent="0.25">
      <c r="A255" s="49">
        <f>'A) Base RI'!A257</f>
        <v>5841</v>
      </c>
      <c r="B255" s="32" t="str">
        <f>'A) Base RI'!B257</f>
        <v>Château-d'Oex</v>
      </c>
      <c r="C255" s="98">
        <f>'A) Base RI'!AO257</f>
        <v>3468</v>
      </c>
      <c r="D255" s="114">
        <f>'D) Ecrêtage'!E255</f>
        <v>34.210961701477181</v>
      </c>
      <c r="E255" s="34">
        <f t="shared" si="15"/>
        <v>12.913763391161496</v>
      </c>
      <c r="F255" s="268">
        <f t="shared" si="16"/>
        <v>1003630.3135826823</v>
      </c>
      <c r="G255" s="33">
        <f>+'A) Base RI'!AN257</f>
        <v>83</v>
      </c>
      <c r="H255" s="269">
        <f t="shared" si="17"/>
        <v>1.2171535193629794</v>
      </c>
      <c r="I255" s="57">
        <f t="shared" si="18"/>
        <v>1221572.1683165324</v>
      </c>
    </row>
    <row r="256" spans="1:9" x14ac:dyDescent="0.25">
      <c r="A256" s="49">
        <f>'A) Base RI'!A258</f>
        <v>5842</v>
      </c>
      <c r="B256" s="32" t="str">
        <f>'A) Base RI'!B258</f>
        <v>Rossinière</v>
      </c>
      <c r="C256" s="98">
        <f>'A) Base RI'!AO258</f>
        <v>548</v>
      </c>
      <c r="D256" s="114">
        <f>'D) Ecrêtage'!E256</f>
        <v>25.050138175482861</v>
      </c>
      <c r="E256" s="34">
        <f t="shared" si="15"/>
        <v>22.074586917155816</v>
      </c>
      <c r="F256" s="268">
        <f t="shared" si="16"/>
        <v>264558.62630125234</v>
      </c>
      <c r="G256" s="33">
        <f>+'A) Base RI'!AN258</f>
        <v>81</v>
      </c>
      <c r="H256" s="269">
        <f t="shared" si="17"/>
        <v>1.1878245188964016</v>
      </c>
      <c r="I256" s="57">
        <f t="shared" si="18"/>
        <v>314249.22300617798</v>
      </c>
    </row>
    <row r="257" spans="1:9" x14ac:dyDescent="0.25">
      <c r="A257" s="49">
        <f>'A) Base RI'!A259</f>
        <v>5843</v>
      </c>
      <c r="B257" s="32" t="str">
        <f>'A) Base RI'!B259</f>
        <v>Rougemont</v>
      </c>
      <c r="C257" s="98">
        <f>'A) Base RI'!AO259</f>
        <v>858</v>
      </c>
      <c r="D257" s="114">
        <f>'D) Ecrêtage'!E257</f>
        <v>100.49512563262563</v>
      </c>
      <c r="E257" s="34">
        <f t="shared" si="15"/>
        <v>0</v>
      </c>
      <c r="F257" s="268">
        <f t="shared" si="16"/>
        <v>0</v>
      </c>
      <c r="G257" s="33">
        <f>+'A) Base RI'!AN259</f>
        <v>74</v>
      </c>
      <c r="H257" s="269">
        <f t="shared" si="17"/>
        <v>1.0851730172633793</v>
      </c>
      <c r="I257" s="57">
        <f t="shared" si="18"/>
        <v>0</v>
      </c>
    </row>
    <row r="258" spans="1:9" x14ac:dyDescent="0.25">
      <c r="A258" s="49">
        <f>'A) Base RI'!A260</f>
        <v>5851</v>
      </c>
      <c r="B258" s="32" t="str">
        <f>'A) Base RI'!B260</f>
        <v>Allaman</v>
      </c>
      <c r="C258" s="98">
        <f>'A) Base RI'!AO260</f>
        <v>451</v>
      </c>
      <c r="D258" s="114">
        <f>'D) Ecrêtage'!E258</f>
        <v>52.465793934625566</v>
      </c>
      <c r="E258" s="34">
        <f t="shared" si="15"/>
        <v>0</v>
      </c>
      <c r="F258" s="268">
        <f t="shared" si="16"/>
        <v>0</v>
      </c>
      <c r="G258" s="33">
        <f>+'A) Base RI'!AN260</f>
        <v>62</v>
      </c>
      <c r="H258" s="269">
        <f t="shared" si="17"/>
        <v>0.90919901446391238</v>
      </c>
      <c r="I258" s="57">
        <f t="shared" si="18"/>
        <v>0</v>
      </c>
    </row>
    <row r="259" spans="1:9" x14ac:dyDescent="0.25">
      <c r="A259" s="49">
        <f>'A) Base RI'!A261</f>
        <v>5852</v>
      </c>
      <c r="B259" s="32" t="str">
        <f>'A) Base RI'!B261</f>
        <v>Bursinel</v>
      </c>
      <c r="C259" s="98">
        <f>'A) Base RI'!AO261</f>
        <v>473</v>
      </c>
      <c r="D259" s="114">
        <f>'D) Ecrêtage'!E259</f>
        <v>83.904532597410309</v>
      </c>
      <c r="E259" s="34">
        <f t="shared" si="15"/>
        <v>0</v>
      </c>
      <c r="F259" s="268">
        <f t="shared" si="16"/>
        <v>0</v>
      </c>
      <c r="G259" s="33">
        <f>+'A) Base RI'!AN261</f>
        <v>65.5</v>
      </c>
      <c r="H259" s="269">
        <f t="shared" si="17"/>
        <v>0.96052476528042363</v>
      </c>
      <c r="I259" s="57">
        <f t="shared" si="18"/>
        <v>0</v>
      </c>
    </row>
    <row r="260" spans="1:9" x14ac:dyDescent="0.25">
      <c r="A260" s="49">
        <f>'A) Base RI'!A262</f>
        <v>5853</v>
      </c>
      <c r="B260" s="32" t="str">
        <f>'A) Base RI'!B262</f>
        <v>Bursins</v>
      </c>
      <c r="C260" s="98">
        <f>'A) Base RI'!AO262</f>
        <v>782</v>
      </c>
      <c r="D260" s="114">
        <f>'D) Ecrêtage'!E260</f>
        <v>46.585394978567052</v>
      </c>
      <c r="E260" s="34">
        <f t="shared" si="15"/>
        <v>0.53933011407162468</v>
      </c>
      <c r="F260" s="268">
        <f t="shared" si="16"/>
        <v>8085.0653802408815</v>
      </c>
      <c r="G260" s="33">
        <f>+'A) Base RI'!AN262</f>
        <v>71</v>
      </c>
      <c r="H260" s="269">
        <f t="shared" si="17"/>
        <v>1.0411795165635125</v>
      </c>
      <c r="I260" s="57">
        <f t="shared" si="18"/>
        <v>8418.0044639835924</v>
      </c>
    </row>
    <row r="261" spans="1:9" x14ac:dyDescent="0.25">
      <c r="A261" s="49">
        <f>'A) Base RI'!A263</f>
        <v>5854</v>
      </c>
      <c r="B261" s="32" t="str">
        <f>'A) Base RI'!B263</f>
        <v>Burtigny</v>
      </c>
      <c r="C261" s="98">
        <f>'A) Base RI'!AO263</f>
        <v>390</v>
      </c>
      <c r="D261" s="114">
        <f>'D) Ecrêtage'!E261</f>
        <v>28.443250213675213</v>
      </c>
      <c r="E261" s="34">
        <f t="shared" si="15"/>
        <v>18.681474878963463</v>
      </c>
      <c r="F261" s="268">
        <f t="shared" si="16"/>
        <v>157372.74438038821</v>
      </c>
      <c r="G261" s="33">
        <f>+'A) Base RI'!AN263</f>
        <v>80</v>
      </c>
      <c r="H261" s="269">
        <f t="shared" si="17"/>
        <v>1.1731600186631128</v>
      </c>
      <c r="I261" s="57">
        <f t="shared" si="18"/>
        <v>184623.41173436152</v>
      </c>
    </row>
    <row r="262" spans="1:9" x14ac:dyDescent="0.25">
      <c r="A262" s="49">
        <f>'A) Base RI'!A264</f>
        <v>5855</v>
      </c>
      <c r="B262" s="32" t="str">
        <f>'A) Base RI'!B264</f>
        <v>Dully</v>
      </c>
      <c r="C262" s="98">
        <f>'A) Base RI'!AO264</f>
        <v>639</v>
      </c>
      <c r="D262" s="114">
        <f>'D) Ecrêtage'!E262</f>
        <v>124.68830985915493</v>
      </c>
      <c r="E262" s="34">
        <f t="shared" ref="E262:E313" si="19">IF($D$314-D262&lt;0,0,$D$314-D262)</f>
        <v>0</v>
      </c>
      <c r="F262" s="268">
        <f t="shared" ref="F262:F313" si="20">(C262*E262*G262)*$E$4</f>
        <v>0</v>
      </c>
      <c r="G262" s="33">
        <f>+'A) Base RI'!AN264</f>
        <v>49</v>
      </c>
      <c r="H262" s="269">
        <f t="shared" ref="H262:H313" si="21">G262/$G$314</f>
        <v>0.71856051143115662</v>
      </c>
      <c r="I262" s="57">
        <f t="shared" ref="I262:I313" si="22">F262*H262</f>
        <v>0</v>
      </c>
    </row>
    <row r="263" spans="1:9" x14ac:dyDescent="0.25">
      <c r="A263" s="49">
        <f>'A) Base RI'!A265</f>
        <v>5856</v>
      </c>
      <c r="B263" s="32" t="str">
        <f>'A) Base RI'!B265</f>
        <v>Essertines-sur-Rolle</v>
      </c>
      <c r="C263" s="98">
        <f>'A) Base RI'!AO265</f>
        <v>722</v>
      </c>
      <c r="D263" s="114">
        <f>'D) Ecrêtage'!E263</f>
        <v>50.560631008636143</v>
      </c>
      <c r="E263" s="34">
        <f t="shared" si="19"/>
        <v>0</v>
      </c>
      <c r="F263" s="268">
        <f t="shared" si="20"/>
        <v>0</v>
      </c>
      <c r="G263" s="33">
        <f>+'A) Base RI'!AN265</f>
        <v>68</v>
      </c>
      <c r="H263" s="269">
        <f t="shared" si="21"/>
        <v>0.99718601586364586</v>
      </c>
      <c r="I263" s="57">
        <f t="shared" si="22"/>
        <v>0</v>
      </c>
    </row>
    <row r="264" spans="1:9" x14ac:dyDescent="0.25">
      <c r="A264" s="49">
        <f>'A) Base RI'!A266</f>
        <v>5857</v>
      </c>
      <c r="B264" s="32" t="str">
        <f>'A) Base RI'!B266</f>
        <v>Gilly</v>
      </c>
      <c r="C264" s="98">
        <f>'A) Base RI'!AO266</f>
        <v>1370</v>
      </c>
      <c r="D264" s="114">
        <f>'D) Ecrêtage'!E264</f>
        <v>62.295285666887857</v>
      </c>
      <c r="E264" s="34">
        <f t="shared" si="19"/>
        <v>0</v>
      </c>
      <c r="F264" s="268">
        <f t="shared" si="20"/>
        <v>0</v>
      </c>
      <c r="G264" s="33">
        <f>+'A) Base RI'!AN266</f>
        <v>66</v>
      </c>
      <c r="H264" s="269">
        <f t="shared" si="21"/>
        <v>0.96785701539706803</v>
      </c>
      <c r="I264" s="57">
        <f t="shared" si="22"/>
        <v>0</v>
      </c>
    </row>
    <row r="265" spans="1:9" x14ac:dyDescent="0.25">
      <c r="A265" s="49">
        <f>'A) Base RI'!A267</f>
        <v>5858</v>
      </c>
      <c r="B265" s="32" t="str">
        <f>'A) Base RI'!B267</f>
        <v>Luins</v>
      </c>
      <c r="C265" s="98">
        <f>'A) Base RI'!AO267</f>
        <v>621</v>
      </c>
      <c r="D265" s="114">
        <f>'D) Ecrêtage'!E265</f>
        <v>75.199374038289491</v>
      </c>
      <c r="E265" s="34">
        <f t="shared" si="19"/>
        <v>0</v>
      </c>
      <c r="F265" s="268">
        <f t="shared" si="20"/>
        <v>0</v>
      </c>
      <c r="G265" s="33">
        <f>+'A) Base RI'!AN267</f>
        <v>60</v>
      </c>
      <c r="H265" s="269">
        <f t="shared" si="21"/>
        <v>0.87987001399733455</v>
      </c>
      <c r="I265" s="57">
        <f t="shared" si="22"/>
        <v>0</v>
      </c>
    </row>
    <row r="266" spans="1:9" x14ac:dyDescent="0.25">
      <c r="A266" s="49">
        <f>'A) Base RI'!A268</f>
        <v>5859</v>
      </c>
      <c r="B266" s="32" t="str">
        <f>'A) Base RI'!B268</f>
        <v>Mont-sur-Rolle</v>
      </c>
      <c r="C266" s="98">
        <f>'A) Base RI'!AO268</f>
        <v>2677</v>
      </c>
      <c r="D266" s="114">
        <f>'D) Ecrêtage'!E266</f>
        <v>50.953593689836502</v>
      </c>
      <c r="E266" s="34">
        <f t="shared" si="19"/>
        <v>0</v>
      </c>
      <c r="F266" s="268">
        <f t="shared" si="20"/>
        <v>0</v>
      </c>
      <c r="G266" s="33">
        <f>+'A) Base RI'!AN268</f>
        <v>65</v>
      </c>
      <c r="H266" s="269">
        <f t="shared" si="21"/>
        <v>0.95319251516377912</v>
      </c>
      <c r="I266" s="57">
        <f t="shared" si="22"/>
        <v>0</v>
      </c>
    </row>
    <row r="267" spans="1:9" x14ac:dyDescent="0.25">
      <c r="A267" s="49">
        <f>'A) Base RI'!A269</f>
        <v>5860</v>
      </c>
      <c r="B267" s="32" t="str">
        <f>'A) Base RI'!B269</f>
        <v>Perroy</v>
      </c>
      <c r="C267" s="98">
        <f>'A) Base RI'!AO269</f>
        <v>1497</v>
      </c>
      <c r="D267" s="114">
        <f>'D) Ecrêtage'!E267</f>
        <v>68.525995820701226</v>
      </c>
      <c r="E267" s="34">
        <f t="shared" si="19"/>
        <v>0</v>
      </c>
      <c r="F267" s="268">
        <f t="shared" si="20"/>
        <v>0</v>
      </c>
      <c r="G267" s="33">
        <f>+'A) Base RI'!AN269</f>
        <v>60</v>
      </c>
      <c r="H267" s="269">
        <f t="shared" si="21"/>
        <v>0.87987001399733455</v>
      </c>
      <c r="I267" s="57">
        <f t="shared" si="22"/>
        <v>0</v>
      </c>
    </row>
    <row r="268" spans="1:9" x14ac:dyDescent="0.25">
      <c r="A268" s="49">
        <f>'A) Base RI'!A270</f>
        <v>5861</v>
      </c>
      <c r="B268" s="32" t="str">
        <f>'A) Base RI'!B270</f>
        <v>Rolle</v>
      </c>
      <c r="C268" s="98">
        <f>'A) Base RI'!AO270</f>
        <v>6245</v>
      </c>
      <c r="D268" s="114">
        <f>'D) Ecrêtage'!E268</f>
        <v>122.0888976593039</v>
      </c>
      <c r="E268" s="34">
        <f t="shared" si="19"/>
        <v>0</v>
      </c>
      <c r="F268" s="268">
        <f t="shared" si="20"/>
        <v>0</v>
      </c>
      <c r="G268" s="33">
        <f>+'A) Base RI'!AN270</f>
        <v>59.5</v>
      </c>
      <c r="H268" s="269">
        <f t="shared" si="21"/>
        <v>0.87253776388069015</v>
      </c>
      <c r="I268" s="57">
        <f t="shared" si="22"/>
        <v>0</v>
      </c>
    </row>
    <row r="269" spans="1:9" x14ac:dyDescent="0.25">
      <c r="A269" s="49">
        <f>'A) Base RI'!A271</f>
        <v>5862</v>
      </c>
      <c r="B269" s="32" t="str">
        <f>'A) Base RI'!B271</f>
        <v>Tartegnin</v>
      </c>
      <c r="C269" s="98">
        <f>'A) Base RI'!AO271</f>
        <v>233</v>
      </c>
      <c r="D269" s="114">
        <f>'D) Ecrêtage'!E269</f>
        <v>47.021107931966313</v>
      </c>
      <c r="E269" s="34">
        <f t="shared" si="19"/>
        <v>0.10361716067236415</v>
      </c>
      <c r="F269" s="268">
        <f t="shared" si="20"/>
        <v>528.00300180977274</v>
      </c>
      <c r="G269" s="33">
        <f>+'A) Base RI'!AN271</f>
        <v>81</v>
      </c>
      <c r="H269" s="269">
        <f t="shared" si="21"/>
        <v>1.1878245188964016</v>
      </c>
      <c r="I269" s="57">
        <f t="shared" si="22"/>
        <v>627.17491160054919</v>
      </c>
    </row>
    <row r="270" spans="1:9" x14ac:dyDescent="0.25">
      <c r="A270" s="49">
        <f>'A) Base RI'!A272</f>
        <v>5863</v>
      </c>
      <c r="B270" s="32" t="str">
        <f>'A) Base RI'!B272</f>
        <v>Vinzel</v>
      </c>
      <c r="C270" s="98">
        <f>'A) Base RI'!AO272</f>
        <v>355</v>
      </c>
      <c r="D270" s="114">
        <f>'D) Ecrêtage'!E270</f>
        <v>50.381500525541298</v>
      </c>
      <c r="E270" s="34">
        <f t="shared" si="19"/>
        <v>0</v>
      </c>
      <c r="F270" s="268">
        <f t="shared" si="20"/>
        <v>0</v>
      </c>
      <c r="G270" s="33">
        <f>+'A) Base RI'!AN272</f>
        <v>67</v>
      </c>
      <c r="H270" s="269">
        <f t="shared" si="21"/>
        <v>0.98252151563035695</v>
      </c>
      <c r="I270" s="57">
        <f t="shared" si="22"/>
        <v>0</v>
      </c>
    </row>
    <row r="271" spans="1:9" x14ac:dyDescent="0.25">
      <c r="A271" s="49">
        <f>'A) Base RI'!A273</f>
        <v>5871</v>
      </c>
      <c r="B271" s="32" t="str">
        <f>'A) Base RI'!B273</f>
        <v>L'Abbaye</v>
      </c>
      <c r="C271" s="98">
        <f>'A) Base RI'!AO273</f>
        <v>1481</v>
      </c>
      <c r="D271" s="114">
        <f>'D) Ecrêtage'!E271</f>
        <v>31.575372066797993</v>
      </c>
      <c r="E271" s="34">
        <f t="shared" si="19"/>
        <v>15.549353025840684</v>
      </c>
      <c r="F271" s="268">
        <f t="shared" si="20"/>
        <v>482495.05604877014</v>
      </c>
      <c r="G271" s="33">
        <f>+'A) Base RI'!AN273</f>
        <v>77.599999999999994</v>
      </c>
      <c r="H271" s="269">
        <f t="shared" si="21"/>
        <v>1.1379652181032194</v>
      </c>
      <c r="I271" s="57">
        <f t="shared" si="22"/>
        <v>549062.59169026383</v>
      </c>
    </row>
    <row r="272" spans="1:9" x14ac:dyDescent="0.25">
      <c r="A272" s="49">
        <f>'A) Base RI'!A274</f>
        <v>5872</v>
      </c>
      <c r="B272" s="32" t="str">
        <f>'A) Base RI'!B274</f>
        <v>Le Chenit</v>
      </c>
      <c r="C272" s="98">
        <f>'A) Base RI'!AO274</f>
        <v>4657</v>
      </c>
      <c r="D272" s="114">
        <f>'D) Ecrêtage'!E272</f>
        <v>57.790156136619082</v>
      </c>
      <c r="E272" s="34">
        <f t="shared" si="19"/>
        <v>0</v>
      </c>
      <c r="F272" s="268">
        <f t="shared" si="20"/>
        <v>0</v>
      </c>
      <c r="G272" s="33">
        <f>+'A) Base RI'!AN274</f>
        <v>68.39</v>
      </c>
      <c r="H272" s="269">
        <f t="shared" si="21"/>
        <v>1.0029051709546286</v>
      </c>
      <c r="I272" s="57">
        <f t="shared" si="22"/>
        <v>0</v>
      </c>
    </row>
    <row r="273" spans="1:9" x14ac:dyDescent="0.25">
      <c r="A273" s="49">
        <f>'A) Base RI'!A275</f>
        <v>5873</v>
      </c>
      <c r="B273" s="32" t="str">
        <f>'A) Base RI'!B275</f>
        <v>Le Lieu</v>
      </c>
      <c r="C273" s="98">
        <f>'A) Base RI'!AO275</f>
        <v>900</v>
      </c>
      <c r="D273" s="114">
        <f>'D) Ecrêtage'!E273</f>
        <v>32.184214179894184</v>
      </c>
      <c r="E273" s="34">
        <f t="shared" si="19"/>
        <v>14.940510912744493</v>
      </c>
      <c r="F273" s="268">
        <f t="shared" si="20"/>
        <v>254138.09062578384</v>
      </c>
      <c r="G273" s="33">
        <f>+'A) Base RI'!AN275</f>
        <v>70</v>
      </c>
      <c r="H273" s="269">
        <f t="shared" si="21"/>
        <v>1.0265150163302237</v>
      </c>
      <c r="I273" s="57">
        <f t="shared" si="22"/>
        <v>260876.56624885835</v>
      </c>
    </row>
    <row r="274" spans="1:9" x14ac:dyDescent="0.25">
      <c r="A274" s="49">
        <f>'A) Base RI'!A276</f>
        <v>5881</v>
      </c>
      <c r="B274" s="32" t="str">
        <f>'A) Base RI'!B276</f>
        <v>Blonay</v>
      </c>
      <c r="C274" s="98">
        <f>'A) Base RI'!AO276</f>
        <v>6151</v>
      </c>
      <c r="D274" s="114">
        <f>'D) Ecrêtage'!E274</f>
        <v>57.860303225956294</v>
      </c>
      <c r="E274" s="34">
        <f t="shared" si="19"/>
        <v>0</v>
      </c>
      <c r="F274" s="268">
        <f t="shared" si="20"/>
        <v>0</v>
      </c>
      <c r="G274" s="33">
        <f>+'A) Base RI'!AN276</f>
        <v>70</v>
      </c>
      <c r="H274" s="269">
        <f t="shared" si="21"/>
        <v>1.0265150163302237</v>
      </c>
      <c r="I274" s="57">
        <f t="shared" si="22"/>
        <v>0</v>
      </c>
    </row>
    <row r="275" spans="1:9" x14ac:dyDescent="0.25">
      <c r="A275" s="49">
        <f>'A) Base RI'!A277</f>
        <v>5882</v>
      </c>
      <c r="B275" s="32" t="str">
        <f>'A) Base RI'!B277</f>
        <v>Chardonne</v>
      </c>
      <c r="C275" s="98">
        <f>'A) Base RI'!AO277</f>
        <v>3032</v>
      </c>
      <c r="D275" s="114">
        <f>'D) Ecrêtage'!E275</f>
        <v>60.713311733664426</v>
      </c>
      <c r="E275" s="34">
        <f t="shared" si="19"/>
        <v>0</v>
      </c>
      <c r="F275" s="268">
        <f t="shared" si="20"/>
        <v>0</v>
      </c>
      <c r="G275" s="33">
        <f>+'A) Base RI'!AN277</f>
        <v>68</v>
      </c>
      <c r="H275" s="269">
        <f t="shared" si="21"/>
        <v>0.99718601586364586</v>
      </c>
      <c r="I275" s="57">
        <f t="shared" si="22"/>
        <v>0</v>
      </c>
    </row>
    <row r="276" spans="1:9" x14ac:dyDescent="0.25">
      <c r="A276" s="49">
        <f>'A) Base RI'!A278</f>
        <v>5883</v>
      </c>
      <c r="B276" s="32" t="str">
        <f>'A) Base RI'!B278</f>
        <v>Corseaux</v>
      </c>
      <c r="C276" s="98">
        <f>'A) Base RI'!AO278</f>
        <v>2287</v>
      </c>
      <c r="D276" s="114">
        <f>'D) Ecrêtage'!E276</f>
        <v>71.952758249209467</v>
      </c>
      <c r="E276" s="34">
        <f t="shared" si="19"/>
        <v>0</v>
      </c>
      <c r="F276" s="268">
        <f t="shared" si="20"/>
        <v>0</v>
      </c>
      <c r="G276" s="33">
        <f>+'A) Base RI'!AN278</f>
        <v>69</v>
      </c>
      <c r="H276" s="269">
        <f t="shared" si="21"/>
        <v>1.0118505160969347</v>
      </c>
      <c r="I276" s="57">
        <f t="shared" si="22"/>
        <v>0</v>
      </c>
    </row>
    <row r="277" spans="1:9" x14ac:dyDescent="0.25">
      <c r="A277" s="49">
        <f>'A) Base RI'!A279</f>
        <v>5884</v>
      </c>
      <c r="B277" s="32" t="str">
        <f>'A) Base RI'!B279</f>
        <v>Corsier-sur-Vevey</v>
      </c>
      <c r="C277" s="98">
        <f>'A) Base RI'!AO279</f>
        <v>3363</v>
      </c>
      <c r="D277" s="114">
        <f>'D) Ecrêtage'!E277</f>
        <v>37.795486818827591</v>
      </c>
      <c r="E277" s="34">
        <f t="shared" si="19"/>
        <v>9.3292382738110859</v>
      </c>
      <c r="F277" s="268">
        <f t="shared" si="20"/>
        <v>559088.74857021158</v>
      </c>
      <c r="G277" s="33">
        <f>+'A) Base RI'!AN279</f>
        <v>66</v>
      </c>
      <c r="H277" s="269">
        <f t="shared" si="21"/>
        <v>0.96785701539706803</v>
      </c>
      <c r="I277" s="57">
        <f t="shared" si="22"/>
        <v>541117.96753324673</v>
      </c>
    </row>
    <row r="278" spans="1:9" x14ac:dyDescent="0.25">
      <c r="A278" s="49">
        <f>'A) Base RI'!A280</f>
        <v>5885</v>
      </c>
      <c r="B278" s="32" t="str">
        <f>'A) Base RI'!B280</f>
        <v>Jongny</v>
      </c>
      <c r="C278" s="98">
        <f>'A) Base RI'!AO280</f>
        <v>1544</v>
      </c>
      <c r="D278" s="114">
        <f>'D) Ecrêtage'!E278</f>
        <v>51.244006011457351</v>
      </c>
      <c r="E278" s="34">
        <f t="shared" si="19"/>
        <v>0</v>
      </c>
      <c r="F278" s="268">
        <f t="shared" si="20"/>
        <v>0</v>
      </c>
      <c r="G278" s="33">
        <f>+'A) Base RI'!AN280</f>
        <v>71</v>
      </c>
      <c r="H278" s="269">
        <f t="shared" si="21"/>
        <v>1.0411795165635125</v>
      </c>
      <c r="I278" s="57">
        <f t="shared" si="22"/>
        <v>0</v>
      </c>
    </row>
    <row r="279" spans="1:9" x14ac:dyDescent="0.25">
      <c r="A279" s="49">
        <f>'A) Base RI'!A281</f>
        <v>5886</v>
      </c>
      <c r="B279" s="32" t="str">
        <f>'A) Base RI'!B281</f>
        <v>Montreux</v>
      </c>
      <c r="C279" s="98">
        <f>'A) Base RI'!AO281</f>
        <v>26065</v>
      </c>
      <c r="D279" s="114">
        <f>'D) Ecrêtage'!E279</f>
        <v>43.815829121476384</v>
      </c>
      <c r="E279" s="34">
        <f t="shared" si="19"/>
        <v>3.3088959711622934</v>
      </c>
      <c r="F279" s="268">
        <f t="shared" si="20"/>
        <v>1513623.8547204582</v>
      </c>
      <c r="G279" s="33">
        <f>+'A) Base RI'!AN281</f>
        <v>65</v>
      </c>
      <c r="H279" s="269">
        <f t="shared" si="21"/>
        <v>0.95319251516377912</v>
      </c>
      <c r="I279" s="57">
        <f t="shared" si="22"/>
        <v>1442774.929092888</v>
      </c>
    </row>
    <row r="280" spans="1:9" x14ac:dyDescent="0.25">
      <c r="A280" s="49">
        <f>'A) Base RI'!A282</f>
        <v>5888</v>
      </c>
      <c r="B280" s="32" t="str">
        <f>'A) Base RI'!B282</f>
        <v>Saint-Légier-La Chiésaz</v>
      </c>
      <c r="C280" s="98">
        <f>'A) Base RI'!AO282</f>
        <v>5243</v>
      </c>
      <c r="D280" s="114">
        <f>'D) Ecrêtage'!E280</f>
        <v>64.514413535507671</v>
      </c>
      <c r="E280" s="34">
        <f t="shared" si="19"/>
        <v>0</v>
      </c>
      <c r="F280" s="268">
        <f t="shared" si="20"/>
        <v>0</v>
      </c>
      <c r="G280" s="33">
        <f>+'A) Base RI'!AN282</f>
        <v>70</v>
      </c>
      <c r="H280" s="269">
        <f t="shared" si="21"/>
        <v>1.0265150163302237</v>
      </c>
      <c r="I280" s="57">
        <f t="shared" si="22"/>
        <v>0</v>
      </c>
    </row>
    <row r="281" spans="1:9" x14ac:dyDescent="0.25">
      <c r="A281" s="49">
        <f>'A) Base RI'!A283</f>
        <v>5889</v>
      </c>
      <c r="B281" s="32" t="str">
        <f>'A) Base RI'!B283</f>
        <v>La Tour-de-Peilz</v>
      </c>
      <c r="C281" s="98">
        <f>'A) Base RI'!AO283</f>
        <v>11906</v>
      </c>
      <c r="D281" s="114">
        <f>'D) Ecrêtage'!E281</f>
        <v>58.219111477406344</v>
      </c>
      <c r="E281" s="34">
        <f t="shared" si="19"/>
        <v>0</v>
      </c>
      <c r="F281" s="268">
        <f t="shared" si="20"/>
        <v>0</v>
      </c>
      <c r="G281" s="33">
        <f>+'A) Base RI'!AN283</f>
        <v>64</v>
      </c>
      <c r="H281" s="269">
        <f t="shared" si="21"/>
        <v>0.93852801493049021</v>
      </c>
      <c r="I281" s="57">
        <f t="shared" si="22"/>
        <v>0</v>
      </c>
    </row>
    <row r="282" spans="1:9" x14ac:dyDescent="0.25">
      <c r="A282" s="49">
        <f>'A) Base RI'!A284</f>
        <v>5890</v>
      </c>
      <c r="B282" s="32" t="str">
        <f>'A) Base RI'!B284</f>
        <v>Vevey</v>
      </c>
      <c r="C282" s="98">
        <f>'A) Base RI'!AO284</f>
        <v>19871</v>
      </c>
      <c r="D282" s="114">
        <f>'D) Ecrêtage'!E282</f>
        <v>49.159057784552473</v>
      </c>
      <c r="E282" s="34">
        <f t="shared" si="19"/>
        <v>0</v>
      </c>
      <c r="F282" s="268">
        <f t="shared" si="20"/>
        <v>0</v>
      </c>
      <c r="G282" s="33">
        <f>+'A) Base RI'!AN284</f>
        <v>76</v>
      </c>
      <c r="H282" s="269">
        <f t="shared" si="21"/>
        <v>1.1145020177299572</v>
      </c>
      <c r="I282" s="57">
        <f t="shared" si="22"/>
        <v>0</v>
      </c>
    </row>
    <row r="283" spans="1:9" x14ac:dyDescent="0.25">
      <c r="A283" s="49">
        <f>'A) Base RI'!A285</f>
        <v>5891</v>
      </c>
      <c r="B283" s="32" t="str">
        <f>'A) Base RI'!B285</f>
        <v>Veytaux</v>
      </c>
      <c r="C283" s="98">
        <f>'A) Base RI'!AO285</f>
        <v>922</v>
      </c>
      <c r="D283" s="114">
        <f>'D) Ecrêtage'!E283</f>
        <v>40.3448712229996</v>
      </c>
      <c r="E283" s="34">
        <f t="shared" si="19"/>
        <v>6.7798538696390764</v>
      </c>
      <c r="F283" s="268">
        <f t="shared" si="20"/>
        <v>119832.15438386457</v>
      </c>
      <c r="G283" s="33">
        <f>+'A) Base RI'!AN285</f>
        <v>71</v>
      </c>
      <c r="H283" s="269">
        <f t="shared" si="21"/>
        <v>1.0411795165635125</v>
      </c>
      <c r="I283" s="57">
        <f t="shared" si="22"/>
        <v>124766.78457015631</v>
      </c>
    </row>
    <row r="284" spans="1:9" x14ac:dyDescent="0.25">
      <c r="A284" s="49">
        <f>'A) Base RI'!A286</f>
        <v>5902</v>
      </c>
      <c r="B284" s="32" t="str">
        <f>'A) Base RI'!B286</f>
        <v>Belmont-sur-Yverdon</v>
      </c>
      <c r="C284" s="98">
        <f>'A) Base RI'!AO286</f>
        <v>374</v>
      </c>
      <c r="D284" s="114">
        <f>'D) Ecrêtage'!E284</f>
        <v>28.817353292991843</v>
      </c>
      <c r="E284" s="34">
        <f t="shared" si="19"/>
        <v>18.307371799646834</v>
      </c>
      <c r="F284" s="268">
        <f t="shared" si="20"/>
        <v>140499.55872895365</v>
      </c>
      <c r="G284" s="33">
        <f>+'A) Base RI'!AN286</f>
        <v>76</v>
      </c>
      <c r="H284" s="269">
        <f t="shared" si="21"/>
        <v>1.1145020177299572</v>
      </c>
      <c r="I284" s="57">
        <f t="shared" si="22"/>
        <v>156587.04169358747</v>
      </c>
    </row>
    <row r="285" spans="1:9" x14ac:dyDescent="0.25">
      <c r="A285" s="49">
        <f>'A) Base RI'!A287</f>
        <v>5903</v>
      </c>
      <c r="B285" s="32" t="str">
        <f>'A) Base RI'!B287</f>
        <v>Bioley-Magnoux</v>
      </c>
      <c r="C285" s="98">
        <f>'A) Base RI'!AO287</f>
        <v>228</v>
      </c>
      <c r="D285" s="114">
        <f>'D) Ecrêtage'!E285</f>
        <v>28.433211576237895</v>
      </c>
      <c r="E285" s="34">
        <f t="shared" si="19"/>
        <v>18.691513516400782</v>
      </c>
      <c r="F285" s="268">
        <f t="shared" si="20"/>
        <v>85148.068333152783</v>
      </c>
      <c r="G285" s="33">
        <f>+'A) Base RI'!AN287</f>
        <v>74</v>
      </c>
      <c r="H285" s="269">
        <f t="shared" si="21"/>
        <v>1.0851730172633793</v>
      </c>
      <c r="I285" s="57">
        <f t="shared" si="22"/>
        <v>92400.386227235809</v>
      </c>
    </row>
    <row r="286" spans="1:9" x14ac:dyDescent="0.25">
      <c r="A286" s="49">
        <f>'A) Base RI'!A288</f>
        <v>5904</v>
      </c>
      <c r="B286" s="32" t="str">
        <f>'A) Base RI'!B288</f>
        <v>Chamblon</v>
      </c>
      <c r="C286" s="98">
        <f>'A) Base RI'!AO288</f>
        <v>540</v>
      </c>
      <c r="D286" s="114">
        <f>'D) Ecrêtage'!E286</f>
        <v>40.698907968574638</v>
      </c>
      <c r="E286" s="34">
        <f t="shared" si="19"/>
        <v>6.4258171240640394</v>
      </c>
      <c r="F286" s="268">
        <f t="shared" si="20"/>
        <v>61834.353021443443</v>
      </c>
      <c r="G286" s="33">
        <f>+'A) Base RI'!AN288</f>
        <v>66</v>
      </c>
      <c r="H286" s="269">
        <f t="shared" si="21"/>
        <v>0.96785701539706803</v>
      </c>
      <c r="I286" s="57">
        <f t="shared" si="22"/>
        <v>59846.812364342928</v>
      </c>
    </row>
    <row r="287" spans="1:9" x14ac:dyDescent="0.25">
      <c r="A287" s="49">
        <f>'A) Base RI'!A289</f>
        <v>5905</v>
      </c>
      <c r="B287" s="32" t="str">
        <f>'A) Base RI'!B289</f>
        <v>Champvent</v>
      </c>
      <c r="C287" s="98">
        <f>'A) Base RI'!AO289</f>
        <v>689</v>
      </c>
      <c r="D287" s="114">
        <f>'D) Ecrêtage'!E287</f>
        <v>34.341569942149263</v>
      </c>
      <c r="E287" s="34">
        <f t="shared" si="19"/>
        <v>12.783155150489414</v>
      </c>
      <c r="F287" s="268">
        <f t="shared" si="20"/>
        <v>168841.57503783377</v>
      </c>
      <c r="G287" s="33">
        <f>+'A) Base RI'!AN289</f>
        <v>71</v>
      </c>
      <c r="H287" s="269">
        <f t="shared" si="21"/>
        <v>1.0411795165635125</v>
      </c>
      <c r="I287" s="57">
        <f t="shared" si="22"/>
        <v>175794.38947371379</v>
      </c>
    </row>
    <row r="288" spans="1:9" x14ac:dyDescent="0.25">
      <c r="A288" s="49">
        <f>'A) Base RI'!A290</f>
        <v>5907</v>
      </c>
      <c r="B288" s="32" t="str">
        <f>'A) Base RI'!B290</f>
        <v>Chavannes-le-Chêne</v>
      </c>
      <c r="C288" s="98">
        <f>'A) Base RI'!AO290</f>
        <v>311</v>
      </c>
      <c r="D288" s="114">
        <f>'D) Ecrêtage'!E288</f>
        <v>30.487288317256152</v>
      </c>
      <c r="E288" s="34">
        <f t="shared" si="19"/>
        <v>16.637436775382525</v>
      </c>
      <c r="F288" s="268">
        <f t="shared" si="20"/>
        <v>108969.55415025192</v>
      </c>
      <c r="G288" s="33">
        <f>+'A) Base RI'!AN290</f>
        <v>78</v>
      </c>
      <c r="H288" s="269">
        <f t="shared" si="21"/>
        <v>1.143831018196535</v>
      </c>
      <c r="I288" s="57">
        <f t="shared" si="22"/>
        <v>124642.75607610511</v>
      </c>
    </row>
    <row r="289" spans="1:9" x14ac:dyDescent="0.25">
      <c r="A289" s="49">
        <f>'A) Base RI'!A291</f>
        <v>5908</v>
      </c>
      <c r="B289" s="32" t="str">
        <f>'A) Base RI'!B291</f>
        <v>Chêne-Pâquier</v>
      </c>
      <c r="C289" s="98">
        <f>'A) Base RI'!AO291</f>
        <v>153</v>
      </c>
      <c r="D289" s="114">
        <f>'D) Ecrêtage'!E289</f>
        <v>22.061475138578643</v>
      </c>
      <c r="E289" s="34">
        <f t="shared" si="19"/>
        <v>25.063249954060034</v>
      </c>
      <c r="F289" s="268">
        <f t="shared" si="20"/>
        <v>81793.665592575388</v>
      </c>
      <c r="G289" s="33">
        <f>+'A) Base RI'!AN291</f>
        <v>79</v>
      </c>
      <c r="H289" s="269">
        <f t="shared" si="21"/>
        <v>1.1584955184298238</v>
      </c>
      <c r="I289" s="57">
        <f t="shared" si="22"/>
        <v>94757.595024946262</v>
      </c>
    </row>
    <row r="290" spans="1:9" x14ac:dyDescent="0.25">
      <c r="A290" s="49">
        <f>'A) Base RI'!A292</f>
        <v>5909</v>
      </c>
      <c r="B290" s="32" t="str">
        <f>'A) Base RI'!B292</f>
        <v>Cheseaux-Noréaz</v>
      </c>
      <c r="C290" s="98">
        <f>'A) Base RI'!AO292</f>
        <v>725</v>
      </c>
      <c r="D290" s="114">
        <f>'D) Ecrêtage'!E290</f>
        <v>44.61978206896552</v>
      </c>
      <c r="E290" s="34">
        <f t="shared" si="19"/>
        <v>2.5049430236731567</v>
      </c>
      <c r="F290" s="268">
        <f t="shared" si="20"/>
        <v>34323.981781881434</v>
      </c>
      <c r="G290" s="33">
        <f>+'A) Base RI'!AN292</f>
        <v>70</v>
      </c>
      <c r="H290" s="269">
        <f t="shared" si="21"/>
        <v>1.0265150163302237</v>
      </c>
      <c r="I290" s="57">
        <f t="shared" si="22"/>
        <v>35234.082719346319</v>
      </c>
    </row>
    <row r="291" spans="1:9" x14ac:dyDescent="0.25">
      <c r="A291" s="49">
        <f>'A) Base RI'!A293</f>
        <v>5910</v>
      </c>
      <c r="B291" s="32" t="str">
        <f>'A) Base RI'!B293</f>
        <v>Cronay</v>
      </c>
      <c r="C291" s="98">
        <f>'A) Base RI'!AO293</f>
        <v>394</v>
      </c>
      <c r="D291" s="114">
        <f>'D) Ecrêtage'!E291</f>
        <v>25.889791492642804</v>
      </c>
      <c r="E291" s="34">
        <f t="shared" si="19"/>
        <v>21.234933599995873</v>
      </c>
      <c r="F291" s="268">
        <f t="shared" si="20"/>
        <v>178458.8066730373</v>
      </c>
      <c r="G291" s="33">
        <f>+'A) Base RI'!AN293</f>
        <v>79</v>
      </c>
      <c r="H291" s="269">
        <f t="shared" si="21"/>
        <v>1.1584955184298238</v>
      </c>
      <c r="I291" s="57">
        <f t="shared" si="22"/>
        <v>206743.72775504805</v>
      </c>
    </row>
    <row r="292" spans="1:9" x14ac:dyDescent="0.25">
      <c r="A292" s="49">
        <f>'A) Base RI'!A294</f>
        <v>5911</v>
      </c>
      <c r="B292" s="32" t="str">
        <f>'A) Base RI'!B294</f>
        <v>Cuarny</v>
      </c>
      <c r="C292" s="98">
        <f>'A) Base RI'!AO294</f>
        <v>239</v>
      </c>
      <c r="D292" s="114">
        <f>'D) Ecrêtage'!E292</f>
        <v>32.790733541655634</v>
      </c>
      <c r="E292" s="34">
        <f t="shared" si="19"/>
        <v>14.333991550983043</v>
      </c>
      <c r="F292" s="268">
        <f t="shared" si="20"/>
        <v>73072.825508009933</v>
      </c>
      <c r="G292" s="33">
        <f>+'A) Base RI'!AN294</f>
        <v>79</v>
      </c>
      <c r="H292" s="269">
        <f t="shared" si="21"/>
        <v>1.1584955184298238</v>
      </c>
      <c r="I292" s="57">
        <f t="shared" si="22"/>
        <v>84654.540870034019</v>
      </c>
    </row>
    <row r="293" spans="1:9" x14ac:dyDescent="0.25">
      <c r="A293" s="49">
        <f>'A) Base RI'!A295</f>
        <v>5912</v>
      </c>
      <c r="B293" s="32" t="str">
        <f>'A) Base RI'!B295</f>
        <v>Démoret</v>
      </c>
      <c r="C293" s="98">
        <f>'A) Base RI'!AO295</f>
        <v>156</v>
      </c>
      <c r="D293" s="114">
        <f>'D) Ecrêtage'!E293</f>
        <v>25.419753086419757</v>
      </c>
      <c r="E293" s="34">
        <f t="shared" si="19"/>
        <v>21.70497200621892</v>
      </c>
      <c r="F293" s="268">
        <f t="shared" si="20"/>
        <v>74051.287093057224</v>
      </c>
      <c r="G293" s="33">
        <f>+'A) Base RI'!AN295</f>
        <v>81</v>
      </c>
      <c r="H293" s="269">
        <f t="shared" si="21"/>
        <v>1.1878245188964016</v>
      </c>
      <c r="I293" s="57">
        <f t="shared" si="22"/>
        <v>87959.934464970007</v>
      </c>
    </row>
    <row r="294" spans="1:9" x14ac:dyDescent="0.25">
      <c r="A294" s="49">
        <f>'A) Base RI'!A296</f>
        <v>5913</v>
      </c>
      <c r="B294" s="32" t="str">
        <f>'A) Base RI'!B296</f>
        <v>Donneloye</v>
      </c>
      <c r="C294" s="98">
        <f>'A) Base RI'!AO296</f>
        <v>823</v>
      </c>
      <c r="D294" s="114">
        <f>'D) Ecrêtage'!E294</f>
        <v>26.249268629637637</v>
      </c>
      <c r="E294" s="34">
        <f t="shared" si="19"/>
        <v>20.87545646300104</v>
      </c>
      <c r="F294" s="268">
        <f t="shared" si="20"/>
        <v>338627.66818697267</v>
      </c>
      <c r="G294" s="33">
        <f>+'A) Base RI'!AN296</f>
        <v>73</v>
      </c>
      <c r="H294" s="269">
        <f t="shared" si="21"/>
        <v>1.0705085170300903</v>
      </c>
      <c r="I294" s="57">
        <f t="shared" si="22"/>
        <v>362503.80289619364</v>
      </c>
    </row>
    <row r="295" spans="1:9" x14ac:dyDescent="0.25">
      <c r="A295" s="49">
        <f>'A) Base RI'!A297</f>
        <v>5914</v>
      </c>
      <c r="B295" s="32" t="str">
        <f>'A) Base RI'!B297</f>
        <v>Ependes</v>
      </c>
      <c r="C295" s="98">
        <f>'A) Base RI'!AO297</f>
        <v>357</v>
      </c>
      <c r="D295" s="114">
        <f>'D) Ecrêtage'!E295</f>
        <v>28.334587861811389</v>
      </c>
      <c r="E295" s="34">
        <f t="shared" si="19"/>
        <v>18.790137230827288</v>
      </c>
      <c r="F295" s="268">
        <f t="shared" si="20"/>
        <v>135838.59957595819</v>
      </c>
      <c r="G295" s="33">
        <f>+'A) Base RI'!AN297</f>
        <v>75</v>
      </c>
      <c r="H295" s="269">
        <f t="shared" si="21"/>
        <v>1.0998375174966681</v>
      </c>
      <c r="I295" s="57">
        <f t="shared" si="22"/>
        <v>149400.38813784582</v>
      </c>
    </row>
    <row r="296" spans="1:9" x14ac:dyDescent="0.25">
      <c r="A296" s="49">
        <f>'A) Base RI'!A298</f>
        <v>5919</v>
      </c>
      <c r="B296" s="32" t="str">
        <f>'A) Base RI'!B298</f>
        <v>Mathod</v>
      </c>
      <c r="C296" s="98">
        <f>'A) Base RI'!AO298</f>
        <v>601</v>
      </c>
      <c r="D296" s="114">
        <f>'D) Ecrêtage'!E296</f>
        <v>29.077276144697105</v>
      </c>
      <c r="E296" s="34">
        <f t="shared" si="19"/>
        <v>18.047448947941572</v>
      </c>
      <c r="F296" s="268">
        <f t="shared" si="20"/>
        <v>210856.2869363385</v>
      </c>
      <c r="G296" s="33">
        <f>+'A) Base RI'!AN298</f>
        <v>72</v>
      </c>
      <c r="H296" s="269">
        <f t="shared" si="21"/>
        <v>1.0558440167968015</v>
      </c>
      <c r="I296" s="57">
        <f t="shared" si="22"/>
        <v>222631.34896572257</v>
      </c>
    </row>
    <row r="297" spans="1:9" x14ac:dyDescent="0.25">
      <c r="A297" s="49">
        <f>'A) Base RI'!A299</f>
        <v>5921</v>
      </c>
      <c r="B297" s="32" t="str">
        <f>'A) Base RI'!B299</f>
        <v>Molondin</v>
      </c>
      <c r="C297" s="98">
        <f>'A) Base RI'!AO299</f>
        <v>240</v>
      </c>
      <c r="D297" s="114">
        <f>'D) Ecrêtage'!E297</f>
        <v>23.606727880658433</v>
      </c>
      <c r="E297" s="34">
        <f t="shared" si="19"/>
        <v>23.517997211980244</v>
      </c>
      <c r="F297" s="268">
        <f t="shared" si="20"/>
        <v>123441.26376624191</v>
      </c>
      <c r="G297" s="33">
        <f>+'A) Base RI'!AN299</f>
        <v>81</v>
      </c>
      <c r="H297" s="269">
        <f t="shared" si="21"/>
        <v>1.1878245188964016</v>
      </c>
      <c r="I297" s="57">
        <f t="shared" si="22"/>
        <v>146626.55974510012</v>
      </c>
    </row>
    <row r="298" spans="1:9" x14ac:dyDescent="0.25">
      <c r="A298" s="49">
        <f>'A) Base RI'!A300</f>
        <v>5922</v>
      </c>
      <c r="B298" s="32" t="str">
        <f>'A) Base RI'!B300</f>
        <v>Montagny-près-Yverdon</v>
      </c>
      <c r="C298" s="98">
        <f>'A) Base RI'!AO300</f>
        <v>747</v>
      </c>
      <c r="D298" s="114">
        <f>'D) Ecrêtage'!E298</f>
        <v>50.360604520646689</v>
      </c>
      <c r="E298" s="34">
        <f t="shared" si="19"/>
        <v>0</v>
      </c>
      <c r="F298" s="268">
        <f t="shared" si="20"/>
        <v>0</v>
      </c>
      <c r="G298" s="33">
        <f>+'A) Base RI'!AN300</f>
        <v>65</v>
      </c>
      <c r="H298" s="269">
        <f t="shared" si="21"/>
        <v>0.95319251516377912</v>
      </c>
      <c r="I298" s="57">
        <f t="shared" si="22"/>
        <v>0</v>
      </c>
    </row>
    <row r="299" spans="1:9" x14ac:dyDescent="0.25">
      <c r="A299" s="49">
        <f>'A) Base RI'!A301</f>
        <v>5923</v>
      </c>
      <c r="B299" s="32" t="str">
        <f>'A) Base RI'!B301</f>
        <v>Oppens</v>
      </c>
      <c r="C299" s="98">
        <f>'A) Base RI'!AO301</f>
        <v>202</v>
      </c>
      <c r="D299" s="114">
        <f>'D) Ecrêtage'!E299</f>
        <v>26.730210854418772</v>
      </c>
      <c r="E299" s="34">
        <f t="shared" si="19"/>
        <v>20.394514238219905</v>
      </c>
      <c r="F299" s="268">
        <f t="shared" si="20"/>
        <v>90097.661330753603</v>
      </c>
      <c r="G299" s="33">
        <f>+'A) Base RI'!AN301</f>
        <v>81</v>
      </c>
      <c r="H299" s="269">
        <f t="shared" si="21"/>
        <v>1.1878245188964016</v>
      </c>
      <c r="I299" s="57">
        <f t="shared" si="22"/>
        <v>107020.21122389332</v>
      </c>
    </row>
    <row r="300" spans="1:9" x14ac:dyDescent="0.25">
      <c r="A300" s="49">
        <f>'A) Base RI'!A302</f>
        <v>5924</v>
      </c>
      <c r="B300" s="32" t="str">
        <f>'A) Base RI'!B302</f>
        <v>Orges</v>
      </c>
      <c r="C300" s="98">
        <f>'A) Base RI'!AO302</f>
        <v>332</v>
      </c>
      <c r="D300" s="114">
        <f>'D) Ecrêtage'!E300</f>
        <v>35.87757000976881</v>
      </c>
      <c r="E300" s="34">
        <f t="shared" si="19"/>
        <v>11.247155082869867</v>
      </c>
      <c r="F300" s="268">
        <f t="shared" si="20"/>
        <v>74606.428640505663</v>
      </c>
      <c r="G300" s="33">
        <f>+'A) Base RI'!AN302</f>
        <v>74</v>
      </c>
      <c r="H300" s="269">
        <f t="shared" si="21"/>
        <v>1.0851730172633793</v>
      </c>
      <c r="I300" s="57">
        <f t="shared" si="22"/>
        <v>80960.88327506253</v>
      </c>
    </row>
    <row r="301" spans="1:9" x14ac:dyDescent="0.25">
      <c r="A301" s="49">
        <f>'A) Base RI'!A303</f>
        <v>5925</v>
      </c>
      <c r="B301" s="32" t="str">
        <f>'A) Base RI'!B303</f>
        <v>Orzens</v>
      </c>
      <c r="C301" s="98">
        <f>'A) Base RI'!AO303</f>
        <v>208</v>
      </c>
      <c r="D301" s="114">
        <f>'D) Ecrêtage'!E301</f>
        <v>25.71340555014606</v>
      </c>
      <c r="E301" s="34">
        <f t="shared" si="19"/>
        <v>21.411319542492617</v>
      </c>
      <c r="F301" s="268">
        <f t="shared" si="20"/>
        <v>94994.316735004439</v>
      </c>
      <c r="G301" s="33">
        <f>+'A) Base RI'!AN303</f>
        <v>79</v>
      </c>
      <c r="H301" s="269">
        <f t="shared" si="21"/>
        <v>1.1584955184298238</v>
      </c>
      <c r="I301" s="57">
        <f t="shared" si="22"/>
        <v>110050.49021380585</v>
      </c>
    </row>
    <row r="302" spans="1:9" x14ac:dyDescent="0.25">
      <c r="A302" s="49">
        <f>'A) Base RI'!A304</f>
        <v>5926</v>
      </c>
      <c r="B302" s="32" t="str">
        <f>'A) Base RI'!B304</f>
        <v>Pomy</v>
      </c>
      <c r="C302" s="98">
        <f>'A) Base RI'!AO304</f>
        <v>793</v>
      </c>
      <c r="D302" s="114">
        <f>'D) Ecrêtage'!E302</f>
        <v>34.759085661510049</v>
      </c>
      <c r="E302" s="34">
        <f t="shared" si="19"/>
        <v>12.365639431128628</v>
      </c>
      <c r="F302" s="268">
        <f t="shared" si="20"/>
        <v>187980.10116052552</v>
      </c>
      <c r="G302" s="33">
        <f>+'A) Base RI'!AN304</f>
        <v>71</v>
      </c>
      <c r="H302" s="269">
        <f t="shared" si="21"/>
        <v>1.0411795165635125</v>
      </c>
      <c r="I302" s="57">
        <f t="shared" si="22"/>
        <v>195721.03084987614</v>
      </c>
    </row>
    <row r="303" spans="1:9" x14ac:dyDescent="0.25">
      <c r="A303" s="49">
        <f>'A) Base RI'!A305</f>
        <v>5928</v>
      </c>
      <c r="B303" s="32" t="str">
        <f>'A) Base RI'!B305</f>
        <v>Rovray</v>
      </c>
      <c r="C303" s="98">
        <f>'A) Base RI'!AO305</f>
        <v>185</v>
      </c>
      <c r="D303" s="114">
        <f>'D) Ecrêtage'!E303</f>
        <v>32.443347649018882</v>
      </c>
      <c r="E303" s="34">
        <f t="shared" si="19"/>
        <v>14.681377443619795</v>
      </c>
      <c r="F303" s="268">
        <f t="shared" si="20"/>
        <v>53533.440641543042</v>
      </c>
      <c r="G303" s="33">
        <f>+'A) Base RI'!AN305</f>
        <v>73</v>
      </c>
      <c r="H303" s="269">
        <f t="shared" si="21"/>
        <v>1.0705085170300903</v>
      </c>
      <c r="I303" s="57">
        <f t="shared" si="22"/>
        <v>57308.004152696609</v>
      </c>
    </row>
    <row r="304" spans="1:9" x14ac:dyDescent="0.25">
      <c r="A304" s="49">
        <f>'A) Base RI'!A306</f>
        <v>5929</v>
      </c>
      <c r="B304" s="32" t="str">
        <f>'A) Base RI'!B306</f>
        <v>Suchy</v>
      </c>
      <c r="C304" s="98">
        <f>'A) Base RI'!AO306</f>
        <v>645</v>
      </c>
      <c r="D304" s="114">
        <f>'D) Ecrêtage'!E304</f>
        <v>26.757302657807308</v>
      </c>
      <c r="E304" s="34">
        <f t="shared" si="19"/>
        <v>20.367422434831369</v>
      </c>
      <c r="F304" s="268">
        <f t="shared" si="20"/>
        <v>248289.06319181182</v>
      </c>
      <c r="G304" s="33">
        <f>+'A) Base RI'!AN306</f>
        <v>70</v>
      </c>
      <c r="H304" s="269">
        <f t="shared" si="21"/>
        <v>1.0265150163302237</v>
      </c>
      <c r="I304" s="57">
        <f t="shared" si="22"/>
        <v>254872.45175695865</v>
      </c>
    </row>
    <row r="305" spans="1:9" x14ac:dyDescent="0.25">
      <c r="A305" s="49">
        <f>'A) Base RI'!A307</f>
        <v>5930</v>
      </c>
      <c r="B305" s="32" t="str">
        <f>'A) Base RI'!B307</f>
        <v>Suscévaz</v>
      </c>
      <c r="C305" s="98">
        <f>'A) Base RI'!AO307</f>
        <v>215</v>
      </c>
      <c r="D305" s="114">
        <f>'D) Ecrêtage'!E305</f>
        <v>27.221799741602059</v>
      </c>
      <c r="E305" s="34">
        <f t="shared" si="19"/>
        <v>19.902925351036618</v>
      </c>
      <c r="F305" s="268">
        <f t="shared" si="20"/>
        <v>83186.266797192642</v>
      </c>
      <c r="G305" s="33">
        <f>+'A) Base RI'!AN307</f>
        <v>72</v>
      </c>
      <c r="H305" s="269">
        <f t="shared" si="21"/>
        <v>1.0558440167968015</v>
      </c>
      <c r="I305" s="57">
        <f t="shared" si="22"/>
        <v>87831.722077478276</v>
      </c>
    </row>
    <row r="306" spans="1:9" x14ac:dyDescent="0.25">
      <c r="A306" s="49">
        <f>'A) Base RI'!A308</f>
        <v>5931</v>
      </c>
      <c r="B306" s="32" t="str">
        <f>'A) Base RI'!B308</f>
        <v>Treycovagnes</v>
      </c>
      <c r="C306" s="98">
        <f>'A) Base RI'!AO308</f>
        <v>492</v>
      </c>
      <c r="D306" s="114">
        <f>'D) Ecrêtage'!E306</f>
        <v>24.801048238482384</v>
      </c>
      <c r="E306" s="34">
        <f t="shared" si="19"/>
        <v>22.323676854156293</v>
      </c>
      <c r="F306" s="268">
        <f t="shared" si="20"/>
        <v>222410.79249795916</v>
      </c>
      <c r="G306" s="33">
        <f>+'A) Base RI'!AN308</f>
        <v>75</v>
      </c>
      <c r="H306" s="269">
        <f t="shared" si="21"/>
        <v>1.0998375174966681</v>
      </c>
      <c r="I306" s="57">
        <f t="shared" si="22"/>
        <v>244615.733885422</v>
      </c>
    </row>
    <row r="307" spans="1:9" x14ac:dyDescent="0.25">
      <c r="A307" s="49">
        <f>'A) Base RI'!A309</f>
        <v>5932</v>
      </c>
      <c r="B307" s="32" t="str">
        <f>'A) Base RI'!B309</f>
        <v>Ursins</v>
      </c>
      <c r="C307" s="98">
        <f>'A) Base RI'!AO309</f>
        <v>225</v>
      </c>
      <c r="D307" s="114">
        <f>'D) Ecrêtage'!E307</f>
        <v>36.792781529581539</v>
      </c>
      <c r="E307" s="34">
        <f t="shared" si="19"/>
        <v>10.331943563057138</v>
      </c>
      <c r="F307" s="268">
        <f t="shared" si="20"/>
        <v>48330.249002090524</v>
      </c>
      <c r="G307" s="33">
        <f>+'A) Base RI'!AN309</f>
        <v>77</v>
      </c>
      <c r="H307" s="269">
        <f t="shared" si="21"/>
        <v>1.129166517963246</v>
      </c>
      <c r="I307" s="57">
        <f t="shared" si="22"/>
        <v>54572.898977987199</v>
      </c>
    </row>
    <row r="308" spans="1:9" x14ac:dyDescent="0.25">
      <c r="A308" s="49">
        <f>'A) Base RI'!A310</f>
        <v>5933</v>
      </c>
      <c r="B308" s="32" t="str">
        <f>'A) Base RI'!B310</f>
        <v>Valeyres-sous-Montagny</v>
      </c>
      <c r="C308" s="98">
        <f>'A) Base RI'!AO310</f>
        <v>709</v>
      </c>
      <c r="D308" s="114">
        <f>'D) Ecrêtage'!E308</f>
        <v>31.220933631092308</v>
      </c>
      <c r="E308" s="34">
        <f t="shared" si="19"/>
        <v>15.903791461546369</v>
      </c>
      <c r="F308" s="268">
        <f t="shared" si="20"/>
        <v>219201.32156283513</v>
      </c>
      <c r="G308" s="33">
        <f>+'A) Base RI'!AN310</f>
        <v>72</v>
      </c>
      <c r="H308" s="269">
        <f t="shared" si="21"/>
        <v>1.0558440167968015</v>
      </c>
      <c r="I308" s="57">
        <f t="shared" si="22"/>
        <v>231442.40384607119</v>
      </c>
    </row>
    <row r="309" spans="1:9" x14ac:dyDescent="0.25">
      <c r="A309" s="49">
        <f>'A) Base RI'!A311</f>
        <v>5934</v>
      </c>
      <c r="B309" s="32" t="str">
        <f>'A) Base RI'!B311</f>
        <v>Valeyres-sous-Ursins</v>
      </c>
      <c r="C309" s="98">
        <f>'A) Base RI'!AO311</f>
        <v>227</v>
      </c>
      <c r="D309" s="114">
        <f>'D) Ecrêtage'!E309</f>
        <v>33.317409803156195</v>
      </c>
      <c r="E309" s="34">
        <f t="shared" si="19"/>
        <v>13.807315289482482</v>
      </c>
      <c r="F309" s="268">
        <f t="shared" si="20"/>
        <v>66853.777973298129</v>
      </c>
      <c r="G309" s="33">
        <f>+'A) Base RI'!AN311</f>
        <v>79</v>
      </c>
      <c r="H309" s="269">
        <f t="shared" si="21"/>
        <v>1.1584955184298238</v>
      </c>
      <c r="I309" s="57">
        <f t="shared" si="22"/>
        <v>77449.802172168347</v>
      </c>
    </row>
    <row r="310" spans="1:9" x14ac:dyDescent="0.25">
      <c r="A310" s="49">
        <f>'A) Base RI'!A312</f>
        <v>5935</v>
      </c>
      <c r="B310" s="32" t="str">
        <f>'A) Base RI'!B312</f>
        <v>Villars-Epeney</v>
      </c>
      <c r="C310" s="98">
        <f>'A) Base RI'!AO312</f>
        <v>102</v>
      </c>
      <c r="D310" s="114">
        <f>'D) Ecrêtage'!E310</f>
        <v>47.636374183006538</v>
      </c>
      <c r="E310" s="34">
        <f t="shared" si="19"/>
        <v>0</v>
      </c>
      <c r="F310" s="268">
        <f t="shared" si="20"/>
        <v>0</v>
      </c>
      <c r="G310" s="33">
        <f>+'A) Base RI'!AN312</f>
        <v>60</v>
      </c>
      <c r="H310" s="269">
        <f t="shared" si="21"/>
        <v>0.87987001399733455</v>
      </c>
      <c r="I310" s="57">
        <f t="shared" si="22"/>
        <v>0</v>
      </c>
    </row>
    <row r="311" spans="1:9" x14ac:dyDescent="0.25">
      <c r="A311" s="49">
        <f>'A) Base RI'!A313</f>
        <v>5937</v>
      </c>
      <c r="B311" s="32" t="str">
        <f>'A) Base RI'!B313</f>
        <v>Vugelles-La Mothe</v>
      </c>
      <c r="C311" s="98">
        <f>'A) Base RI'!AO313</f>
        <v>135</v>
      </c>
      <c r="D311" s="114">
        <f>'D) Ecrêtage'!E311</f>
        <v>22.106579289493578</v>
      </c>
      <c r="E311" s="34">
        <f t="shared" si="19"/>
        <v>25.018145803145099</v>
      </c>
      <c r="F311" s="268">
        <f t="shared" si="20"/>
        <v>63833.799016724726</v>
      </c>
      <c r="G311" s="33">
        <f>+'A) Base RI'!AN313</f>
        <v>70</v>
      </c>
      <c r="H311" s="269">
        <f t="shared" si="21"/>
        <v>1.0265150163302237</v>
      </c>
      <c r="I311" s="57">
        <f t="shared" si="22"/>
        <v>65526.353240073397</v>
      </c>
    </row>
    <row r="312" spans="1:9" x14ac:dyDescent="0.25">
      <c r="A312" s="49">
        <f>'A) Base RI'!A314</f>
        <v>5938</v>
      </c>
      <c r="B312" s="32" t="str">
        <f>'A) Base RI'!B314</f>
        <v>Yverdon-les-Bains</v>
      </c>
      <c r="C312" s="98">
        <f>'A) Base RI'!AO314</f>
        <v>30189</v>
      </c>
      <c r="D312" s="114">
        <f>'D) Ecrêtage'!E312</f>
        <v>26.11621164874796</v>
      </c>
      <c r="E312" s="34">
        <f t="shared" si="19"/>
        <v>21.008513443890717</v>
      </c>
      <c r="F312" s="268">
        <f t="shared" si="20"/>
        <v>13099938.285246577</v>
      </c>
      <c r="G312" s="33">
        <f>+'A) Base RI'!AN314</f>
        <v>76.5</v>
      </c>
      <c r="H312" s="269">
        <f t="shared" si="21"/>
        <v>1.1218342678466016</v>
      </c>
      <c r="I312" s="57">
        <f t="shared" si="22"/>
        <v>14695959.675065259</v>
      </c>
    </row>
    <row r="313" spans="1:9" x14ac:dyDescent="0.25">
      <c r="A313" s="49">
        <f>'A) Base RI'!A315</f>
        <v>5939</v>
      </c>
      <c r="B313" s="32" t="str">
        <f>'A) Base RI'!B315</f>
        <v>Yvonand</v>
      </c>
      <c r="C313" s="98">
        <f>'A) Base RI'!AO315</f>
        <v>3434</v>
      </c>
      <c r="D313" s="114">
        <f>'D) Ecrêtage'!E313</f>
        <v>27.700280793993979</v>
      </c>
      <c r="E313" s="34">
        <f t="shared" si="19"/>
        <v>19.424444298644698</v>
      </c>
      <c r="F313" s="268">
        <f t="shared" si="20"/>
        <v>1314726.8073316696</v>
      </c>
      <c r="G313" s="33">
        <f>+'A) Base RI'!AN315</f>
        <v>73</v>
      </c>
      <c r="H313" s="269">
        <f t="shared" si="21"/>
        <v>1.0705085170300903</v>
      </c>
      <c r="I313" s="57">
        <f t="shared" si="22"/>
        <v>1407426.244816331</v>
      </c>
    </row>
    <row r="314" spans="1:9" x14ac:dyDescent="0.25">
      <c r="A314" s="30"/>
      <c r="B314" s="123">
        <f>COUNTA(B5:B313)</f>
        <v>309</v>
      </c>
      <c r="C314" s="100">
        <f>SUM(C5:C313)</f>
        <v>806088</v>
      </c>
      <c r="D314" s="113">
        <f>'D) Ecrêtage'!E314</f>
        <v>47.124725092638677</v>
      </c>
      <c r="E314" s="266"/>
      <c r="F314" s="11">
        <f>SUM(F5:F313)</f>
        <v>127377724.45187573</v>
      </c>
      <c r="G314" s="270">
        <f>'B) D RI'!S316</f>
        <v>68.191890899218393</v>
      </c>
      <c r="H314" s="267">
        <f>G314/G$314</f>
        <v>1</v>
      </c>
      <c r="I314" s="37">
        <f>SUM(I5:I313)</f>
        <v>138343598.26896447</v>
      </c>
    </row>
    <row r="315" spans="1:9" x14ac:dyDescent="0.25">
      <c r="C315" s="12"/>
      <c r="D315" s="12"/>
      <c r="E315" s="12"/>
      <c r="F315" s="12"/>
      <c r="G315" s="12"/>
      <c r="H315" s="12"/>
      <c r="I315" s="12"/>
    </row>
  </sheetData>
  <mergeCells count="8">
    <mergeCell ref="A3:A4"/>
    <mergeCell ref="I3:I4"/>
    <mergeCell ref="H3:H4"/>
    <mergeCell ref="G3:G4"/>
    <mergeCell ref="F3:F4"/>
    <mergeCell ref="B3:B4"/>
    <mergeCell ref="C3:C4"/>
    <mergeCell ref="D3:D4"/>
  </mergeCells>
  <phoneticPr fontId="15"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12</vt:i4>
      </vt:variant>
    </vt:vector>
  </HeadingPairs>
  <TitlesOfParts>
    <vt:vector size="30" baseType="lpstr">
      <vt:lpstr>Paramètres</vt:lpstr>
      <vt:lpstr>Recherche</vt:lpstr>
      <vt:lpstr>A) Base RI</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Acomptes vs Décompte</vt:lpstr>
      <vt:lpstr>Feuil1</vt:lpstr>
      <vt:lpstr>'C) Prél. conj.'!Impression_des_titres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'H) Péréquation directe'!Zone_d_impression</vt:lpstr>
      <vt:lpstr>'L) Plafonnement taux'!Zone_d_impression</vt:lpstr>
      <vt:lpstr>'M) Police'!Zone_d_impression</vt:lpstr>
      <vt:lpstr>Recherche!Zone_d_impression</vt:lpstr>
      <vt:lpstr>Synthèse!Zone_d_impression</vt:lpstr>
    </vt:vector>
  </TitlesOfParts>
  <Company>Etat de Vaud / ASFiCo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Brochet Antoine</dc:creator>
  <cp:lastModifiedBy>Delija Sofia</cp:lastModifiedBy>
  <cp:lastPrinted>2020-10-09T07:25:27Z</cp:lastPrinted>
  <dcterms:created xsi:type="dcterms:W3CDTF">2005-06-06T00:37:42Z</dcterms:created>
  <dcterms:modified xsi:type="dcterms:W3CDTF">2020-10-12T13:25:56Z</dcterms:modified>
</cp:coreProperties>
</file>